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C5A15492-0A07-46DD-B2DF-BF8FE4C2C5CE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U24" i="46"/>
  <c r="W24" i="46" s="1"/>
  <c r="U25" i="46"/>
  <c r="U26" i="46"/>
  <c r="U27" i="46"/>
  <c r="U28" i="46"/>
  <c r="W28" i="46" s="1"/>
  <c r="U29" i="46"/>
  <c r="U30" i="46"/>
  <c r="U31" i="46"/>
  <c r="U32" i="46"/>
  <c r="W32" i="46" s="1"/>
  <c r="U33" i="46"/>
  <c r="U34" i="46"/>
  <c r="U35" i="46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V23" i="46"/>
  <c r="W23" i="46"/>
  <c r="X23" i="46"/>
  <c r="Y23" i="46"/>
  <c r="Z23" i="46"/>
  <c r="AA23" i="46"/>
  <c r="V24" i="46"/>
  <c r="Z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X3" i="46" l="1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<sst xmlns="http://schemas.openxmlformats.org/spreadsheetml/2006/main" count="1537" uniqueCount="676">
  <si>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</si>
  <si>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</si>
  <si>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</si>
  <si>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</si>
  <si>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</si>
  <si>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</si>
  <si>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</si>
  <si>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</si>
  <si>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</si>
  <si>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</si>
  <si>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</si>
  <si>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</si>
  <si>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</si>
  <si>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</si>
  <si>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</si>
  <si>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</si>
  <si>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</si>
  <si>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</si>
  <si>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</si>
  <si>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</si>
  <si>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</si>
  <si>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</si>
  <si>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</si>
  <si>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</si>
  <si>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</si>
  <si>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</si>
  <si>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</si>
  <si>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</si>
  <si>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</si>
  <si>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</si>
  <si>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</si>
  <si>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</si>
  <si>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</si>
  <si>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</si>
  <si>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</si>
  <si>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</si>
  <si>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</si>
  <si>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</si>
  <si>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</si>
  <si>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</si>
  <si>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</si>
  <si>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</si>
  <si>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</si>
  <si>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</si>
  <si>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</si>
  <si>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</si>
  <si>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</si>
  <si>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</si>
  <si>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</si>
  <si>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</si>
  <si>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</si>
  <si>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</si>
  <si>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</si>
  <si>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</si>
  <si>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</si>
  <si>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</si>
  <si>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</si>
  <si>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</si>
  <si>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</si>
  <si>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</si>
  <si>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</si>
  <si>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</si>
  <si>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</si>
  <si>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</si>
  <si>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</si>
  <si>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</si>
  <si>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</si>
  <si>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</si>
  <si>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</si>
  <si>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</si>
  <si>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</si>
  <si>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</si>
  <si>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</si>
  <si>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</si>
  <si>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</si>
  <si>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</si>
  <si>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</si>
  <si>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</si>
  <si>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</si>
  <si>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</si>
  <si>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</si>
  <si>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</si>
  <si>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</si>
  <si>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</si>
  <si>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</si>
  <si>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</si>
  <si>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</si>
  <si>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</si>
  <si>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</si>
  <si>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</si>
  <si>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</si>
  <si>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</si>
  <si>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</si>
  <si>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</si>
  <si>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</si>
  <si>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</si>
  <si>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</si>
  <si>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</si>
  <si>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</si>
  <si>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</si>
  <si>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</si>
  <si>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</si>
  <si>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</si>
  <si>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</si>
  <si>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</si>
  <si>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</si>
  <si>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</si>
  <si>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</si>
  <si>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</si>
  <si>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</si>
  <si>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</si>
  <si>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</si>
  <si>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</si>
  <si>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</si>
  <si>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</si>
  <si>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</si>
  <si>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</si>
  <si>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</si>
  <si>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</si>
  <si>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</si>
  <si>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</si>
  <si>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</si>
  <si>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</si>
  <si>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</si>
  <si>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</si>
  <si>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</si>
  <si>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</si>
  <si>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</si>
  <si>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</si>
  <si>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</si>
  <si>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</si>
  <si>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</si>
  <si>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</si>
  <si>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</si>
  <si>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</si>
  <si>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</si>
  <si>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</si>
  <si>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</si>
  <si>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</si>
  <si>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</si>
  <si>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</si>
  <si>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</si>
  <si>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</si>
  <si>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</si>
  <si>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</si>
  <si>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</si>
  <si>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</si>
  <si>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</si>
  <si>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</si>
  <si>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</si>
  <si>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</si>
  <si>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</si>
  <si>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</si>
  <si>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</si>
  <si>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</si>
  <si>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</si>
  <si>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</si>
  <si>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</si>
  <si>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</si>
  <si>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</si>
  <si>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</si>
  <si>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</si>
  <si>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</si>
  <si>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</si>
  <si>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</si>
  <si>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</si>
  <si>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</si>
  <si>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</si>
  <si>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</si>
  <si>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</si>
  <si>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</si>
  <si>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</si>
  <si>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</si>
  <si>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</si>
  <si>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</si>
  <si>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</si>
  <si>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</si>
  <si>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</si>
  <si>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</si>
  <si>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</si>
  <si>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</si>
  <si>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</si>
  <si>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</si>
  <si>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</si>
  <si>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</si>
  <si>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</si>
  <si>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</si>
  <si>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</si>
  <si>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</si>
  <si>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</si>
  <si>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</si>
  <si>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</si>
  <si>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</si>
  <si>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</si>
  <si>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</si>
  <si>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</si>
  <si>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</si>
  <si>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</si>
  <si>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</si>
  <si>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</si>
  <si>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</si>
  <si>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</si>
  <si>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</si>
  <si>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</si>
  <si>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</si>
  <si>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</si>
  <si>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</si>
  <si>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</si>
  <si>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</si>
  <si>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</si>
  <si>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</si>
  <si>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</si>
  <si>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</si>
  <si>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</si>
  <si>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</si>
  <si>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</si>
  <si>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</si>
  <si>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</si>
  <si>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</si>
  <si>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</si>
  <si>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</si>
  <si>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</si>
  <si>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</si>
  <si>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</si>
  <si>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</si>
  <si>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</si>
  <si>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</si>
  <si>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</si>
  <si>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</si>
  <si>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</si>
  <si>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</si>
  <si>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</si>
  <si>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</si>
  <si>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</si>
  <si>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</si>
  <si>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</si>
  <si>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</si>
  <si>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</si>
  <si>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</si>
  <si>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</si>
  <si>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</si>
  <si>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</si>
  <si>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</si>
  <si>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</si>
  <si>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</si>
  <si>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</si>
  <si>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</si>
  <si>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</si>
  <si>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</si>
  <si>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</si>
  <si>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</si>
  <si>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</si>
  <si>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</si>
  <si>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</si>
  <si>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</si>
  <si>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</si>
  <si>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</si>
  <si>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</si>
  <si>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</si>
  <si>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</si>
  <si>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</si>
  <si>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</si>
  <si>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</si>
  <si>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</si>
  <si>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</si>
  <si>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</si>
  <si>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</si>
  <si>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</si>
  <si>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</si>
  <si>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</si>
  <si>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</si>
  <si>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</si>
  <si>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</si>
  <si>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</si>
  <si>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</si>
  <si>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</si>
  <si>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</si>
  <si>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</si>
  <si>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</si>
  <si>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</si>
  <si>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</si>
  <si>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</si>
  <si>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</si>
  <si>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</si>
  <si>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</si>
  <si>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</si>
  <si>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</si>
  <si>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</si>
  <si>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</si>
  <si>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</si>
  <si>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</si>
  <si>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</si>
  <si>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</si>
  <si>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</si>
  <si>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</si>
  <si>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</si>
  <si>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</si>
  <si>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</si>
  <si>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</si>
  <si>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</si>
  <si>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</si>
  <si>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</si>
  <si>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</si>
  <si>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</si>
  <si>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</si>
  <si>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</si>
  <si>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</si>
  <si>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</si>
  <si>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</si>
  <si>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</si>
  <si>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</si>
  <si>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</si>
  <si>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</si>
  <si>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</si>
  <si>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</si>
  <si>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</si>
  <si>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</si>
  <si>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</si>
  <si>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</si>
  <si>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</si>
  <si>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</si>
  <si>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</si>
  <si>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</si>
  <si>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</si>
  <si>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</si>
  <si>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</si>
  <si>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</si>
  <si>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</si>
  <si>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</si>
  <si>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</si>
  <si>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</si>
  <si>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</si>
  <si>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</si>
  <si>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</si>
  <si>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</si>
  <si>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</si>
  <si>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</si>
  <si>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</si>
  <si>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</si>
  <si>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</si>
  <si>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</si>
  <si>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</si>
  <si>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</si>
  <si>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</si>
  <si>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</si>
  <si>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</si>
  <si>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</si>
  <si>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</si>
  <si>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</si>
  <si>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</si>
  <si>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</si>
  <si>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</si>
  <si>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</si>
  <si>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</si>
  <si>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</si>
  <si>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</si>
  <si>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</si>
  <si>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</si>
  <si>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</si>
  <si>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</si>
  <si>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</si>
  <si>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</si>
  <si>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</si>
  <si>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</si>
  <si>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</si>
  <si>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</si>
  <si>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</si>
  <si>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</si>
  <si>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</si>
  <si>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</si>
  <si>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</si>
  <si>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</si>
  <si>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</si>
  <si>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</si>
  <si>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</si>
  <si>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</si>
  <si>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</si>
  <si>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</si>
  <si>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</si>
  <si>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</si>
  <si>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</si>
  <si>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</si>
  <si>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</si>
  <si>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</si>
  <si>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</si>
  <si>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</si>
  <si>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</si>
  <si>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</si>
  <si>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</si>
  <si>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</si>
  <si>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</si>
  <si>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</si>
  <si>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</si>
  <si>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</si>
  <si>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</si>
  <si>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</si>
  <si>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</si>
  <si>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</si>
  <si>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</si>
  <si>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</si>
  <si>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</si>
  <si>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</si>
  <si>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</si>
  <si>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</si>
  <si>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</si>
  <si>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</si>
  <si>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</si>
  <si>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</si>
  <si>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</si>
  <si>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</si>
  <si>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</si>
  <si>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</si>
  <si>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</si>
  <si>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</si>
  <si>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</si>
  <si>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</si>
  <si>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</si>
  <si>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</si>
  <si>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</si>
  <si>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</si>
  <si>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</si>
  <si>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</si>
  <si>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</si>
  <si>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</si>
  <si>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</si>
  <si>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</si>
  <si>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</si>
  <si>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</si>
  <si>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</si>
  <si>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</si>
  <si>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</si>
  <si>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</si>
  <si>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</si>
  <si>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</si>
  <si>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</si>
  <si>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</si>
  <si>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</si>
  <si>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</si>
  <si>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</si>
  <si>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</si>
  <si>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</si>
  <si>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</si>
  <si>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</si>
  <si>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</si>
  <si>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</si>
  <si>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</si>
  <si>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</si>
  <si>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</si>
  <si>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</si>
  <si>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</si>
  <si>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</si>
  <si>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</si>
  <si>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</si>
  <si>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</si>
  <si>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</si>
  <si>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</si>
  <si>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</si>
  <si>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</si>
  <si>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</si>
  <si>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</si>
  <si>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</si>
  <si>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</si>
  <si>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</si>
  <si>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</si>
  <si>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</si>
  <si>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</si>
  <si>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</si>
  <si>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</si>
  <si>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</si>
  <si>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</si>
  <si>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</si>
  <si>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</si>
  <si>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</si>
  <si>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</si>
  <si>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</si>
  <si>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</si>
  <si>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</si>
  <si>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</si>
  <si>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</si>
  <si>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</si>
  <si>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</si>
  <si>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</si>
  <si>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</si>
  <si>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</si>
  <si>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</si>
  <si>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</si>
  <si>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</si>
  <si>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</si>
  <si>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</si>
  <si>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</si>
  <si>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</si>
  <si>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</si>
  <si>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</si>
  <si>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</si>
  <si>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</si>
  <si>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</si>
  <si>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</si>
  <si>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</si>
  <si>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</si>
  <si>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</si>
  <si>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</si>
  <si>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</si>
  <si>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</si>
  <si>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</si>
  <si>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</si>
  <si>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</si>
  <si>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</si>
  <si>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</si>
  <si>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</si>
  <si>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</si>
  <si>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</si>
  <si>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</si>
  <si>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</si>
  <si>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</si>
  <si>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</si>
  <si>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</si>
  <si>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</si>
  <si>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</si>
  <si>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</si>
  <si>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</si>
  <si>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</si>
  <si>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</si>
  <si>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</si>
  <si>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</si>
  <si>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</si>
  <si>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</si>
  <si>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</si>
  <si>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</si>
  <si>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</si>
  <si>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</si>
  <si>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</si>
  <si>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</si>
  <si>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</si>
  <si>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</si>
  <si>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</si>
  <si>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</si>
  <si>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</si>
  <si>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</si>
  <si>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</si>
  <si>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</si>
  <si>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</si>
  <si>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</si>
  <si>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</si>
  <si>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</si>
  <si>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</si>
  <si>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</si>
  <si>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</si>
  <si>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</si>
  <si>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</si>
  <si>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</si>
  <si>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</si>
  <si>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</si>
  <si>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</si>
  <si>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</si>
  <si>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</si>
  <si>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</si>
  <si>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</si>
  <si>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</si>
  <si>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</si>
  <si>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</si>
  <si>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</si>
  <si>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</si>
  <si>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</si>
  <si>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</si>
  <si>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</si>
  <si>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</si>
  <si>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</si>
  <si>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</si>
  <si>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</si>
  <si>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</si>
  <si>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</si>
  <si>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</si>
  <si>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</si>
  <si>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</si>
  <si>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</si>
  <si>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</si>
  <si>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</si>
  <si>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</si>
  <si>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</si>
  <si>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</si>
  <si>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</si>
  <si>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</si>
  <si>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</si>
  <si>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</si>
  <si>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</si>
  <si>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</si>
  <si>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</si>
  <si>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</si>
  <si>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</si>
  <si>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</si>
  <si>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</si>
  <si>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</si>
  <si>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</si>
  <si>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</si>
  <si>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</si>
  <si>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</si>
  <si>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</si>
  <si>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</si>
  <si>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</si>
  <si>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</si>
  <si>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</si>
  <si>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</si>
  <si>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</si>
  <si>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</si>
  <si>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</si>
  <si>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</si>
  <si>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</si>
  <si>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</si>
  <si>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</si>
  <si>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</si>
  <si>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</si>
  <si>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</si>
  <si>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</si>
  <si>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</si>
  <si>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</si>
  <si>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</si>
  <si>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</si>
  <si>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</si>
  <si>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</si>
  <si>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</si>
  <si>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</si>
  <si>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</si>
  <si>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</si>
  <si>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</si>
  <si>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</si>
  <si>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</si>
  <si>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</si>
  <si>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</si>
  <si>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</si>
  <si>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</si>
  <si>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</si>
  <si>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</si>
  <si>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</si>
  <si>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</si>
  <si>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</si>
  <si>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</si>
  <si>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</si>
  <si>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</si>
  <si>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</si>
  <si>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</si>
  <si>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</si>
  <si>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</si>
  <si>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</si>
  <si>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</si>
  <si>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</si>
  <si>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</si>
  <si>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</si>
  <si>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</si>
  <si>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</si>
  <si>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</si>
  <si>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</si>
  <si>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</si>
  <si>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</si>
  <si>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</si>
  <si>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</si>
  <si>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</si>
  <si>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</si>
  <si>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</si>
  <si>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</si>
  <si>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</si>
  <si>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</si>
  <si>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</si>
  <si>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</si>
  <si>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</si>
  <si>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</si>
  <si>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</si>
  <si>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</si>
  <si>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</si>
  <si>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</si>
  <si>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</si>
  <si>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</si>
  <si>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</si>
  <si>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PRC</t>
  </si>
  <si>
    <t>TRAIL</t>
  </si>
  <si>
    <t>STOP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</si>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</sst>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8"/>
      <color theme="1" tint="0.249977111117893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9" fillId="39" borderId="0" applyNumberFormat="0" applyBorder="0" applyAlignment="0" applyProtection="0"/>
    <xf numFmtId="0" fontId="89" fillId="40" borderId="0" applyNumberFormat="0" applyBorder="0" applyAlignment="0" applyProtection="0"/>
  </cellStyleXfs>
  <cellXfs count="88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68" fillId="10" borderId="102" xfId="0" applyFont="1" applyFill="1" applyBorder="1" applyAlignment="1">
      <alignment horizontal="left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0" fontId="73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1" fillId="10" borderId="122" xfId="114" applyNumberFormat="1" applyFont="1" applyFill="1" applyBorder="1" applyAlignment="1">
      <alignment horizontal="right" vertical="center"/>
    </xf>
    <xf numFmtId="10" fontId="71" fillId="10" borderId="10" xfId="114" applyNumberFormat="1" applyFont="1" applyFill="1" applyBorder="1" applyAlignment="1">
      <alignment horizontal="right" vertical="center"/>
    </xf>
    <xf numFmtId="10" fontId="71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4" fillId="11" borderId="115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1" fontId="76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70" fillId="9" borderId="116" xfId="55" applyNumberFormat="1" applyFont="1" applyFill="1" applyBorder="1" applyAlignment="1">
      <alignment horizontal="right" vertical="center"/>
    </xf>
    <xf numFmtId="0" fontId="70" fillId="9" borderId="94" xfId="55" applyNumberFormat="1" applyFont="1" applyFill="1" applyBorder="1" applyAlignment="1">
      <alignment horizontal="right" vertical="center"/>
    </xf>
    <xf numFmtId="10" fontId="79" fillId="10" borderId="95" xfId="114" applyNumberFormat="1" applyFont="1" applyFill="1" applyBorder="1" applyAlignment="1">
      <alignment horizontal="center" vertical="center"/>
    </xf>
    <xf numFmtId="10" fontId="79" fillId="10" borderId="94" xfId="114" applyNumberFormat="1" applyFont="1" applyFill="1" applyBorder="1" applyAlignment="1">
      <alignment horizontal="center" vertical="center"/>
    </xf>
    <xf numFmtId="10" fontId="79" fillId="10" borderId="96" xfId="114" applyNumberFormat="1" applyFont="1" applyFill="1" applyBorder="1" applyAlignment="1">
      <alignment horizontal="center" vertical="center"/>
    </xf>
    <xf numFmtId="10" fontId="79" fillId="10" borderId="98" xfId="114" applyNumberFormat="1" applyFont="1" applyFill="1" applyBorder="1" applyAlignment="1">
      <alignment horizontal="center" vertical="center"/>
    </xf>
    <xf numFmtId="0" fontId="82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70" fillId="9" borderId="127" xfId="55" applyNumberFormat="1" applyFont="1" applyFill="1" applyBorder="1" applyAlignment="1">
      <alignment horizontal="right" vertical="center"/>
    </xf>
    <xf numFmtId="10" fontId="79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7" fillId="9" borderId="116" xfId="55" applyNumberFormat="1" applyFont="1" applyFill="1" applyBorder="1" applyAlignment="1">
      <alignment horizontal="right" vertical="center"/>
    </xf>
    <xf numFmtId="2" fontId="77" fillId="9" borderId="117" xfId="55" applyNumberFormat="1" applyFont="1" applyFill="1" applyBorder="1" applyAlignment="1">
      <alignment horizontal="right" vertical="center"/>
    </xf>
    <xf numFmtId="10" fontId="84" fillId="10" borderId="95" xfId="114" applyNumberFormat="1" applyFont="1" applyFill="1" applyBorder="1" applyAlignment="1">
      <alignment horizontal="center" vertical="center"/>
    </xf>
    <xf numFmtId="0" fontId="85" fillId="10" borderId="3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0" fontId="85" fillId="10" borderId="91" xfId="0" applyFont="1" applyFill="1" applyBorder="1" applyAlignment="1">
      <alignment horizontal="right" vertical="center"/>
    </xf>
    <xf numFmtId="0" fontId="86" fillId="10" borderId="95" xfId="0" applyFont="1" applyFill="1" applyBorder="1" applyAlignment="1">
      <alignment horizontal="right" vertical="center"/>
    </xf>
    <xf numFmtId="3" fontId="86" fillId="10" borderId="95" xfId="0" applyNumberFormat="1" applyFont="1" applyFill="1" applyBorder="1" applyAlignment="1">
      <alignment horizontal="right" vertical="center"/>
    </xf>
    <xf numFmtId="10" fontId="84" fillId="10" borderId="94" xfId="114" applyNumberFormat="1" applyFont="1" applyFill="1" applyBorder="1" applyAlignment="1">
      <alignment horizontal="center" vertical="center"/>
    </xf>
    <xf numFmtId="0" fontId="85" fillId="10" borderId="104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0" fontId="85" fillId="10" borderId="120" xfId="0" applyFont="1" applyFill="1" applyBorder="1" applyAlignment="1">
      <alignment horizontal="right" vertical="center"/>
    </xf>
    <xf numFmtId="0" fontId="86" fillId="10" borderId="103" xfId="0" applyFont="1" applyFill="1" applyBorder="1" applyAlignment="1">
      <alignment horizontal="right" vertical="center"/>
    </xf>
    <xf numFmtId="3" fontId="86" fillId="10" borderId="103" xfId="0" applyNumberFormat="1" applyFont="1" applyFill="1" applyBorder="1" applyAlignment="1">
      <alignment horizontal="right" vertical="center"/>
    </xf>
    <xf numFmtId="0" fontId="85" fillId="10" borderId="93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0" fontId="85" fillId="10" borderId="119" xfId="0" applyFont="1" applyFill="1" applyBorder="1" applyAlignment="1">
      <alignment horizontal="right" vertical="center"/>
    </xf>
    <xf numFmtId="0" fontId="86" fillId="10" borderId="92" xfId="0" applyFont="1" applyFill="1" applyBorder="1" applyAlignment="1">
      <alignment horizontal="right" vertical="center"/>
    </xf>
    <xf numFmtId="3" fontId="86" fillId="10" borderId="92" xfId="0" applyNumberFormat="1" applyFont="1" applyFill="1" applyBorder="1" applyAlignment="1">
      <alignment horizontal="right" vertical="center"/>
    </xf>
    <xf numFmtId="0" fontId="85" fillId="10" borderId="89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0" fontId="85" fillId="10" borderId="90" xfId="0" applyFont="1" applyFill="1" applyBorder="1" applyAlignment="1">
      <alignment horizontal="right" vertical="center"/>
    </xf>
    <xf numFmtId="0" fontId="86" fillId="10" borderId="96" xfId="0" applyFont="1" applyFill="1" applyBorder="1" applyAlignment="1">
      <alignment horizontal="right" vertical="center"/>
    </xf>
    <xf numFmtId="3" fontId="86" fillId="10" borderId="96" xfId="0" applyNumberFormat="1" applyFont="1" applyFill="1" applyBorder="1" applyAlignment="1">
      <alignment horizontal="right" vertical="center"/>
    </xf>
    <xf numFmtId="0" fontId="87" fillId="27" borderId="34" xfId="0" applyFont="1" applyFill="1" applyBorder="1" applyAlignment="1">
      <alignment horizontal="center" vertical="center"/>
    </xf>
    <xf numFmtId="4" fontId="87" fillId="30" borderId="34" xfId="0" applyNumberFormat="1" applyFont="1" applyFill="1" applyBorder="1" applyAlignment="1">
      <alignment horizontal="center" vertical="center"/>
    </xf>
    <xf numFmtId="0" fontId="87" fillId="23" borderId="34" xfId="0" applyFont="1" applyFill="1" applyBorder="1" applyAlignment="1">
      <alignment horizontal="center" vertical="center"/>
    </xf>
    <xf numFmtId="0" fontId="87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9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1" fillId="11" borderId="115" xfId="77" applyNumberFormat="1" applyFont="1" applyFill="1" applyBorder="1" applyAlignment="1">
      <alignment horizontal="center" vertical="center"/>
    </xf>
    <xf numFmtId="1" fontId="69" fillId="11" borderId="138" xfId="77" applyNumberFormat="1" applyFont="1" applyFill="1" applyBorder="1" applyAlignment="1">
      <alignment horizontal="center" vertical="center"/>
    </xf>
    <xf numFmtId="1" fontId="88" fillId="11" borderId="114" xfId="77" applyNumberFormat="1" applyFont="1" applyFill="1" applyBorder="1" applyAlignment="1">
      <alignment horizontal="center" vertical="center"/>
    </xf>
    <xf numFmtId="1" fontId="74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6" fillId="9" borderId="0" xfId="0" applyNumberFormat="1" applyFont="1" applyFill="1"/>
    <xf numFmtId="0" fontId="96" fillId="9" borderId="0" xfId="0" applyFont="1" applyFill="1" applyAlignment="1">
      <alignment horizontal="center"/>
    </xf>
    <xf numFmtId="1" fontId="92" fillId="11" borderId="114" xfId="77" applyNumberFormat="1" applyFont="1" applyFill="1" applyBorder="1" applyAlignment="1">
      <alignment horizontal="center" vertical="center"/>
    </xf>
    <xf numFmtId="1" fontId="98" fillId="11" borderId="114" xfId="77" applyNumberFormat="1" applyFont="1" applyFill="1" applyBorder="1" applyAlignment="1">
      <alignment horizontal="center" vertical="center"/>
    </xf>
    <xf numFmtId="1" fontId="90" fillId="11" borderId="138" xfId="77" applyNumberFormat="1" applyFont="1" applyFill="1" applyBorder="1" applyAlignment="1">
      <alignment horizontal="center" vertical="center"/>
    </xf>
    <xf numFmtId="1" fontId="92" fillId="11" borderId="137" xfId="77" applyNumberFormat="1" applyFont="1" applyFill="1" applyBorder="1" applyAlignment="1">
      <alignment horizontal="center" vertical="center"/>
    </xf>
    <xf numFmtId="1" fontId="98" fillId="11" borderId="115" xfId="77" applyNumberFormat="1" applyFont="1" applyFill="1" applyBorder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9" fillId="0" borderId="0" xfId="0" applyFont="1"/>
    <xf numFmtId="0" fontId="2" fillId="0" borderId="0" xfId="0" applyFont="1"/>
    <xf numFmtId="0" fontId="64" fillId="10" borderId="142" xfId="0" applyFont="1" applyFill="1" applyBorder="1" applyAlignment="1">
      <alignment horizontal="right" vertical="center"/>
    </xf>
    <xf numFmtId="0" fontId="35" fillId="10" borderId="133" xfId="55" applyNumberFormat="1" applyFont="1" applyFill="1" applyBorder="1" applyAlignment="1">
      <alignment horizontal="right" vertical="center"/>
    </xf>
    <xf numFmtId="166" fontId="35" fillId="10" borderId="143" xfId="0" applyNumberFormat="1" applyFont="1" applyFill="1" applyBorder="1" applyAlignment="1">
      <alignment horizontal="center" vertical="center"/>
    </xf>
    <xf numFmtId="0" fontId="38" fillId="9" borderId="118" xfId="0" applyNumberFormat="1" applyFont="1" applyFill="1" applyBorder="1" applyAlignment="1">
      <alignment vertical="center"/>
    </xf>
    <xf numFmtId="0" fontId="38" fillId="9" borderId="143" xfId="0" applyNumberFormat="1" applyFont="1" applyFill="1" applyBorder="1" applyAlignment="1">
      <alignment vertical="center"/>
    </xf>
    <xf numFmtId="3" fontId="95" fillId="7" borderId="139" xfId="0" applyNumberFormat="1" applyFont="1" applyFill="1" applyBorder="1" applyAlignment="1">
      <alignment horizontal="center" vertical="center"/>
    </xf>
    <xf numFmtId="3" fontId="81" fillId="7" borderId="139" xfId="0" applyNumberFormat="1" applyFont="1" applyFill="1" applyBorder="1" applyAlignment="1">
      <alignment horizontal="center" vertical="center"/>
    </xf>
    <xf numFmtId="3" fontId="81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0" fontId="64" fillId="10" borderId="133" xfId="0" applyNumberFormat="1" applyFont="1" applyFill="1" applyBorder="1" applyAlignment="1">
      <alignment horizontal="right" vertical="center"/>
    </xf>
    <xf numFmtId="1" fontId="69" fillId="11" borderId="148" xfId="77" applyNumberFormat="1" applyFont="1" applyFill="1" applyBorder="1" applyAlignment="1">
      <alignment horizontal="center" vertical="center"/>
    </xf>
    <xf numFmtId="0" fontId="8" fillId="4" borderId="150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7" fillId="27" borderId="34" xfId="0" applyNumberFormat="1" applyFont="1" applyFill="1" applyBorder="1" applyAlignment="1">
      <alignment horizontal="center" vertical="center"/>
    </xf>
    <xf numFmtId="0" fontId="92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4" fillId="9" borderId="129" xfId="0" applyNumberFormat="1" applyFont="1" applyFill="1" applyBorder="1" applyAlignment="1">
      <alignment vertical="center"/>
    </xf>
    <xf numFmtId="0" fontId="69" fillId="9" borderId="118" xfId="0" applyNumberFormat="1" applyFont="1" applyFill="1" applyBorder="1" applyAlignment="1">
      <alignment vertical="center"/>
    </xf>
    <xf numFmtId="2" fontId="70" fillId="9" borderId="134" xfId="0" applyNumberFormat="1" applyFont="1" applyFill="1" applyBorder="1" applyAlignment="1">
      <alignment horizontal="center" vertical="top"/>
    </xf>
    <xf numFmtId="0" fontId="88" fillId="9" borderId="118" xfId="0" applyNumberFormat="1" applyFont="1" applyFill="1" applyBorder="1" applyAlignment="1">
      <alignment vertical="center"/>
    </xf>
    <xf numFmtId="2" fontId="93" fillId="9" borderId="134" xfId="0" applyNumberFormat="1" applyFont="1" applyFill="1" applyBorder="1" applyAlignment="1">
      <alignment vertical="center"/>
    </xf>
    <xf numFmtId="2" fontId="100" fillId="9" borderId="134" xfId="0" applyNumberFormat="1" applyFont="1" applyFill="1" applyBorder="1" applyAlignment="1">
      <alignment vertical="center"/>
    </xf>
    <xf numFmtId="1" fontId="91" fillId="11" borderId="114" xfId="77" applyNumberFormat="1" applyFont="1" applyFill="1" applyBorder="1" applyAlignment="1">
      <alignment horizontal="center" vertical="center"/>
    </xf>
    <xf numFmtId="0" fontId="102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8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60" xfId="0" applyFont="1" applyFill="1" applyBorder="1" applyAlignment="1">
      <alignment horizontal="center" vertical="center"/>
    </xf>
    <xf numFmtId="0" fontId="53" fillId="23" borderId="161" xfId="0" applyFont="1" applyFill="1" applyBorder="1" applyAlignment="1">
      <alignment horizontal="center" vertical="center"/>
    </xf>
    <xf numFmtId="0" fontId="53" fillId="24" borderId="160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3" fillId="24" borderId="81" xfId="0" applyFont="1" applyFill="1" applyBorder="1" applyAlignment="1">
      <alignment horizontal="center" vertical="center"/>
    </xf>
    <xf numFmtId="0" fontId="105" fillId="20" borderId="32" xfId="0" applyFont="1" applyFill="1" applyBorder="1" applyAlignment="1">
      <alignment horizontal="center" vertical="center"/>
    </xf>
    <xf numFmtId="0" fontId="105" fillId="20" borderId="159" xfId="0" applyFont="1" applyFill="1" applyBorder="1" applyAlignment="1">
      <alignment horizontal="center" vertical="center"/>
    </xf>
    <xf numFmtId="0" fontId="104" fillId="31" borderId="32" xfId="0" applyFont="1" applyFill="1" applyBorder="1" applyAlignment="1">
      <alignment horizontal="center" vertical="center" wrapText="1"/>
    </xf>
    <xf numFmtId="0" fontId="106" fillId="30" borderId="34" xfId="0" applyNumberFormat="1" applyFont="1" applyFill="1" applyBorder="1" applyAlignment="1">
      <alignment horizontal="center" vertical="center"/>
    </xf>
    <xf numFmtId="4" fontId="106" fillId="30" borderId="34" xfId="0" applyNumberFormat="1" applyFont="1" applyFill="1" applyBorder="1" applyAlignment="1">
      <alignment horizontal="center" vertical="center"/>
    </xf>
    <xf numFmtId="0" fontId="107" fillId="27" borderId="34" xfId="0" applyFont="1" applyFill="1" applyBorder="1" applyAlignment="1">
      <alignment horizontal="center" vertical="center"/>
    </xf>
    <xf numFmtId="0" fontId="107" fillId="27" borderId="34" xfId="0" applyNumberFormat="1" applyFont="1" applyFill="1" applyBorder="1" applyAlignment="1">
      <alignment horizontal="center" vertical="center"/>
    </xf>
    <xf numFmtId="0" fontId="87" fillId="27" borderId="164" xfId="0" applyFont="1" applyFill="1" applyBorder="1" applyAlignment="1">
      <alignment horizontal="center" vertical="center"/>
    </xf>
    <xf numFmtId="0" fontId="87" fillId="27" borderId="165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8" fillId="28" borderId="34" xfId="0" applyNumberFormat="1" applyFont="1" applyFill="1" applyBorder="1" applyAlignment="1">
      <alignment horizontal="center" vertical="center"/>
    </xf>
    <xf numFmtId="0" fontId="108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62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3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61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9" fillId="18" borderId="25" xfId="0" applyFont="1" applyFill="1" applyBorder="1" applyAlignment="1">
      <alignment horizontal="center" vertical="center"/>
    </xf>
    <xf numFmtId="0" fontId="110" fillId="18" borderId="25" xfId="0" applyFont="1" applyFill="1" applyBorder="1" applyAlignment="1">
      <alignment horizontal="center" vertical="center"/>
    </xf>
    <xf numFmtId="3" fontId="111" fillId="26" borderId="40" xfId="0" applyNumberFormat="1" applyFont="1" applyFill="1" applyBorder="1" applyAlignment="1">
      <alignment horizontal="right" vertical="center"/>
    </xf>
    <xf numFmtId="3" fontId="111" fillId="26" borderId="49" xfId="0" applyNumberFormat="1" applyFont="1" applyFill="1" applyBorder="1" applyAlignment="1">
      <alignment horizontal="right" vertical="center"/>
    </xf>
    <xf numFmtId="3" fontId="111" fillId="26" borderId="50" xfId="0" applyNumberFormat="1" applyFont="1" applyFill="1" applyBorder="1" applyAlignment="1">
      <alignment horizontal="right" vertical="center"/>
    </xf>
    <xf numFmtId="3" fontId="111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7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7" xfId="0" applyFont="1" applyFill="1" applyBorder="1" applyAlignment="1">
      <alignment horizontal="left" vertical="center"/>
    </xf>
    <xf numFmtId="0" fontId="48" fillId="19" borderId="166" xfId="0" applyFont="1" applyFill="1" applyBorder="1" applyAlignment="1">
      <alignment horizontal="center" vertical="center"/>
    </xf>
    <xf numFmtId="0" fontId="48" fillId="17" borderId="167" xfId="0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2" xfId="0" applyNumberFormat="1" applyFont="1" applyFill="1" applyBorder="1" applyAlignment="1">
      <alignment horizontal="right" vertical="center"/>
    </xf>
    <xf numFmtId="0" fontId="113" fillId="12" borderId="108" xfId="55" applyNumberFormat="1" applyFont="1" applyFill="1" applyBorder="1" applyAlignment="1">
      <alignment horizontal="center" vertical="center"/>
    </xf>
    <xf numFmtId="0" fontId="113" fillId="12" borderId="125" xfId="55" applyNumberFormat="1" applyFont="1" applyFill="1" applyBorder="1" applyAlignment="1">
      <alignment horizontal="center" vertical="center"/>
    </xf>
    <xf numFmtId="0" fontId="37" fillId="10" borderId="176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7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7" xfId="0" applyNumberFormat="1" applyFont="1" applyFill="1" applyBorder="1" applyAlignment="1">
      <alignment horizontal="center" vertical="center"/>
    </xf>
    <xf numFmtId="0" fontId="112" fillId="9" borderId="89" xfId="55" applyNumberFormat="1" applyFont="1" applyFill="1" applyBorder="1" applyAlignment="1">
      <alignment horizontal="center" vertical="center"/>
    </xf>
    <xf numFmtId="0" fontId="112" fillId="9" borderId="129" xfId="55" applyNumberFormat="1" applyFont="1" applyFill="1" applyBorder="1" applyAlignment="1">
      <alignment horizontal="center" vertical="center"/>
    </xf>
    <xf numFmtId="0" fontId="112" fillId="9" borderId="143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4" fillId="11" borderId="132" xfId="77" applyNumberFormat="1" applyFont="1" applyFill="1" applyBorder="1" applyAlignment="1">
      <alignment horizontal="center" vertical="center"/>
    </xf>
    <xf numFmtId="0" fontId="92" fillId="9" borderId="156" xfId="0" applyNumberFormat="1" applyFont="1" applyFill="1" applyBorder="1" applyAlignment="1">
      <alignment horizontal="center" vertical="center"/>
    </xf>
    <xf numFmtId="0" fontId="92" fillId="9" borderId="129" xfId="0" applyNumberFormat="1" applyFont="1" applyFill="1" applyBorder="1" applyAlignment="1">
      <alignment horizontal="center" vertical="center"/>
    </xf>
    <xf numFmtId="0" fontId="88" fillId="9" borderId="151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4" fillId="9" borderId="129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2" fontId="70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5" fillId="10" borderId="102" xfId="0" applyFont="1" applyFill="1" applyBorder="1" applyAlignment="1">
      <alignment horizontal="left" vertical="center"/>
    </xf>
    <xf numFmtId="170" fontId="101" fillId="10" borderId="149" xfId="0" applyNumberFormat="1" applyFont="1" applyFill="1" applyBorder="1" applyAlignment="1">
      <alignment vertical="center"/>
    </xf>
    <xf numFmtId="168" fontId="101" fillId="9" borderId="180" xfId="0" applyNumberFormat="1" applyFont="1" applyFill="1" applyBorder="1" applyAlignment="1">
      <alignment horizontal="center" vertical="center" wrapText="1"/>
    </xf>
    <xf numFmtId="0" fontId="101" fillId="9" borderId="95" xfId="55" applyNumberFormat="1" applyFont="1" applyFill="1" applyBorder="1" applyAlignment="1">
      <alignment horizontal="center" vertical="center" wrapText="1"/>
    </xf>
    <xf numFmtId="3" fontId="117" fillId="10" borderId="179" xfId="0" applyNumberFormat="1" applyFont="1" applyFill="1" applyBorder="1" applyAlignment="1">
      <alignment horizontal="center" vertical="center"/>
    </xf>
    <xf numFmtId="0" fontId="64" fillId="10" borderId="182" xfId="0" applyFont="1" applyFill="1" applyBorder="1" applyAlignment="1">
      <alignment horizontal="left" vertical="center"/>
    </xf>
    <xf numFmtId="3" fontId="118" fillId="10" borderId="181" xfId="0" applyNumberFormat="1" applyFont="1" applyFill="1" applyBorder="1" applyAlignment="1">
      <alignment horizontal="center" vertical="center"/>
    </xf>
    <xf numFmtId="3" fontId="118" fillId="10" borderId="178" xfId="0" applyNumberFormat="1" applyFont="1" applyFill="1" applyBorder="1" applyAlignment="1">
      <alignment horizontal="center" vertical="center"/>
    </xf>
    <xf numFmtId="0" fontId="102" fillId="9" borderId="156" xfId="0" applyNumberFormat="1" applyFont="1" applyFill="1" applyBorder="1" applyAlignment="1">
      <alignment horizontal="center" vertical="center"/>
    </xf>
    <xf numFmtId="0" fontId="102" fillId="9" borderId="129" xfId="0" applyNumberFormat="1" applyFont="1" applyFill="1" applyBorder="1" applyAlignment="1">
      <alignment horizontal="center" vertical="center"/>
    </xf>
    <xf numFmtId="0" fontId="80" fillId="9" borderId="94" xfId="0" applyNumberFormat="1" applyFont="1" applyFill="1" applyBorder="1" applyAlignment="1">
      <alignment horizontal="center" vertical="top"/>
    </xf>
    <xf numFmtId="0" fontId="80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2" fillId="9" borderId="184" xfId="0" applyNumberFormat="1" applyFont="1" applyFill="1" applyBorder="1" applyAlignment="1">
      <alignment horizontal="center" vertical="center"/>
    </xf>
    <xf numFmtId="0" fontId="23" fillId="9" borderId="156" xfId="0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2" fillId="9" borderId="185" xfId="0" applyNumberFormat="1" applyFont="1" applyFill="1" applyBorder="1" applyAlignment="1">
      <alignment horizontal="center" vertical="center"/>
    </xf>
    <xf numFmtId="0" fontId="23" fillId="9" borderId="186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0" fontId="100" fillId="9" borderId="116" xfId="55" applyNumberFormat="1" applyFont="1" applyFill="1" applyBorder="1" applyAlignment="1">
      <alignment horizontal="left" vertical="center"/>
    </xf>
    <xf numFmtId="0" fontId="70" fillId="9" borderId="117" xfId="55" applyNumberFormat="1" applyFont="1" applyFill="1" applyBorder="1" applyAlignment="1">
      <alignment horizontal="right" vertical="center"/>
    </xf>
    <xf numFmtId="3" fontId="95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3" fillId="9" borderId="92" xfId="0" applyFont="1" applyFill="1" applyBorder="1" applyAlignment="1">
      <alignment horizontal="right" vertical="center"/>
    </xf>
    <xf numFmtId="0" fontId="83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29" fillId="9" borderId="98" xfId="0" applyFont="1" applyFill="1" applyBorder="1" applyAlignment="1">
      <alignment horizontal="right" vertical="center"/>
    </xf>
    <xf numFmtId="0" fontId="29" fillId="9" borderId="133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1" fillId="7" borderId="139" xfId="0" applyNumberFormat="1" applyFont="1" applyFill="1" applyBorder="1" applyAlignment="1">
      <alignment horizontal="right" vertical="center"/>
    </xf>
    <xf numFmtId="2" fontId="77" fillId="9" borderId="128" xfId="55" applyNumberFormat="1" applyFont="1" applyFill="1" applyBorder="1" applyAlignment="1">
      <alignment horizontal="left" vertical="center"/>
    </xf>
    <xf numFmtId="2" fontId="77" fillId="9" borderId="183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9" fillId="11" borderId="115" xfId="77" applyNumberFormat="1" applyFont="1" applyFill="1" applyBorder="1" applyAlignment="1">
      <alignment horizontal="center" vertical="center"/>
    </xf>
    <xf numFmtId="1" fontId="119" fillId="11" borderId="114" xfId="77" applyNumberFormat="1" applyFont="1" applyFill="1" applyBorder="1" applyAlignment="1">
      <alignment horizontal="center" vertical="center"/>
    </xf>
    <xf numFmtId="1" fontId="119" fillId="11" borderId="132" xfId="77" applyNumberFormat="1" applyFont="1" applyFill="1" applyBorder="1" applyAlignment="1">
      <alignment horizontal="center" vertical="center"/>
    </xf>
    <xf numFmtId="0" fontId="70" fillId="9" borderId="116" xfId="55" applyNumberFormat="1" applyFont="1" applyFill="1" applyBorder="1" applyAlignment="1">
      <alignment horizontal="left" vertical="center"/>
    </xf>
    <xf numFmtId="0" fontId="70" fillId="9" borderId="117" xfId="55" applyNumberFormat="1" applyFont="1" applyFill="1" applyBorder="1" applyAlignment="1">
      <alignment horizontal="left" vertical="center"/>
    </xf>
    <xf numFmtId="0" fontId="102" fillId="9" borderId="152" xfId="0" applyNumberFormat="1" applyFont="1" applyFill="1" applyBorder="1" applyAlignment="1">
      <alignment horizontal="center" vertical="center"/>
    </xf>
    <xf numFmtId="0" fontId="29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8" xfId="0" applyFont="1" applyFill="1" applyBorder="1" applyAlignment="1">
      <alignment horizontal="left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189" xfId="0" applyFont="1" applyFill="1" applyBorder="1" applyAlignment="1">
      <alignment horizontal="right" vertical="center"/>
    </xf>
    <xf numFmtId="0" fontId="29" fillId="9" borderId="190" xfId="0" applyFont="1" applyFill="1" applyBorder="1" applyAlignment="1">
      <alignment horizontal="right" vertical="center"/>
    </xf>
    <xf numFmtId="10" fontId="79" fillId="10" borderId="190" xfId="114" applyNumberFormat="1" applyFont="1" applyFill="1" applyBorder="1" applyAlignment="1">
      <alignment horizontal="center" vertical="center"/>
    </xf>
    <xf numFmtId="0" fontId="37" fillId="10" borderId="191" xfId="0" applyFont="1" applyFill="1" applyBorder="1" applyAlignment="1">
      <alignment horizontal="right" vertical="center"/>
    </xf>
    <xf numFmtId="0" fontId="37" fillId="10" borderId="190" xfId="0" applyFont="1" applyFill="1" applyBorder="1" applyAlignment="1">
      <alignment horizontal="right" vertical="center"/>
    </xf>
    <xf numFmtId="0" fontId="37" fillId="10" borderId="189" xfId="0" applyFont="1" applyFill="1" applyBorder="1" applyAlignment="1">
      <alignment horizontal="right" vertical="center"/>
    </xf>
    <xf numFmtId="0" fontId="35" fillId="10" borderId="190" xfId="0" applyFont="1" applyFill="1" applyBorder="1" applyAlignment="1">
      <alignment horizontal="right" vertical="center"/>
    </xf>
    <xf numFmtId="3" fontId="35" fillId="10" borderId="190" xfId="0" applyNumberFormat="1" applyFont="1" applyFill="1" applyBorder="1" applyAlignment="1">
      <alignment horizontal="right" vertical="center"/>
    </xf>
    <xf numFmtId="166" fontId="35" fillId="10" borderId="191" xfId="0" applyNumberFormat="1" applyFont="1" applyFill="1" applyBorder="1" applyAlignment="1">
      <alignment horizontal="center" vertical="center"/>
    </xf>
    <xf numFmtId="0" fontId="26" fillId="9" borderId="190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102" fillId="9" borderId="194" xfId="0" applyNumberFormat="1" applyFont="1" applyFill="1" applyBorder="1" applyAlignment="1">
      <alignment horizontal="center" vertical="center"/>
    </xf>
    <xf numFmtId="0" fontId="64" fillId="10" borderId="196" xfId="0" applyFont="1" applyFill="1" applyBorder="1" applyAlignment="1">
      <alignment horizontal="left" vertical="center"/>
    </xf>
    <xf numFmtId="3" fontId="35" fillId="10" borderId="192" xfId="0" applyNumberFormat="1" applyFont="1" applyFill="1" applyBorder="1" applyAlignment="1">
      <alignment horizontal="right" vertical="center"/>
    </xf>
    <xf numFmtId="0" fontId="26" fillId="9" borderId="189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120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7" fillId="9" borderId="197" xfId="55" applyNumberFormat="1" applyFont="1" applyFill="1" applyBorder="1" applyAlignment="1">
      <alignment horizontal="left" vertical="center"/>
    </xf>
    <xf numFmtId="0" fontId="70" fillId="9" borderId="198" xfId="55" applyNumberFormat="1" applyFont="1" applyFill="1" applyBorder="1" applyAlignment="1">
      <alignment horizontal="right" vertical="center"/>
    </xf>
    <xf numFmtId="0" fontId="29" fillId="9" borderId="198" xfId="0" applyFont="1" applyFill="1" applyBorder="1" applyAlignment="1">
      <alignment horizontal="right" vertical="center"/>
    </xf>
    <xf numFmtId="10" fontId="79" fillId="10" borderId="195" xfId="114" applyNumberFormat="1" applyFont="1" applyFill="1" applyBorder="1" applyAlignment="1">
      <alignment horizontal="center" vertical="center"/>
    </xf>
    <xf numFmtId="166" fontId="35" fillId="10" borderId="189" xfId="0" applyNumberFormat="1" applyFont="1" applyFill="1" applyBorder="1" applyAlignment="1">
      <alignment horizontal="center" vertical="center"/>
    </xf>
    <xf numFmtId="0" fontId="23" fillId="9" borderId="190" xfId="0" applyFont="1" applyFill="1" applyBorder="1" applyAlignment="1">
      <alignment horizontal="center" vertical="center"/>
    </xf>
    <xf numFmtId="0" fontId="77" fillId="9" borderId="116" xfId="55" applyNumberFormat="1" applyFont="1" applyFill="1" applyBorder="1" applyAlignment="1">
      <alignment horizontal="right" vertical="center"/>
    </xf>
    <xf numFmtId="0" fontId="77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2" fillId="9" borderId="116" xfId="55" applyNumberFormat="1" applyFont="1" applyFill="1" applyBorder="1" applyAlignment="1">
      <alignment horizontal="right" vertical="center"/>
    </xf>
    <xf numFmtId="167" fontId="112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5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89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8" fillId="9" borderId="118" xfId="55" applyNumberFormat="1" applyFont="1" applyFill="1" applyBorder="1" applyAlignment="1">
      <alignment horizontal="center" vertical="center"/>
    </xf>
    <xf numFmtId="165" fontId="78" fillId="9" borderId="156" xfId="55" applyNumberFormat="1" applyFont="1" applyFill="1" applyBorder="1" applyAlignment="1">
      <alignment horizontal="center" vertical="center"/>
    </xf>
    <xf numFmtId="2" fontId="78" fillId="9" borderId="152" xfId="55" applyNumberFormat="1" applyFont="1" applyFill="1" applyBorder="1" applyAlignment="1">
      <alignment horizontal="center" vertical="center"/>
    </xf>
    <xf numFmtId="2" fontId="78" fillId="9" borderId="156" xfId="55" applyNumberFormat="1" applyFont="1" applyFill="1" applyBorder="1" applyAlignment="1">
      <alignment horizontal="center" vertical="center"/>
    </xf>
    <xf numFmtId="2" fontId="78" fillId="9" borderId="194" xfId="55" applyNumberFormat="1" applyFont="1" applyFill="1" applyBorder="1" applyAlignment="1">
      <alignment horizontal="center" vertical="center"/>
    </xf>
    <xf numFmtId="2" fontId="78" fillId="9" borderId="118" xfId="55" applyNumberFormat="1" applyFont="1" applyFill="1" applyBorder="1" applyAlignment="1">
      <alignment horizontal="center" vertical="center"/>
    </xf>
    <xf numFmtId="167" fontId="80" fillId="9" borderId="118" xfId="55" applyNumberFormat="1" applyFont="1" applyFill="1" applyBorder="1" applyAlignment="1">
      <alignment horizontal="center" vertical="center"/>
    </xf>
    <xf numFmtId="167" fontId="80" fillId="9" borderId="156" xfId="55" applyNumberFormat="1" applyFont="1" applyFill="1" applyBorder="1" applyAlignment="1">
      <alignment horizontal="center" vertical="center"/>
    </xf>
    <xf numFmtId="167" fontId="80" fillId="9" borderId="194" xfId="55" applyNumberFormat="1" applyFont="1" applyFill="1" applyBorder="1" applyAlignment="1">
      <alignment horizontal="center" vertical="center"/>
    </xf>
    <xf numFmtId="0" fontId="80" fillId="9" borderId="153" xfId="55" applyNumberFormat="1" applyFont="1" applyFill="1" applyBorder="1" applyAlignment="1">
      <alignment horizontal="center" vertical="center"/>
    </xf>
    <xf numFmtId="2" fontId="80" fillId="9" borderId="146" xfId="55" applyNumberFormat="1" applyFont="1" applyFill="1" applyBorder="1" applyAlignment="1">
      <alignment horizontal="center" vertical="center"/>
    </xf>
    <xf numFmtId="0" fontId="80" fillId="9" borderId="154" xfId="55" applyNumberFormat="1" applyFont="1" applyFill="1" applyBorder="1" applyAlignment="1">
      <alignment horizontal="center" vertical="center"/>
    </xf>
    <xf numFmtId="1" fontId="80" fillId="9" borderId="145" xfId="55" applyNumberFormat="1" applyFont="1" applyFill="1" applyBorder="1" applyAlignment="1">
      <alignment vertical="center"/>
    </xf>
    <xf numFmtId="2" fontId="80" fillId="9" borderId="144" xfId="55" applyNumberFormat="1" applyFont="1" applyFill="1" applyBorder="1" applyAlignment="1">
      <alignment horizontal="center" vertical="center"/>
    </xf>
    <xf numFmtId="0" fontId="121" fillId="9" borderId="121" xfId="0" applyFont="1" applyFill="1" applyBorder="1" applyAlignment="1">
      <alignment vertical="center"/>
    </xf>
    <xf numFmtId="1" fontId="80" fillId="9" borderId="129" xfId="55" applyNumberFormat="1" applyFont="1" applyFill="1" applyBorder="1" applyAlignment="1">
      <alignment vertical="center"/>
    </xf>
    <xf numFmtId="0" fontId="121" fillId="9" borderId="96" xfId="0" applyFont="1" applyFill="1" applyBorder="1" applyAlignment="1">
      <alignment vertical="center"/>
    </xf>
    <xf numFmtId="0" fontId="112" fillId="9" borderId="155" xfId="55" applyNumberFormat="1" applyFont="1" applyFill="1" applyBorder="1" applyAlignment="1">
      <alignment vertical="center"/>
    </xf>
    <xf numFmtId="2" fontId="78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8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2" fillId="9" borderId="155" xfId="55" applyNumberFormat="1" applyFont="1" applyFill="1" applyBorder="1" applyAlignment="1">
      <alignment horizontal="center" vertical="center"/>
    </xf>
    <xf numFmtId="2" fontId="78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8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80" fillId="9" borderId="141" xfId="55" applyNumberFormat="1" applyFont="1" applyFill="1" applyBorder="1" applyAlignment="1">
      <alignment horizontal="center" vertical="center"/>
    </xf>
    <xf numFmtId="1" fontId="25" fillId="9" borderId="199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0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201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114" fillId="9" borderId="152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67" fillId="9" borderId="204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0" fontId="80" fillId="9" borderId="214" xfId="55" applyNumberFormat="1" applyFont="1" applyFill="1" applyBorder="1" applyAlignment="1">
      <alignment horizontal="center" vertical="center"/>
    </xf>
    <xf numFmtId="0" fontId="80" fillId="9" borderId="129" xfId="0" applyNumberFormat="1" applyFont="1" applyFill="1" applyBorder="1" applyAlignment="1">
      <alignment horizontal="center" vertical="center"/>
    </xf>
    <xf numFmtId="0" fontId="80" fillId="9" borderId="152" xfId="0" applyNumberFormat="1" applyFont="1" applyFill="1" applyBorder="1" applyAlignment="1">
      <alignment horizontal="center" vertical="center"/>
    </xf>
    <xf numFmtId="0" fontId="80" fillId="9" borderId="118" xfId="55" applyNumberFormat="1" applyFont="1" applyFill="1" applyBorder="1" applyAlignment="1">
      <alignment horizontal="center" vertical="center"/>
    </xf>
    <xf numFmtId="0" fontId="80" fillId="9" borderId="156" xfId="55" applyNumberFormat="1" applyFont="1" applyFill="1" applyBorder="1" applyAlignment="1">
      <alignment horizontal="center" vertical="center"/>
    </xf>
    <xf numFmtId="0" fontId="80" fillId="9" borderId="215" xfId="0" applyNumberFormat="1" applyFont="1" applyFill="1" applyBorder="1" applyAlignment="1">
      <alignment horizontal="center" vertical="center"/>
    </xf>
    <xf numFmtId="0" fontId="80" fillId="9" borderId="212" xfId="0" applyNumberFormat="1" applyFont="1" applyFill="1" applyBorder="1" applyAlignment="1">
      <alignment horizontal="center" vertical="center"/>
    </xf>
    <xf numFmtId="0" fontId="80" fillId="9" borderId="204" xfId="0" applyNumberFormat="1" applyFont="1" applyFill="1" applyBorder="1" applyAlignment="1">
      <alignment horizontal="center" vertical="center"/>
    </xf>
    <xf numFmtId="0" fontId="80" fillId="9" borderId="213" xfId="0" applyNumberFormat="1" applyFont="1" applyFill="1" applyBorder="1" applyAlignment="1">
      <alignment horizontal="center" vertical="center"/>
    </xf>
    <xf numFmtId="0" fontId="80" fillId="9" borderId="216" xfId="0" applyNumberFormat="1" applyFont="1" applyFill="1" applyBorder="1" applyAlignment="1">
      <alignment horizontal="center" vertical="center"/>
    </xf>
    <xf numFmtId="0" fontId="80" fillId="9" borderId="211" xfId="0" applyNumberFormat="1" applyFont="1" applyFill="1" applyBorder="1" applyAlignment="1">
      <alignment horizontal="center" vertical="center"/>
    </xf>
    <xf numFmtId="0" fontId="80" fillId="9" borderId="217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1" fillId="9" borderId="204" xfId="0" applyNumberFormat="1" applyFont="1" applyFill="1" applyBorder="1" applyAlignment="1">
      <alignment vertical="top"/>
    </xf>
    <xf numFmtId="0" fontId="81" fillId="9" borderId="210" xfId="0" applyNumberFormat="1" applyFont="1" applyFill="1" applyBorder="1" applyAlignment="1">
      <alignment vertical="top"/>
    </xf>
    <xf numFmtId="2" fontId="77" fillId="9" borderId="219" xfId="55" applyNumberFormat="1" applyFont="1" applyFill="1" applyBorder="1" applyAlignment="1">
      <alignment horizontal="center" vertical="center"/>
    </xf>
    <xf numFmtId="2" fontId="77" fillId="9" borderId="220" xfId="55" applyNumberFormat="1" applyFont="1" applyFill="1" applyBorder="1" applyAlignment="1">
      <alignment horizontal="center" vertical="center"/>
    </xf>
    <xf numFmtId="0" fontId="70" fillId="9" borderId="135" xfId="55" applyNumberFormat="1" applyFont="1" applyFill="1" applyBorder="1" applyAlignment="1">
      <alignment horizontal="left" vertical="center"/>
    </xf>
    <xf numFmtId="0" fontId="122" fillId="9" borderId="116" xfId="55" applyNumberFormat="1" applyFont="1" applyFill="1" applyBorder="1" applyAlignment="1">
      <alignment horizontal="left" vertical="center"/>
    </xf>
    <xf numFmtId="0" fontId="123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70" fillId="9" borderId="221" xfId="55" applyNumberFormat="1" applyFont="1" applyFill="1" applyBorder="1" applyAlignment="1">
      <alignment horizontal="left" vertical="center"/>
    </xf>
    <xf numFmtId="0" fontId="35" fillId="10" borderId="222" xfId="55" applyNumberFormat="1" applyFont="1" applyFill="1" applyBorder="1" applyAlignment="1">
      <alignment horizontal="right" vertical="center"/>
    </xf>
    <xf numFmtId="0" fontId="64" fillId="10" borderId="223" xfId="0" applyFont="1" applyFill="1" applyBorder="1" applyAlignment="1">
      <alignment horizontal="right" vertical="center"/>
    </xf>
    <xf numFmtId="0" fontId="64" fillId="10" borderId="222" xfId="0" applyFont="1" applyFill="1" applyBorder="1" applyAlignment="1">
      <alignment horizontal="right" vertical="center"/>
    </xf>
    <xf numFmtId="0" fontId="35" fillId="10" borderId="223" xfId="55" applyNumberFormat="1" applyFont="1" applyFill="1" applyBorder="1" applyAlignment="1">
      <alignment horizontal="right" vertical="center"/>
    </xf>
    <xf numFmtId="10" fontId="79" fillId="10" borderId="223" xfId="114" applyNumberFormat="1" applyFont="1" applyFill="1" applyBorder="1" applyAlignment="1">
      <alignment horizontal="center" vertical="center"/>
    </xf>
    <xf numFmtId="0" fontId="37" fillId="10" borderId="224" xfId="0" applyFont="1" applyFill="1" applyBorder="1" applyAlignment="1">
      <alignment horizontal="right" vertical="center"/>
    </xf>
    <xf numFmtId="0" fontId="37" fillId="10" borderId="223" xfId="0" applyFont="1" applyFill="1" applyBorder="1" applyAlignment="1">
      <alignment horizontal="right" vertical="center"/>
    </xf>
    <xf numFmtId="0" fontId="35" fillId="10" borderId="224" xfId="0" applyFont="1" applyFill="1" applyBorder="1" applyAlignment="1">
      <alignment horizontal="right" vertical="center"/>
    </xf>
    <xf numFmtId="3" fontId="35" fillId="10" borderId="223" xfId="0" applyNumberFormat="1" applyFont="1" applyFill="1" applyBorder="1" applyAlignment="1">
      <alignment horizontal="right" vertical="center"/>
    </xf>
    <xf numFmtId="0" fontId="35" fillId="10" borderId="223" xfId="0" applyFont="1" applyFill="1" applyBorder="1" applyAlignment="1">
      <alignment horizontal="right" vertical="center"/>
    </xf>
    <xf numFmtId="166" fontId="35" fillId="10" borderId="224" xfId="0" applyNumberFormat="1" applyFont="1" applyFill="1" applyBorder="1" applyAlignment="1">
      <alignment horizontal="center" vertical="center"/>
    </xf>
    <xf numFmtId="0" fontId="26" fillId="9" borderId="222" xfId="0" applyFont="1" applyFill="1" applyBorder="1" applyAlignment="1">
      <alignment horizontal="center" vertical="center"/>
    </xf>
    <xf numFmtId="0" fontId="23" fillId="9" borderId="223" xfId="0" applyFont="1" applyFill="1" applyBorder="1" applyAlignment="1">
      <alignment horizontal="center" vertical="center"/>
    </xf>
    <xf numFmtId="1" fontId="23" fillId="9" borderId="225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2" fontId="93" fillId="9" borderId="228" xfId="0" applyNumberFormat="1" applyFont="1" applyFill="1" applyBorder="1" applyAlignment="1">
      <alignment vertical="center"/>
    </xf>
    <xf numFmtId="0" fontId="80" fillId="9" borderId="229" xfId="0" applyNumberFormat="1" applyFont="1" applyFill="1" applyBorder="1" applyAlignment="1">
      <alignment horizontal="center" vertical="center"/>
    </xf>
    <xf numFmtId="0" fontId="112" fillId="9" borderId="227" xfId="55" applyNumberFormat="1" applyFont="1" applyFill="1" applyBorder="1" applyAlignment="1">
      <alignment horizontal="center" vertical="center"/>
    </xf>
    <xf numFmtId="2" fontId="78" fillId="9" borderId="230" xfId="55" applyNumberFormat="1" applyFont="1" applyFill="1" applyBorder="1" applyAlignment="1">
      <alignment horizontal="center" vertical="center"/>
    </xf>
    <xf numFmtId="2" fontId="65" fillId="9" borderId="230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24" fillId="9" borderId="135" xfId="55" applyNumberFormat="1" applyFont="1" applyFill="1" applyBorder="1" applyAlignment="1">
      <alignment horizontal="left" vertical="center"/>
    </xf>
    <xf numFmtId="0" fontId="83" fillId="9" borderId="127" xfId="0" applyFont="1" applyFill="1" applyBorder="1" applyAlignment="1">
      <alignment horizontal="right" vertical="center"/>
    </xf>
    <xf numFmtId="10" fontId="84" fillId="10" borderId="112" xfId="114" applyNumberFormat="1" applyFont="1" applyFill="1" applyBorder="1" applyAlignment="1">
      <alignment horizontal="center" vertical="center"/>
    </xf>
    <xf numFmtId="0" fontId="85" fillId="10" borderId="111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0" fontId="85" fillId="10" borderId="113" xfId="0" applyFont="1" applyFill="1" applyBorder="1" applyAlignment="1">
      <alignment horizontal="right" vertical="center"/>
    </xf>
    <xf numFmtId="0" fontId="86" fillId="10" borderId="110" xfId="0" applyFont="1" applyFill="1" applyBorder="1" applyAlignment="1">
      <alignment horizontal="right" vertical="center"/>
    </xf>
    <xf numFmtId="3" fontId="86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2" fillId="9" borderId="231" xfId="0" applyNumberFormat="1" applyFont="1" applyFill="1" applyBorder="1" applyAlignment="1">
      <alignment horizontal="center" vertical="center"/>
    </xf>
    <xf numFmtId="0" fontId="80" fillId="9" borderId="205" xfId="0" applyNumberFormat="1" applyFont="1" applyFill="1" applyBorder="1" applyAlignment="1">
      <alignment horizontal="center" vertical="center"/>
    </xf>
    <xf numFmtId="2" fontId="77" fillId="9" borderId="232" xfId="55" applyNumberFormat="1" applyFont="1" applyFill="1" applyBorder="1" applyAlignment="1">
      <alignment horizontal="center" vertical="center"/>
    </xf>
    <xf numFmtId="2" fontId="78" fillId="9" borderId="231" xfId="55" applyNumberFormat="1" applyFont="1" applyFill="1" applyBorder="1" applyAlignment="1">
      <alignment horizontal="center" vertical="center"/>
    </xf>
    <xf numFmtId="3" fontId="125" fillId="7" borderId="139" xfId="0" applyNumberFormat="1" applyFont="1" applyFill="1" applyBorder="1" applyAlignment="1">
      <alignment horizontal="center" vertical="center"/>
    </xf>
    <xf numFmtId="167" fontId="126" fillId="10" borderId="95" xfId="55" applyNumberFormat="1" applyFont="1" applyFill="1" applyBorder="1" applyAlignment="1">
      <alignment horizontal="right" vertical="center"/>
    </xf>
    <xf numFmtId="167" fontId="126" fillId="10" borderId="94" xfId="55" applyNumberFormat="1" applyFont="1" applyFill="1" applyBorder="1" applyAlignment="1">
      <alignment horizontal="right" vertical="center"/>
    </xf>
    <xf numFmtId="167" fontId="126" fillId="10" borderId="92" xfId="55" applyNumberFormat="1" applyFont="1" applyFill="1" applyBorder="1" applyAlignment="1">
      <alignment horizontal="right" vertical="center"/>
    </xf>
    <xf numFmtId="167" fontId="127" fillId="9" borderId="116" xfId="55" applyNumberFormat="1" applyFont="1" applyFill="1" applyBorder="1" applyAlignment="1">
      <alignment horizontal="right" vertical="center"/>
    </xf>
    <xf numFmtId="167" fontId="127" fillId="9" borderId="117" xfId="55" applyNumberFormat="1" applyFont="1" applyFill="1" applyBorder="1" applyAlignment="1">
      <alignment horizontal="right" vertical="center"/>
    </xf>
    <xf numFmtId="3" fontId="126" fillId="10" borderId="95" xfId="0" applyNumberFormat="1" applyFont="1" applyFill="1" applyBorder="1" applyAlignment="1">
      <alignment horizontal="right" vertical="center"/>
    </xf>
    <xf numFmtId="3" fontId="126" fillId="10" borderId="94" xfId="0" applyNumberFormat="1" applyFont="1" applyFill="1" applyBorder="1" applyAlignment="1">
      <alignment horizontal="right" vertical="center"/>
    </xf>
    <xf numFmtId="3" fontId="126" fillId="10" borderId="92" xfId="0" applyNumberFormat="1" applyFont="1" applyFill="1" applyBorder="1" applyAlignment="1">
      <alignment horizontal="right" vertical="center"/>
    </xf>
    <xf numFmtId="0" fontId="126" fillId="10" borderId="95" xfId="0" applyFont="1" applyFill="1" applyBorder="1" applyAlignment="1">
      <alignment horizontal="right" vertical="center"/>
    </xf>
    <xf numFmtId="0" fontId="126" fillId="10" borderId="96" xfId="0" applyFont="1" applyFill="1" applyBorder="1" applyAlignment="1">
      <alignment horizontal="right" vertical="center"/>
    </xf>
    <xf numFmtId="3" fontId="126" fillId="10" borderId="96" xfId="0" applyNumberFormat="1" applyFont="1" applyFill="1" applyBorder="1" applyAlignment="1">
      <alignment horizontal="right" vertical="center"/>
    </xf>
    <xf numFmtId="0" fontId="126" fillId="10" borderId="110" xfId="0" applyFont="1" applyFill="1" applyBorder="1" applyAlignment="1">
      <alignment horizontal="right" vertical="center"/>
    </xf>
    <xf numFmtId="3" fontId="126" fillId="10" borderId="112" xfId="0" applyNumberFormat="1" applyFont="1" applyFill="1" applyBorder="1" applyAlignment="1">
      <alignment horizontal="right" vertical="center"/>
    </xf>
    <xf numFmtId="0" fontId="126" fillId="10" borderId="92" xfId="0" applyFont="1" applyFill="1" applyBorder="1" applyAlignment="1">
      <alignment horizontal="right" vertical="center"/>
    </xf>
    <xf numFmtId="0" fontId="126" fillId="10" borderId="101" xfId="0" applyFont="1" applyFill="1" applyBorder="1" applyAlignment="1">
      <alignment horizontal="right" vertical="center"/>
    </xf>
    <xf numFmtId="0" fontId="126" fillId="10" borderId="190" xfId="0" applyFont="1" applyFill="1" applyBorder="1" applyAlignment="1">
      <alignment horizontal="right" vertical="center"/>
    </xf>
    <xf numFmtId="3" fontId="126" fillId="10" borderId="190" xfId="0" applyNumberFormat="1" applyFont="1" applyFill="1" applyBorder="1" applyAlignment="1">
      <alignment horizontal="right" vertical="center"/>
    </xf>
    <xf numFmtId="3" fontId="126" fillId="10" borderId="110" xfId="0" applyNumberFormat="1" applyFont="1" applyFill="1" applyBorder="1" applyAlignment="1">
      <alignment horizontal="right" vertical="center"/>
    </xf>
    <xf numFmtId="0" fontId="126" fillId="10" borderId="103" xfId="0" applyFont="1" applyFill="1" applyBorder="1" applyAlignment="1">
      <alignment horizontal="right" vertical="center"/>
    </xf>
    <xf numFmtId="3" fontId="126" fillId="10" borderId="103" xfId="0" applyNumberFormat="1" applyFont="1" applyFill="1" applyBorder="1" applyAlignment="1">
      <alignment horizontal="right" vertical="center"/>
    </xf>
    <xf numFmtId="0" fontId="128" fillId="10" borderId="95" xfId="0" applyFont="1" applyFill="1" applyBorder="1" applyAlignment="1">
      <alignment horizontal="right" vertical="center"/>
    </xf>
    <xf numFmtId="0" fontId="128" fillId="10" borderId="103" xfId="0" applyFont="1" applyFill="1" applyBorder="1" applyAlignment="1">
      <alignment horizontal="right" vertical="center"/>
    </xf>
    <xf numFmtId="0" fontId="128" fillId="10" borderId="92" xfId="0" applyFont="1" applyFill="1" applyBorder="1" applyAlignment="1">
      <alignment horizontal="right" vertical="center"/>
    </xf>
    <xf numFmtId="0" fontId="128" fillId="10" borderId="110" xfId="0" applyFont="1" applyFill="1" applyBorder="1" applyAlignment="1">
      <alignment horizontal="right" vertical="center"/>
    </xf>
    <xf numFmtId="0" fontId="127" fillId="9" borderId="116" xfId="55" applyNumberFormat="1" applyFont="1" applyFill="1" applyBorder="1" applyAlignment="1">
      <alignment horizontal="right" vertical="center"/>
    </xf>
    <xf numFmtId="0" fontId="126" fillId="10" borderId="103" xfId="55" applyNumberFormat="1" applyFont="1" applyFill="1" applyBorder="1" applyAlignment="1">
      <alignment horizontal="right" vertical="center"/>
    </xf>
    <xf numFmtId="0" fontId="126" fillId="10" borderId="110" xfId="55" applyNumberFormat="1" applyFont="1" applyFill="1" applyBorder="1" applyAlignment="1">
      <alignment horizontal="right" vertical="center"/>
    </xf>
    <xf numFmtId="0" fontId="126" fillId="10" borderId="190" xfId="55" applyNumberFormat="1" applyFont="1" applyFill="1" applyBorder="1" applyAlignment="1">
      <alignment horizontal="right" vertical="center"/>
    </xf>
    <xf numFmtId="0" fontId="126" fillId="10" borderId="95" xfId="55" applyNumberFormat="1" applyFont="1" applyFill="1" applyBorder="1" applyAlignment="1">
      <alignment horizontal="right" vertical="center"/>
    </xf>
    <xf numFmtId="0" fontId="127" fillId="9" borderId="94" xfId="55" applyNumberFormat="1" applyFont="1" applyFill="1" applyBorder="1" applyAlignment="1">
      <alignment horizontal="right" vertical="center"/>
    </xf>
    <xf numFmtId="0" fontId="126" fillId="10" borderId="92" xfId="55" applyNumberFormat="1" applyFont="1" applyFill="1" applyBorder="1" applyAlignment="1">
      <alignment horizontal="right" vertical="center"/>
    </xf>
    <xf numFmtId="0" fontId="127" fillId="9" borderId="127" xfId="55" applyNumberFormat="1" applyFont="1" applyFill="1" applyBorder="1" applyAlignment="1">
      <alignment horizontal="right" vertical="center"/>
    </xf>
    <xf numFmtId="0" fontId="127" fillId="9" borderId="198" xfId="55" applyNumberFormat="1" applyFont="1" applyFill="1" applyBorder="1" applyAlignment="1">
      <alignment horizontal="right" vertical="center"/>
    </xf>
    <xf numFmtId="0" fontId="129" fillId="0" borderId="0" xfId="0" applyFont="1"/>
    <xf numFmtId="0" fontId="130" fillId="0" borderId="0" xfId="0" applyFont="1" applyAlignment="1">
      <alignment vertical="center" wrapText="1"/>
    </xf>
    <xf numFmtId="0" fontId="78" fillId="9" borderId="194" xfId="0" applyNumberFormat="1" applyFont="1" applyFill="1" applyBorder="1" applyAlignment="1">
      <alignment horizontal="center" vertical="center"/>
    </xf>
    <xf numFmtId="0" fontId="81" fillId="9" borderId="195" xfId="0" applyNumberFormat="1" applyFont="1" applyFill="1" applyBorder="1" applyAlignment="1">
      <alignment horizontal="center" vertical="center"/>
    </xf>
    <xf numFmtId="0" fontId="131" fillId="12" borderId="125" xfId="55" applyNumberFormat="1" applyFont="1" applyFill="1" applyBorder="1" applyAlignment="1">
      <alignment horizontal="center" vertical="center"/>
    </xf>
    <xf numFmtId="0" fontId="131" fillId="12" borderId="108" xfId="55" applyNumberFormat="1" applyFont="1" applyFill="1" applyBorder="1" applyAlignment="1">
      <alignment horizontal="center" vertical="center"/>
    </xf>
    <xf numFmtId="0" fontId="78" fillId="9" borderId="151" xfId="0" applyNumberFormat="1" applyFont="1" applyFill="1" applyBorder="1" applyAlignment="1">
      <alignment horizontal="center" vertical="center"/>
    </xf>
    <xf numFmtId="0" fontId="81" fillId="9" borderId="175" xfId="0" applyNumberFormat="1" applyFont="1" applyFill="1" applyBorder="1" applyAlignment="1">
      <alignment horizontal="center" vertical="center"/>
    </xf>
    <xf numFmtId="0" fontId="78" fillId="9" borderId="129" xfId="0" applyNumberFormat="1" applyFont="1" applyFill="1" applyBorder="1" applyAlignment="1">
      <alignment horizontal="center" vertical="center"/>
    </xf>
    <xf numFmtId="0" fontId="81" fillId="9" borderId="96" xfId="0" applyNumberFormat="1" applyFont="1" applyFill="1" applyBorder="1" applyAlignment="1">
      <alignment horizontal="center" vertical="center"/>
    </xf>
    <xf numFmtId="0" fontId="78" fillId="9" borderId="152" xfId="0" applyNumberFormat="1" applyFont="1" applyFill="1" applyBorder="1" applyAlignment="1">
      <alignment horizontal="center" vertical="center"/>
    </xf>
    <xf numFmtId="0" fontId="81" fillId="9" borderId="98" xfId="0" applyNumberFormat="1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80" fillId="9" borderId="94" xfId="0" applyNumberFormat="1" applyFont="1" applyFill="1" applyBorder="1" applyAlignment="1">
      <alignment horizontal="center" vertical="center"/>
    </xf>
    <xf numFmtId="0" fontId="80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2" fontId="77" fillId="9" borderId="233" xfId="55" applyNumberFormat="1" applyFont="1" applyFill="1" applyBorder="1" applyAlignment="1">
      <alignment horizontal="left" vertical="center"/>
    </xf>
    <xf numFmtId="0" fontId="126" fillId="10" borderId="234" xfId="55" applyNumberFormat="1" applyFont="1" applyFill="1" applyBorder="1" applyAlignment="1">
      <alignment horizontal="right" vertical="center"/>
    </xf>
    <xf numFmtId="0" fontId="64" fillId="10" borderId="234" xfId="0" applyFont="1" applyFill="1" applyBorder="1" applyAlignment="1">
      <alignment horizontal="right" vertical="center"/>
    </xf>
    <xf numFmtId="0" fontId="70" fillId="9" borderId="235" xfId="55" applyNumberFormat="1" applyFont="1" applyFill="1" applyBorder="1" applyAlignment="1">
      <alignment horizontal="right" vertical="center"/>
    </xf>
    <xf numFmtId="0" fontId="127" fillId="9" borderId="235" xfId="55" applyNumberFormat="1" applyFont="1" applyFill="1" applyBorder="1" applyAlignment="1">
      <alignment horizontal="right" vertical="center"/>
    </xf>
    <xf numFmtId="0" fontId="29" fillId="9" borderId="235" xfId="0" applyFont="1" applyFill="1" applyBorder="1" applyAlignment="1">
      <alignment horizontal="right" vertical="center"/>
    </xf>
    <xf numFmtId="10" fontId="84" fillId="10" borderId="236" xfId="114" applyNumberFormat="1" applyFont="1" applyFill="1" applyBorder="1" applyAlignment="1">
      <alignment horizontal="center" vertical="center"/>
    </xf>
    <xf numFmtId="0" fontId="85" fillId="10" borderId="237" xfId="0" applyFont="1" applyFill="1" applyBorder="1" applyAlignment="1">
      <alignment horizontal="right" vertical="center"/>
    </xf>
    <xf numFmtId="0" fontId="85" fillId="10" borderId="234" xfId="0" applyFont="1" applyFill="1" applyBorder="1" applyAlignment="1">
      <alignment horizontal="right" vertical="center"/>
    </xf>
    <xf numFmtId="0" fontId="85" fillId="10" borderId="238" xfId="0" applyFont="1" applyFill="1" applyBorder="1" applyAlignment="1">
      <alignment horizontal="right" vertical="center"/>
    </xf>
    <xf numFmtId="0" fontId="86" fillId="10" borderId="234" xfId="0" applyFont="1" applyFill="1" applyBorder="1" applyAlignment="1">
      <alignment horizontal="right" vertical="center"/>
    </xf>
    <xf numFmtId="3" fontId="86" fillId="10" borderId="234" xfId="0" applyNumberFormat="1" applyFont="1" applyFill="1" applyBorder="1" applyAlignment="1">
      <alignment horizontal="right" vertical="center"/>
    </xf>
    <xf numFmtId="167" fontId="126" fillId="10" borderId="234" xfId="55" applyNumberFormat="1" applyFont="1" applyFill="1" applyBorder="1" applyAlignment="1">
      <alignment horizontal="right" vertical="center"/>
    </xf>
    <xf numFmtId="3" fontId="126" fillId="10" borderId="234" xfId="0" applyNumberFormat="1" applyFont="1" applyFill="1" applyBorder="1" applyAlignment="1">
      <alignment horizontal="right" vertical="center"/>
    </xf>
    <xf numFmtId="166" fontId="35" fillId="10" borderId="237" xfId="0" applyNumberFormat="1" applyFont="1" applyFill="1" applyBorder="1" applyAlignment="1">
      <alignment horizontal="center" vertical="center"/>
    </xf>
    <xf numFmtId="0" fontId="26" fillId="9" borderId="238" xfId="0" applyFont="1" applyFill="1" applyBorder="1" applyAlignment="1">
      <alignment horizontal="center" vertical="center"/>
    </xf>
    <xf numFmtId="0" fontId="23" fillId="9" borderId="234" xfId="0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1" fontId="25" fillId="9" borderId="241" xfId="0" applyNumberFormat="1" applyFont="1" applyFill="1" applyBorder="1" applyAlignment="1">
      <alignment horizontal="center" vertical="center"/>
    </xf>
    <xf numFmtId="0" fontId="102" fillId="9" borderId="242" xfId="0" applyNumberFormat="1" applyFont="1" applyFill="1" applyBorder="1" applyAlignment="1">
      <alignment horizontal="center" vertical="center"/>
    </xf>
    <xf numFmtId="0" fontId="80" fillId="9" borderId="239" xfId="0" applyNumberFormat="1" applyFont="1" applyFill="1" applyBorder="1" applyAlignment="1">
      <alignment horizontal="center" vertical="center"/>
    </xf>
    <xf numFmtId="2" fontId="77" fillId="9" borderId="243" xfId="55" applyNumberFormat="1" applyFont="1" applyFill="1" applyBorder="1" applyAlignment="1">
      <alignment horizontal="center" vertical="center"/>
    </xf>
    <xf numFmtId="2" fontId="78" fillId="9" borderId="242" xfId="55" applyNumberFormat="1" applyFont="1" applyFill="1" applyBorder="1" applyAlignment="1">
      <alignment horizontal="center" vertical="center"/>
    </xf>
    <xf numFmtId="0" fontId="70" fillId="9" borderId="233" xfId="55" applyNumberFormat="1" applyFont="1" applyFill="1" applyBorder="1" applyAlignment="1">
      <alignment horizontal="right" vertical="center"/>
    </xf>
    <xf numFmtId="167" fontId="127" fillId="9" borderId="233" xfId="55" applyNumberFormat="1" applyFont="1" applyFill="1" applyBorder="1" applyAlignment="1">
      <alignment horizontal="right" vertical="center"/>
    </xf>
    <xf numFmtId="0" fontId="70" fillId="9" borderId="236" xfId="55" applyNumberFormat="1" applyFont="1" applyFill="1" applyBorder="1" applyAlignment="1">
      <alignment horizontal="right" vertical="center"/>
    </xf>
    <xf numFmtId="0" fontId="77" fillId="9" borderId="233" xfId="55" applyNumberFormat="1" applyFont="1" applyFill="1" applyBorder="1" applyAlignment="1">
      <alignment horizontal="right" vertical="center"/>
    </xf>
    <xf numFmtId="10" fontId="79" fillId="10" borderId="236" xfId="114" applyNumberFormat="1" applyFont="1" applyFill="1" applyBorder="1" applyAlignment="1">
      <alignment horizontal="center" vertical="center"/>
    </xf>
    <xf numFmtId="0" fontId="37" fillId="10" borderId="237" xfId="0" applyFont="1" applyFill="1" applyBorder="1" applyAlignment="1">
      <alignment horizontal="right" vertical="center"/>
    </xf>
    <xf numFmtId="0" fontId="37" fillId="10" borderId="234" xfId="0" applyFont="1" applyFill="1" applyBorder="1" applyAlignment="1">
      <alignment horizontal="right" vertical="center"/>
    </xf>
    <xf numFmtId="0" fontId="37" fillId="10" borderId="238" xfId="0" applyFont="1" applyFill="1" applyBorder="1" applyAlignment="1">
      <alignment horizontal="right" vertical="center"/>
    </xf>
    <xf numFmtId="0" fontId="35" fillId="10" borderId="234" xfId="0" applyFont="1" applyFill="1" applyBorder="1" applyAlignment="1">
      <alignment horizontal="right" vertical="center"/>
    </xf>
    <xf numFmtId="3" fontId="35" fillId="10" borderId="234" xfId="0" applyNumberFormat="1" applyFont="1" applyFill="1" applyBorder="1" applyAlignment="1">
      <alignment horizontal="right" vertical="center"/>
    </xf>
    <xf numFmtId="166" fontId="35" fillId="10" borderId="238" xfId="0" applyNumberFormat="1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78" fillId="9" borderId="118" xfId="0" applyNumberFormat="1" applyFont="1" applyFill="1" applyBorder="1" applyAlignment="1">
      <alignment horizontal="center" vertical="center"/>
    </xf>
    <xf numFmtId="0" fontId="81" fillId="9" borderId="95" xfId="0" applyNumberFormat="1" applyFont="1" applyFill="1" applyBorder="1" applyAlignment="1">
      <alignment horizontal="center" vertical="center"/>
    </xf>
    <xf numFmtId="0" fontId="80" fillId="9" borderId="242" xfId="55" applyNumberFormat="1" applyFont="1" applyFill="1" applyBorder="1" applyAlignment="1">
      <alignment horizontal="center" vertical="center"/>
    </xf>
    <xf numFmtId="0" fontId="80" fillId="9" borderId="236" xfId="0" applyNumberFormat="1" applyFont="1" applyFill="1" applyBorder="1" applyAlignment="1">
      <alignment horizontal="center" vertical="top"/>
    </xf>
    <xf numFmtId="167" fontId="80" fillId="9" borderId="242" xfId="55" applyNumberFormat="1" applyFont="1" applyFill="1" applyBorder="1" applyAlignment="1">
      <alignment horizontal="center" vertical="center"/>
    </xf>
    <xf numFmtId="0" fontId="116" fillId="10" borderId="246" xfId="0" applyFont="1" applyFill="1" applyBorder="1" applyAlignment="1">
      <alignment horizontal="right" vertical="center"/>
    </xf>
    <xf numFmtId="0" fontId="35" fillId="10" borderId="247" xfId="55" applyNumberFormat="1" applyFont="1" applyFill="1" applyBorder="1" applyAlignment="1">
      <alignment horizontal="right" vertical="center"/>
    </xf>
    <xf numFmtId="0" fontId="64" fillId="10" borderId="236" xfId="0" applyFont="1" applyFill="1" applyBorder="1" applyAlignment="1">
      <alignment horizontal="right" vertical="center"/>
    </xf>
    <xf numFmtId="0" fontId="64" fillId="10" borderId="247" xfId="0" applyFont="1" applyFill="1" applyBorder="1" applyAlignment="1">
      <alignment horizontal="right" vertical="center"/>
    </xf>
    <xf numFmtId="0" fontId="29" fillId="9" borderId="236" xfId="0" applyFont="1" applyFill="1" applyBorder="1" applyAlignment="1">
      <alignment horizontal="right" vertical="center"/>
    </xf>
    <xf numFmtId="10" fontId="79" fillId="10" borderId="234" xfId="114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1" fontId="25" fillId="9" borderId="248" xfId="0" applyNumberFormat="1" applyFont="1" applyFill="1" applyBorder="1" applyAlignment="1">
      <alignment horizontal="center" vertical="center"/>
    </xf>
    <xf numFmtId="0" fontId="80" fillId="9" borderId="239" xfId="0" applyNumberFormat="1" applyFont="1" applyFill="1" applyBorder="1" applyAlignment="1">
      <alignment horizontal="center" vertical="top"/>
    </xf>
    <xf numFmtId="0" fontId="112" fillId="9" borderId="249" xfId="55" applyNumberFormat="1" applyFont="1" applyFill="1" applyBorder="1" applyAlignment="1">
      <alignment horizontal="center" vertical="center"/>
    </xf>
    <xf numFmtId="1" fontId="80" fillId="9" borderId="240" xfId="55" applyNumberFormat="1" applyFont="1" applyFill="1" applyBorder="1" applyAlignment="1">
      <alignment vertical="center"/>
    </xf>
    <xf numFmtId="0" fontId="64" fillId="10" borderId="250" xfId="0" applyFont="1" applyFill="1" applyBorder="1" applyAlignment="1">
      <alignment horizontal="left" vertical="center"/>
    </xf>
    <xf numFmtId="0" fontId="35" fillId="10" borderId="234" xfId="55" applyNumberFormat="1" applyFont="1" applyFill="1" applyBorder="1" applyAlignment="1">
      <alignment horizontal="right" vertical="center"/>
    </xf>
    <xf numFmtId="0" fontId="29" fillId="9" borderId="234" xfId="0" applyFont="1" applyFill="1" applyBorder="1" applyAlignment="1">
      <alignment horizontal="right" vertical="center"/>
    </xf>
    <xf numFmtId="0" fontId="26" fillId="9" borderId="234" xfId="0" applyFont="1" applyFill="1" applyBorder="1" applyAlignment="1">
      <alignment horizontal="center" vertical="center"/>
    </xf>
    <xf numFmtId="0" fontId="23" fillId="9" borderId="240" xfId="0" applyFont="1" applyFill="1" applyBorder="1" applyAlignment="1">
      <alignment horizontal="center" vertical="center"/>
    </xf>
    <xf numFmtId="0" fontId="80" fillId="9" borderId="204" xfId="0" applyNumberFormat="1" applyFont="1" applyFill="1" applyBorder="1" applyAlignment="1">
      <alignment horizontal="center" vertical="top"/>
    </xf>
    <xf numFmtId="0" fontId="78" fillId="9" borderId="243" xfId="0" applyNumberFormat="1" applyFont="1" applyFill="1" applyBorder="1" applyAlignment="1">
      <alignment horizontal="center" vertical="center"/>
    </xf>
    <xf numFmtId="0" fontId="81" fillId="9" borderId="236" xfId="0" applyNumberFormat="1" applyFont="1" applyFill="1" applyBorder="1" applyAlignment="1">
      <alignment horizontal="center" vertical="center"/>
    </xf>
    <xf numFmtId="0" fontId="100" fillId="9" borderId="116" xfId="55" applyNumberFormat="1" applyFont="1" applyFill="1" applyBorder="1" applyAlignment="1">
      <alignment horizontal="right" vertical="center"/>
    </xf>
    <xf numFmtId="0" fontId="100" fillId="9" borderId="117" xfId="55" applyNumberFormat="1" applyFont="1" applyFill="1" applyBorder="1" applyAlignment="1">
      <alignment horizontal="left" vertical="center"/>
    </xf>
    <xf numFmtId="0" fontId="100" fillId="9" borderId="233" xfId="55" applyNumberFormat="1" applyFont="1" applyFill="1" applyBorder="1" applyAlignment="1">
      <alignment horizontal="right" vertical="center"/>
    </xf>
    <xf numFmtId="0" fontId="64" fillId="9" borderId="99" xfId="0" applyFont="1" applyFill="1" applyBorder="1" applyAlignment="1">
      <alignment horizontal="right" vertical="center"/>
    </xf>
    <xf numFmtId="0" fontId="64" fillId="9" borderId="90" xfId="0" applyFont="1" applyFill="1" applyBorder="1" applyAlignment="1">
      <alignment horizontal="right" vertical="center"/>
    </xf>
    <xf numFmtId="0" fontId="133" fillId="9" borderId="116" xfId="55" applyNumberFormat="1" applyFont="1" applyFill="1" applyBorder="1" applyAlignment="1">
      <alignment horizontal="right" vertical="center"/>
    </xf>
    <xf numFmtId="0" fontId="133" fillId="9" borderId="117" xfId="55" applyNumberFormat="1" applyFont="1" applyFill="1" applyBorder="1" applyAlignment="1">
      <alignment horizontal="right" vertical="center"/>
    </xf>
    <xf numFmtId="0" fontId="134" fillId="9" borderId="99" xfId="0" applyFont="1" applyFill="1" applyBorder="1" applyAlignment="1">
      <alignment horizontal="right" vertical="center"/>
    </xf>
    <xf numFmtId="0" fontId="134" fillId="9" borderId="90" xfId="0" applyFont="1" applyFill="1" applyBorder="1" applyAlignment="1">
      <alignment horizontal="right" vertical="center"/>
    </xf>
    <xf numFmtId="0" fontId="134" fillId="9" borderId="133" xfId="0" applyFont="1" applyFill="1" applyBorder="1" applyAlignment="1">
      <alignment horizontal="right" vertical="center"/>
    </xf>
    <xf numFmtId="0" fontId="134" fillId="9" borderId="92" xfId="0" applyFont="1" applyFill="1" applyBorder="1" applyAlignment="1">
      <alignment horizontal="right" vertical="center"/>
    </xf>
    <xf numFmtId="0" fontId="134" fillId="9" borderId="222" xfId="0" applyFont="1" applyFill="1" applyBorder="1" applyAlignment="1">
      <alignment horizontal="right" vertical="center"/>
    </xf>
    <xf numFmtId="0" fontId="80" fillId="9" borderId="207" xfId="0" applyNumberFormat="1" applyFont="1" applyFill="1" applyBorder="1" applyAlignment="1">
      <alignment horizontal="center" vertical="center"/>
    </xf>
    <xf numFmtId="2" fontId="80" fillId="9" borderId="218" xfId="55" applyNumberFormat="1" applyFont="1" applyFill="1" applyBorder="1" applyAlignment="1">
      <alignment horizontal="center" vertical="center"/>
    </xf>
    <xf numFmtId="2" fontId="80" fillId="9" borderId="110" xfId="55" applyNumberFormat="1" applyFont="1" applyFill="1" applyBorder="1" applyAlignment="1">
      <alignment horizontal="center" vertical="center"/>
    </xf>
    <xf numFmtId="2" fontId="80" fillId="9" borderId="121" xfId="55" applyNumberFormat="1" applyFont="1" applyFill="1" applyBorder="1" applyAlignment="1">
      <alignment horizontal="center" vertical="center"/>
    </xf>
    <xf numFmtId="2" fontId="80" fillId="9" borderId="96" xfId="55" applyNumberFormat="1" applyFont="1" applyFill="1" applyBorder="1" applyAlignment="1">
      <alignment horizontal="center" vertical="center"/>
    </xf>
    <xf numFmtId="166" fontId="132" fillId="2" borderId="251" xfId="55" applyNumberFormat="1" applyFont="1" applyFill="1" applyBorder="1" applyAlignment="1">
      <alignment horizontal="center" vertical="center" wrapText="1"/>
    </xf>
    <xf numFmtId="166" fontId="132" fillId="2" borderId="3" xfId="55" applyNumberFormat="1" applyFont="1" applyFill="1" applyBorder="1" applyAlignment="1">
      <alignment horizontal="center" vertical="center" wrapText="1"/>
    </xf>
    <xf numFmtId="2" fontId="80" fillId="9" borderId="234" xfId="55" applyNumberFormat="1" applyFont="1" applyFill="1" applyBorder="1" applyAlignment="1">
      <alignment horizontal="center" vertical="center"/>
    </xf>
    <xf numFmtId="0" fontId="97" fillId="0" borderId="3" xfId="0" applyFont="1" applyBorder="1" applyAlignment="1">
      <alignment horizontal="center"/>
    </xf>
    <xf numFmtId="2" fontId="80" fillId="9" borderId="190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1" fillId="9" borderId="121" xfId="0" applyFont="1" applyFill="1" applyBorder="1" applyAlignment="1">
      <alignment horizontal="center" vertical="center"/>
    </xf>
    <xf numFmtId="0" fontId="121" fillId="9" borderId="234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4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R32" sqref="R32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42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4.7109375" style="11" customWidth="1"/>
    <col min="22" max="22" width="5.7109375" style="11" bestFit="1" customWidth="1"/>
    <col min="23" max="23" width="9.140625" bestFit="1" customWidth="1"/>
    <col min="24" max="24" width="6.28515625" style="309" bestFit="1" customWidth="1"/>
    <col min="25" max="25" width="7.42578125" style="546" bestFit="1" customWidth="1"/>
    <col min="26" max="26" width="8.28515625" style="300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83" t="s">
        <v>126</v>
      </c>
      <c r="B1" s="543" t="s">
        <v>337</v>
      </c>
      <c r="C1" s="533" t="s">
        <v>306</v>
      </c>
      <c r="D1" s="533" t="s">
        <v>307</v>
      </c>
      <c r="E1" s="543" t="s">
        <v>338</v>
      </c>
      <c r="F1" s="533" t="s">
        <v>127</v>
      </c>
      <c r="G1" s="384" t="s">
        <v>304</v>
      </c>
      <c r="H1" s="384" t="s">
        <v>128</v>
      </c>
      <c r="I1" s="384" t="s">
        <v>129</v>
      </c>
      <c r="J1" s="384" t="s">
        <v>130</v>
      </c>
      <c r="K1" s="384" t="s">
        <v>308</v>
      </c>
      <c r="L1" s="384" t="s">
        <v>305</v>
      </c>
      <c r="M1" s="384" t="s">
        <v>131</v>
      </c>
      <c r="N1" s="718" t="s">
        <v>132</v>
      </c>
      <c r="O1" s="384" t="s">
        <v>133</v>
      </c>
      <c r="P1" s="385"/>
      <c r="Q1" s="508" t="s">
        <v>672</v>
      </c>
      <c r="R1" s="510" t="s">
        <v>673</v>
      </c>
      <c r="S1" s="511" t="s">
        <v>674</v>
      </c>
      <c r="T1" s="505">
        <v>1E-3</v>
      </c>
      <c r="U1" s="507">
        <v>-1</v>
      </c>
      <c r="V1" s="506">
        <v>0</v>
      </c>
      <c r="W1" s="846">
        <f>IF(O65&lt;&gt;"",O65,"")</f>
        <v>45393.708611111113</v>
      </c>
      <c r="X1" s="847"/>
      <c r="Y1" s="678">
        <f>AA69</f>
        <v>99468.650371944736</v>
      </c>
      <c r="Z1" s="354">
        <v>100</v>
      </c>
      <c r="AA1" s="342">
        <v>100</v>
      </c>
      <c r="AB1" s="299">
        <f>Y1*($AE$1*$AD$1)</f>
        <v>675.84178882855599</v>
      </c>
      <c r="AC1" s="38">
        <f>AD1</f>
        <v>4</v>
      </c>
      <c r="AD1" s="54">
        <f>IF(AJ3&lt;&gt;0,2,IF(AJ4&lt;&gt;0,3,IF(AJ5&lt;&gt;0,4,IF(AJ6&lt;&gt;0,5,IF(AJ7&lt;&gt;0,6,IF(AJ8&lt;&gt;0,7,IF(AJ9&lt;&gt;0,8,IF(AJ10&lt;&gt;0,9,IF(AJ11&lt;&gt;0,10,30)))))))))</f>
        <v>4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1.6986301369863014E-3</v>
      </c>
      <c r="AF1" s="267" t="s">
        <v>315</v>
      </c>
      <c r="AG1" s="267" t="s">
        <v>316</v>
      </c>
      <c r="AH1" s="267" t="s">
        <v>317</v>
      </c>
      <c r="AI1" s="267" t="s">
        <v>318</v>
      </c>
      <c r="AJ1" s="268" t="s">
        <v>313</v>
      </c>
      <c r="AK1" s="266" t="s">
        <v>314</v>
      </c>
      <c r="AL1" s="209" t="s">
        <v>312</v>
      </c>
    </row>
    <row r="2" spans="1:42" ht="12.75" hidden="1" customHeight="1">
      <c r="A2" s="545" t="s">
        <v>572</v>
      </c>
      <c r="B2" s="743">
        <f t="shared" ref="B2:B29" si="0">IF(A2&lt;&gt;"",VLOOKUP($A2,$A$64:$N$201,2,0),"")</f>
        <v>1370</v>
      </c>
      <c r="C2" s="303">
        <f t="shared" ref="C2:C29" si="1">IF(A2&lt;&gt;"",VLOOKUP($A2,$A$60:$N$201,3,0),"")</f>
        <v>84.52</v>
      </c>
      <c r="D2" s="248">
        <f t="shared" ref="D2:D29" si="2">IF(A2&lt;&gt;"",VLOOKUP($A2,$A$60:$N$201,4,0),"")</f>
        <v>85</v>
      </c>
      <c r="E2" s="747">
        <f t="shared" ref="E2:E29" si="3">IF(A2&lt;&gt;"",VLOOKUP($A2,$A$60:$N$201,5,0),"")</f>
        <v>2264</v>
      </c>
      <c r="F2" s="534">
        <f t="shared" ref="F2:F29" si="4">IF($A2&lt;&gt;"",VLOOKUP($A2,$A$60:$N$201,6,0),"")</f>
        <v>85.27</v>
      </c>
      <c r="G2" s="305">
        <f t="shared" ref="G2:G29" si="5">IF($A2&lt;&gt;"",VLOOKUP($A2,$A$60:$N$201,7,0),"")</f>
        <v>6.7000000000000002E-3</v>
      </c>
      <c r="H2" s="236">
        <f t="shared" ref="H2:H29" si="6">IF($A2&lt;&gt;"",VLOOKUP($A2,$A$60:$N$201,8,0),"")</f>
        <v>85</v>
      </c>
      <c r="I2" s="228">
        <f t="shared" ref="I2:I29" si="7">IF($A2&lt;&gt;"",VLOOKUP($A2,$A$60:$N$201,9,0),"")</f>
        <v>85.3</v>
      </c>
      <c r="J2" s="279">
        <f t="shared" ref="J2:J29" si="8">IF($A2&lt;&gt;"",VLOOKUP($A2,$A$60:$N$201,10,0),"")</f>
        <v>84.3</v>
      </c>
      <c r="K2" s="232">
        <f t="shared" ref="K2:K29" si="9">IF($A2&lt;&gt;"",VLOOKUP($A2,$A$60:$N$201,11,0),"")</f>
        <v>84.7</v>
      </c>
      <c r="L2" s="249">
        <f t="shared" ref="L2:L29" si="10">IF($A2&lt;&gt;"",VLOOKUP($A2,$A$60:$N$201,12,0),"")</f>
        <v>18504</v>
      </c>
      <c r="M2" s="727">
        <f t="shared" ref="M2:M29" si="11">IF($A2&lt;&gt;"",VLOOKUP($A2,$A$60:$N$201,13,0),"")</f>
        <v>21841</v>
      </c>
      <c r="N2" s="724">
        <f t="shared" ref="N2:N18" si="12">IF($A2&lt;&gt;"",VLOOKUP($A2,$A$60:$N$201,14,0),"")</f>
        <v>53</v>
      </c>
      <c r="O2" s="273">
        <f t="shared" ref="O2:O17" si="13">IF($A2&lt;&gt;"",VLOOKUP($A2,$A$60:$O$201,15,0),"")</f>
        <v>45393.654363425929</v>
      </c>
      <c r="P2" s="284">
        <v>1</v>
      </c>
      <c r="Q2" s="527"/>
      <c r="R2" s="643"/>
      <c r="S2" s="633"/>
      <c r="T2" s="471"/>
      <c r="U2" s="701"/>
      <c r="V2" s="295"/>
      <c r="W2" s="512"/>
      <c r="X2" s="660"/>
      <c r="Y2" s="655">
        <f>IFERROR(IF($Y$1&lt;&gt;"",INT($Y$1/(D5/100)),100),100)</f>
        <v>118</v>
      </c>
      <c r="Z2" s="605">
        <f>IFERROR($C2*(1-$V$1)/100*$Y2,"")</f>
        <v>99.733599999999996</v>
      </c>
      <c r="AA2" s="844">
        <f>IFERROR($Z2-$Z3,"")</f>
        <v>0.22419999999999618</v>
      </c>
      <c r="AD2" s="287" t="s">
        <v>319</v>
      </c>
      <c r="AE2" s="293">
        <v>45394</v>
      </c>
      <c r="AF2" s="285">
        <v>29543032.530000001</v>
      </c>
      <c r="AG2" s="286">
        <v>0.64400000000000002</v>
      </c>
      <c r="AH2" s="286">
        <v>0.64500000000000002</v>
      </c>
      <c r="AI2" s="285">
        <v>919959707.38999999</v>
      </c>
      <c r="AJ2" s="290">
        <v>0.64400000000000002</v>
      </c>
      <c r="AK2" s="285"/>
    </row>
    <row r="3" spans="1:42" ht="12.75" hidden="1" customHeight="1">
      <c r="A3" s="315" t="s">
        <v>14</v>
      </c>
      <c r="B3" s="744">
        <f t="shared" si="0"/>
        <v>300</v>
      </c>
      <c r="C3" s="302">
        <f t="shared" si="1"/>
        <v>56.15</v>
      </c>
      <c r="D3" s="304">
        <f t="shared" si="2"/>
        <v>56.22</v>
      </c>
      <c r="E3" s="748">
        <f t="shared" si="3"/>
        <v>6442</v>
      </c>
      <c r="F3" s="535">
        <f t="shared" si="4"/>
        <v>56.22</v>
      </c>
      <c r="G3" s="306">
        <f t="shared" si="5"/>
        <v>1.1599999999999999E-2</v>
      </c>
      <c r="H3" s="235">
        <f t="shared" si="6"/>
        <v>55.39</v>
      </c>
      <c r="I3" s="226">
        <f t="shared" si="7"/>
        <v>56.77</v>
      </c>
      <c r="J3" s="277">
        <f t="shared" si="8"/>
        <v>54.2</v>
      </c>
      <c r="K3" s="230">
        <f t="shared" si="9"/>
        <v>55.57</v>
      </c>
      <c r="L3" s="233">
        <f t="shared" si="10"/>
        <v>81750788</v>
      </c>
      <c r="M3" s="728">
        <f t="shared" si="11"/>
        <v>147956234</v>
      </c>
      <c r="N3" s="729">
        <f t="shared" si="12"/>
        <v>62987</v>
      </c>
      <c r="O3" s="274">
        <f t="shared" si="13"/>
        <v>45393.687777777777</v>
      </c>
      <c r="P3" s="283">
        <v>2</v>
      </c>
      <c r="Q3" s="260"/>
      <c r="R3" s="644"/>
      <c r="S3" s="634"/>
      <c r="T3" s="472"/>
      <c r="U3" s="702"/>
      <c r="V3" s="296"/>
      <c r="W3" s="512"/>
      <c r="X3" s="661"/>
      <c r="Y3" s="656">
        <f>IFERROR(INT($Z2/($D3*(1+$V$1)/100)),0)</f>
        <v>177</v>
      </c>
      <c r="Z3" s="606">
        <f>IFERROR($D3/100*INT($Y3),"")</f>
        <v>99.509399999999999</v>
      </c>
      <c r="AA3" s="845"/>
      <c r="AD3" s="49" t="s">
        <v>320</v>
      </c>
      <c r="AE3" s="294">
        <v>45395</v>
      </c>
      <c r="AF3" s="48"/>
      <c r="AG3" s="52"/>
      <c r="AH3" s="52"/>
      <c r="AI3" s="48"/>
      <c r="AJ3" s="291"/>
      <c r="AK3" s="48"/>
    </row>
    <row r="4" spans="1:42" ht="12.75" hidden="1" customHeight="1">
      <c r="A4" s="314" t="s">
        <v>13</v>
      </c>
      <c r="B4" s="743">
        <f t="shared" si="0"/>
        <v>200</v>
      </c>
      <c r="C4" s="303">
        <f t="shared" si="1"/>
        <v>55810</v>
      </c>
      <c r="D4" s="301">
        <f t="shared" si="2"/>
        <v>55880</v>
      </c>
      <c r="E4" s="749">
        <f t="shared" si="3"/>
        <v>50</v>
      </c>
      <c r="F4" s="534">
        <f t="shared" si="4"/>
        <v>55840</v>
      </c>
      <c r="G4" s="305">
        <f t="shared" si="5"/>
        <v>1.06E-2</v>
      </c>
      <c r="H4" s="236">
        <f t="shared" si="6"/>
        <v>55900</v>
      </c>
      <c r="I4" s="228">
        <f t="shared" si="7"/>
        <v>56300</v>
      </c>
      <c r="J4" s="279">
        <f t="shared" si="8"/>
        <v>54090</v>
      </c>
      <c r="K4" s="232">
        <f t="shared" si="9"/>
        <v>55250</v>
      </c>
      <c r="L4" s="249">
        <f t="shared" si="10"/>
        <v>95141149785</v>
      </c>
      <c r="M4" s="727">
        <f t="shared" si="11"/>
        <v>172499526</v>
      </c>
      <c r="N4" s="724">
        <f t="shared" si="12"/>
        <v>69036</v>
      </c>
      <c r="O4" s="273">
        <f t="shared" si="13"/>
        <v>45393.687615740739</v>
      </c>
      <c r="P4" s="284">
        <v>3</v>
      </c>
      <c r="Q4" s="262"/>
      <c r="R4" s="645"/>
      <c r="S4" s="635"/>
      <c r="T4" s="471"/>
      <c r="U4" s="701"/>
      <c r="V4" s="295"/>
      <c r="W4" s="513"/>
      <c r="X4" s="662"/>
      <c r="Y4" s="657">
        <f t="shared" ref="Y4:Y12" si="14">Y3</f>
        <v>177</v>
      </c>
      <c r="Z4" s="607">
        <f>IFERROR($C4*(1-$V$1)/100*INT($Y4),"")</f>
        <v>98783.7</v>
      </c>
      <c r="AA4" s="842">
        <f>IFERROR($Z4-$Z5,"")</f>
        <v>503.69999999999709</v>
      </c>
      <c r="AD4" s="287" t="s">
        <v>321</v>
      </c>
      <c r="AE4" s="294">
        <v>45396</v>
      </c>
      <c r="AF4" s="285"/>
      <c r="AG4" s="286"/>
      <c r="AH4" s="286"/>
      <c r="AI4" s="285"/>
      <c r="AJ4" s="290"/>
      <c r="AK4" s="285"/>
      <c r="AL4" s="47"/>
    </row>
    <row r="5" spans="1:42" ht="12.75" hidden="1" customHeight="1">
      <c r="A5" s="544" t="s">
        <v>568</v>
      </c>
      <c r="B5" s="745">
        <f t="shared" si="0"/>
        <v>61</v>
      </c>
      <c r="C5" s="310">
        <f t="shared" si="1"/>
        <v>83660</v>
      </c>
      <c r="D5" s="311">
        <f t="shared" si="2"/>
        <v>84000</v>
      </c>
      <c r="E5" s="750">
        <f t="shared" si="3"/>
        <v>79</v>
      </c>
      <c r="F5" s="536">
        <f t="shared" si="4"/>
        <v>83990</v>
      </c>
      <c r="G5" s="312">
        <f t="shared" si="5"/>
        <v>5.7999999999999996E-3</v>
      </c>
      <c r="H5" s="250">
        <f t="shared" si="6"/>
        <v>83500</v>
      </c>
      <c r="I5" s="251">
        <f t="shared" si="7"/>
        <v>84460</v>
      </c>
      <c r="J5" s="281">
        <f t="shared" si="8"/>
        <v>81780</v>
      </c>
      <c r="K5" s="252">
        <f t="shared" si="9"/>
        <v>83500</v>
      </c>
      <c r="L5" s="254">
        <f t="shared" si="10"/>
        <v>45278363</v>
      </c>
      <c r="M5" s="730">
        <f t="shared" si="11"/>
        <v>54037</v>
      </c>
      <c r="N5" s="731">
        <f t="shared" si="12"/>
        <v>262</v>
      </c>
      <c r="O5" s="276">
        <f t="shared" si="13"/>
        <v>45393.687789351854</v>
      </c>
      <c r="P5" s="283">
        <v>4</v>
      </c>
      <c r="Q5" s="528"/>
      <c r="R5" s="646"/>
      <c r="S5" s="636"/>
      <c r="T5" s="474"/>
      <c r="U5" s="703"/>
      <c r="V5" s="296"/>
      <c r="W5" s="512"/>
      <c r="X5" s="661"/>
      <c r="Y5" s="673">
        <f>IFERROR($Z4/($D5*(1+$V$1)/100),0)</f>
        <v>117.59964285714285</v>
      </c>
      <c r="Z5" s="608">
        <f>IFERROR($D5/100*INT($Y5),"")</f>
        <v>98280</v>
      </c>
      <c r="AA5" s="845"/>
      <c r="AD5" s="49" t="s">
        <v>322</v>
      </c>
      <c r="AE5" s="294">
        <v>45397</v>
      </c>
      <c r="AF5" s="48">
        <v>44053708.229999997</v>
      </c>
      <c r="AG5" s="52">
        <v>0.63100000000000001</v>
      </c>
      <c r="AH5" s="52">
        <v>0.64680000000000004</v>
      </c>
      <c r="AI5" s="48">
        <v>1457812.39</v>
      </c>
      <c r="AJ5" s="291">
        <v>0.63100000000000001</v>
      </c>
      <c r="AK5" s="48">
        <v>16027427907</v>
      </c>
      <c r="AL5" s="47"/>
    </row>
    <row r="6" spans="1:42" ht="12.75" hidden="1" customHeight="1">
      <c r="A6" s="545" t="s">
        <v>664</v>
      </c>
      <c r="B6" s="743">
        <f t="shared" si="0"/>
        <v>93</v>
      </c>
      <c r="C6" s="303">
        <f t="shared" si="1"/>
        <v>13.35</v>
      </c>
      <c r="D6" s="248">
        <f t="shared" si="2"/>
        <v>13.4</v>
      </c>
      <c r="E6" s="747">
        <f t="shared" si="3"/>
        <v>29</v>
      </c>
      <c r="F6" s="534">
        <f t="shared" si="4"/>
        <v>13.4</v>
      </c>
      <c r="G6" s="305">
        <f t="shared" si="5"/>
        <v>3.0699999999999998E-2</v>
      </c>
      <c r="H6" s="234">
        <f t="shared" si="6"/>
        <v>12.85</v>
      </c>
      <c r="I6" s="225">
        <f t="shared" si="7"/>
        <v>13.4</v>
      </c>
      <c r="J6" s="278">
        <f t="shared" si="8"/>
        <v>12.85</v>
      </c>
      <c r="K6" s="229">
        <f t="shared" si="9"/>
        <v>13</v>
      </c>
      <c r="L6" s="256">
        <f t="shared" si="10"/>
        <v>99948</v>
      </c>
      <c r="M6" s="732">
        <f t="shared" si="11"/>
        <v>7589</v>
      </c>
      <c r="N6" s="726">
        <f t="shared" si="12"/>
        <v>298</v>
      </c>
      <c r="O6" s="270">
        <f t="shared" si="13"/>
        <v>45393.706562500003</v>
      </c>
      <c r="P6" s="284">
        <v>5</v>
      </c>
      <c r="Q6" s="517"/>
      <c r="R6" s="647"/>
      <c r="S6" s="637"/>
      <c r="T6" s="475"/>
      <c r="U6" s="704"/>
      <c r="V6" s="295"/>
      <c r="W6" s="513"/>
      <c r="X6" s="662"/>
      <c r="Y6" s="658">
        <f>IFERROR(IF($Y$1&lt;&gt;"",INT($Y$1/(D9/100)),100),100)</f>
        <v>753</v>
      </c>
      <c r="Z6" s="607">
        <f>IFERROR($C6*(1-$V$1)/100*$Y6,"")</f>
        <v>100.52550000000001</v>
      </c>
      <c r="AA6" s="844">
        <f>IFERROR($Z6-$Z7,"")</f>
        <v>2.6700000000005275E-2</v>
      </c>
      <c r="AB6" s="224"/>
      <c r="AD6" s="287" t="s">
        <v>323</v>
      </c>
      <c r="AE6" s="294">
        <v>45398</v>
      </c>
      <c r="AF6" s="285">
        <v>22293632.030000001</v>
      </c>
      <c r="AG6" s="286">
        <v>0.62</v>
      </c>
      <c r="AH6" s="286">
        <v>0.70499999999999996</v>
      </c>
      <c r="AI6" s="285">
        <v>4158.76</v>
      </c>
      <c r="AJ6" s="290">
        <v>0.62</v>
      </c>
      <c r="AK6" s="285">
        <v>929314694</v>
      </c>
    </row>
    <row r="7" spans="1:42" ht="12.75" hidden="1" customHeight="1">
      <c r="A7" s="315" t="s">
        <v>4</v>
      </c>
      <c r="B7" s="744">
        <f t="shared" si="0"/>
        <v>21003</v>
      </c>
      <c r="C7" s="302">
        <f t="shared" si="1"/>
        <v>56.35</v>
      </c>
      <c r="D7" s="304">
        <f t="shared" si="2"/>
        <v>56.46</v>
      </c>
      <c r="E7" s="748">
        <f t="shared" si="3"/>
        <v>684506</v>
      </c>
      <c r="F7" s="535">
        <f t="shared" si="4"/>
        <v>56.46</v>
      </c>
      <c r="G7" s="306">
        <f t="shared" si="5"/>
        <v>1.9099999999999999E-2</v>
      </c>
      <c r="H7" s="235">
        <f t="shared" si="6"/>
        <v>54.95</v>
      </c>
      <c r="I7" s="226">
        <f t="shared" si="7"/>
        <v>56.74</v>
      </c>
      <c r="J7" s="277">
        <f t="shared" si="8"/>
        <v>54.18</v>
      </c>
      <c r="K7" s="230">
        <f t="shared" si="9"/>
        <v>55.4</v>
      </c>
      <c r="L7" s="233">
        <f t="shared" si="10"/>
        <v>20120725</v>
      </c>
      <c r="M7" s="733">
        <f t="shared" si="11"/>
        <v>36353876</v>
      </c>
      <c r="N7" s="729">
        <f t="shared" si="12"/>
        <v>15132</v>
      </c>
      <c r="O7" s="269">
        <f t="shared" si="13"/>
        <v>45393.708449074074</v>
      </c>
      <c r="P7" s="283">
        <v>6</v>
      </c>
      <c r="Q7" s="260"/>
      <c r="R7" s="644"/>
      <c r="S7" s="634"/>
      <c r="T7" s="472"/>
      <c r="U7" s="702"/>
      <c r="V7" s="296"/>
      <c r="W7" s="512"/>
      <c r="X7" s="661"/>
      <c r="Y7" s="656">
        <f>IFERROR(INT($Z6/($D7*(1+$V$1)/100)),0)</f>
        <v>178</v>
      </c>
      <c r="Z7" s="608">
        <f>IFERROR($D7/100*INT($Y7),"")</f>
        <v>100.4988</v>
      </c>
      <c r="AA7" s="845"/>
      <c r="AD7" s="49" t="s">
        <v>324</v>
      </c>
      <c r="AE7" s="294">
        <v>45399</v>
      </c>
      <c r="AF7" s="48">
        <v>3000000</v>
      </c>
      <c r="AG7" s="52">
        <v>0.6</v>
      </c>
      <c r="AH7" s="52">
        <v>0.63749999999999996</v>
      </c>
      <c r="AI7" s="48">
        <v>18163589041.369999</v>
      </c>
      <c r="AJ7" s="291">
        <v>0.63749999999999996</v>
      </c>
      <c r="AK7" s="48">
        <v>4756511112</v>
      </c>
    </row>
    <row r="8" spans="1:42" hidden="1">
      <c r="A8" s="314" t="s">
        <v>2</v>
      </c>
      <c r="B8" s="743">
        <f t="shared" si="0"/>
        <v>11159</v>
      </c>
      <c r="C8" s="303">
        <f t="shared" si="1"/>
        <v>56160</v>
      </c>
      <c r="D8" s="301">
        <f t="shared" si="2"/>
        <v>56190</v>
      </c>
      <c r="E8" s="749">
        <f t="shared" si="3"/>
        <v>6755</v>
      </c>
      <c r="F8" s="534">
        <f t="shared" si="4"/>
        <v>56170</v>
      </c>
      <c r="G8" s="305">
        <f t="shared" si="5"/>
        <v>1.4199999999999999E-2</v>
      </c>
      <c r="H8" s="234">
        <f t="shared" si="6"/>
        <v>54890</v>
      </c>
      <c r="I8" s="225">
        <f t="shared" si="7"/>
        <v>56690</v>
      </c>
      <c r="J8" s="278">
        <f t="shared" si="8"/>
        <v>54500</v>
      </c>
      <c r="K8" s="229">
        <f t="shared" si="9"/>
        <v>55380</v>
      </c>
      <c r="L8" s="256">
        <f t="shared" si="10"/>
        <v>65382004354</v>
      </c>
      <c r="M8" s="732">
        <f t="shared" si="11"/>
        <v>117503685</v>
      </c>
      <c r="N8" s="726">
        <f t="shared" si="12"/>
        <v>27308</v>
      </c>
      <c r="O8" s="270">
        <f t="shared" si="13"/>
        <v>45393.708611111113</v>
      </c>
      <c r="P8" s="284">
        <v>7</v>
      </c>
      <c r="Q8" s="517"/>
      <c r="R8" s="647"/>
      <c r="S8" s="637"/>
      <c r="T8" s="475"/>
      <c r="U8" s="701"/>
      <c r="V8" s="295"/>
      <c r="W8" s="526"/>
      <c r="X8" s="663"/>
      <c r="Y8" s="657">
        <f t="shared" si="14"/>
        <v>178</v>
      </c>
      <c r="Z8" s="607">
        <f>IFERROR($C8*(1-$V$1)/100*INT($Y8),"")</f>
        <v>99964.800000000003</v>
      </c>
      <c r="AA8" s="842">
        <f>IFERROR($Z8-$Z9,"")</f>
        <v>2.9499999999970896</v>
      </c>
      <c r="AD8" s="287" t="s">
        <v>325</v>
      </c>
      <c r="AE8" s="294">
        <v>45400</v>
      </c>
      <c r="AF8" s="285">
        <v>3120683</v>
      </c>
      <c r="AG8" s="286">
        <v>0.62</v>
      </c>
      <c r="AH8" s="286">
        <v>0.63749999999999996</v>
      </c>
      <c r="AI8" s="285">
        <v>11333886737.129999</v>
      </c>
      <c r="AJ8" s="290">
        <v>0.63749999999999996</v>
      </c>
      <c r="AK8" s="285">
        <v>42144246358</v>
      </c>
    </row>
    <row r="9" spans="1:42" ht="12.75" hidden="1" customHeight="1">
      <c r="A9" s="583" t="s">
        <v>660</v>
      </c>
      <c r="B9" s="746">
        <f t="shared" si="0"/>
        <v>10</v>
      </c>
      <c r="C9" s="557">
        <f t="shared" si="1"/>
        <v>13200</v>
      </c>
      <c r="D9" s="584">
        <f t="shared" si="2"/>
        <v>13205</v>
      </c>
      <c r="E9" s="751">
        <f t="shared" si="3"/>
        <v>1</v>
      </c>
      <c r="F9" s="585">
        <f t="shared" si="4"/>
        <v>13204</v>
      </c>
      <c r="G9" s="586">
        <f t="shared" si="5"/>
        <v>2.2400000000000003E-2</v>
      </c>
      <c r="H9" s="561">
        <f t="shared" si="6"/>
        <v>13000</v>
      </c>
      <c r="I9" s="562">
        <f t="shared" si="7"/>
        <v>13235</v>
      </c>
      <c r="J9" s="563">
        <f t="shared" si="8"/>
        <v>12965</v>
      </c>
      <c r="K9" s="564">
        <f t="shared" si="9"/>
        <v>12914.5</v>
      </c>
      <c r="L9" s="565">
        <f t="shared" si="10"/>
        <v>516652432</v>
      </c>
      <c r="M9" s="734">
        <f t="shared" si="11"/>
        <v>39399</v>
      </c>
      <c r="N9" s="735">
        <f t="shared" si="12"/>
        <v>2543</v>
      </c>
      <c r="O9" s="587">
        <f t="shared" si="13"/>
        <v>45393.708020833335</v>
      </c>
      <c r="P9" s="573">
        <v>8</v>
      </c>
      <c r="Q9" s="588"/>
      <c r="R9" s="648"/>
      <c r="S9" s="638"/>
      <c r="T9" s="569"/>
      <c r="U9" s="703"/>
      <c r="V9" s="494"/>
      <c r="W9" s="570"/>
      <c r="X9" s="664"/>
      <c r="Y9" s="674">
        <f>IFERROR($Z8/($D9*(1+$V$1)/100),0)</f>
        <v>757.02234002271859</v>
      </c>
      <c r="Z9" s="609">
        <f>IFERROR($D9/100*INT($Y9),"")</f>
        <v>99961.85</v>
      </c>
      <c r="AA9" s="850"/>
      <c r="AD9" s="49" t="s">
        <v>622</v>
      </c>
      <c r="AE9" s="294">
        <v>45401</v>
      </c>
      <c r="AF9" s="288">
        <v>430000</v>
      </c>
      <c r="AG9" s="289">
        <v>0.62</v>
      </c>
      <c r="AH9" s="289">
        <v>0.65709999999999991</v>
      </c>
      <c r="AI9" s="288">
        <v>200000</v>
      </c>
      <c r="AJ9" s="292">
        <v>0.62</v>
      </c>
      <c r="AK9" s="288">
        <v>439061210</v>
      </c>
    </row>
    <row r="10" spans="1:42" ht="12.75" hidden="1" customHeight="1">
      <c r="A10" s="545" t="s">
        <v>572</v>
      </c>
      <c r="B10" s="743">
        <f t="shared" si="0"/>
        <v>1370</v>
      </c>
      <c r="C10" s="303">
        <f t="shared" si="1"/>
        <v>84.52</v>
      </c>
      <c r="D10" s="248">
        <f t="shared" si="2"/>
        <v>85</v>
      </c>
      <c r="E10" s="747">
        <f t="shared" si="3"/>
        <v>2264</v>
      </c>
      <c r="F10" s="534">
        <f t="shared" si="4"/>
        <v>85.27</v>
      </c>
      <c r="G10" s="305">
        <f t="shared" si="5"/>
        <v>6.7000000000000002E-3</v>
      </c>
      <c r="H10" s="234">
        <f t="shared" si="6"/>
        <v>85</v>
      </c>
      <c r="I10" s="225">
        <f t="shared" si="7"/>
        <v>85.3</v>
      </c>
      <c r="J10" s="278">
        <f t="shared" si="8"/>
        <v>84.3</v>
      </c>
      <c r="K10" s="229">
        <f t="shared" si="9"/>
        <v>84.7</v>
      </c>
      <c r="L10" s="256">
        <f t="shared" si="10"/>
        <v>18504</v>
      </c>
      <c r="M10" s="732">
        <f t="shared" si="11"/>
        <v>21841</v>
      </c>
      <c r="N10" s="726">
        <f t="shared" si="12"/>
        <v>53</v>
      </c>
      <c r="O10" s="270">
        <f t="shared" si="13"/>
        <v>45393.654363425929</v>
      </c>
      <c r="P10" s="284">
        <v>9</v>
      </c>
      <c r="Q10" s="517"/>
      <c r="R10" s="647"/>
      <c r="S10" s="637"/>
      <c r="T10" s="475"/>
      <c r="U10" s="704"/>
      <c r="V10" s="295"/>
      <c r="W10" s="513"/>
      <c r="X10" s="662"/>
      <c r="Y10" s="658">
        <f>IFERROR(IF($Y$1&lt;&gt;"",INT($Y$1/(D13/100)),100),100)</f>
        <v>118</v>
      </c>
      <c r="Z10" s="610">
        <f>IFERROR($C10*(1-$V$1)/100*$Y10,"")</f>
        <v>99.733599999999996</v>
      </c>
      <c r="AA10" s="844">
        <f>IFERROR($Z10-$Z11,"")</f>
        <v>0.33859999999999957</v>
      </c>
      <c r="AB10" s="224"/>
      <c r="AD10" s="49" t="s">
        <v>623</v>
      </c>
      <c r="AE10" s="294">
        <v>45402</v>
      </c>
      <c r="AF10" s="288"/>
      <c r="AG10" s="289"/>
      <c r="AH10" s="289"/>
      <c r="AI10" s="288"/>
      <c r="AJ10" s="292"/>
      <c r="AK10" s="288"/>
    </row>
    <row r="11" spans="1:42" ht="12.75" hidden="1" customHeight="1">
      <c r="A11" s="315" t="s">
        <v>546</v>
      </c>
      <c r="B11" s="744">
        <f t="shared" si="0"/>
        <v>2172</v>
      </c>
      <c r="C11" s="302">
        <f t="shared" si="1"/>
        <v>47.68</v>
      </c>
      <c r="D11" s="304">
        <f t="shared" si="2"/>
        <v>48.25</v>
      </c>
      <c r="E11" s="748">
        <f t="shared" si="3"/>
        <v>177901</v>
      </c>
      <c r="F11" s="535">
        <f t="shared" si="4"/>
        <v>48</v>
      </c>
      <c r="G11" s="306">
        <f t="shared" si="5"/>
        <v>-2E-3</v>
      </c>
      <c r="H11" s="235">
        <f t="shared" si="6"/>
        <v>48.999000000000002</v>
      </c>
      <c r="I11" s="226">
        <f t="shared" si="7"/>
        <v>48.999000000000002</v>
      </c>
      <c r="J11" s="277">
        <f t="shared" si="8"/>
        <v>46.5</v>
      </c>
      <c r="K11" s="230">
        <f t="shared" si="9"/>
        <v>48.1</v>
      </c>
      <c r="L11" s="233">
        <f t="shared" si="10"/>
        <v>484013</v>
      </c>
      <c r="M11" s="728">
        <f t="shared" si="11"/>
        <v>1019625</v>
      </c>
      <c r="N11" s="729">
        <f t="shared" si="12"/>
        <v>621</v>
      </c>
      <c r="O11" s="269">
        <f t="shared" si="13"/>
        <v>45393.687569444446</v>
      </c>
      <c r="P11" s="283">
        <v>10</v>
      </c>
      <c r="Q11" s="260"/>
      <c r="R11" s="644"/>
      <c r="S11" s="634"/>
      <c r="T11" s="472"/>
      <c r="U11" s="702"/>
      <c r="V11" s="296"/>
      <c r="W11" s="512"/>
      <c r="X11" s="661"/>
      <c r="Y11" s="656">
        <f>IFERROR(INT($Z10/($D11*(1+$V$1)/100)),0)</f>
        <v>206</v>
      </c>
      <c r="Z11" s="608">
        <f>IFERROR($D11/100*INT($Y11),"")</f>
        <v>99.394999999999996</v>
      </c>
      <c r="AA11" s="845"/>
      <c r="AD11" s="49" t="s">
        <v>624</v>
      </c>
      <c r="AE11" s="294">
        <v>45403</v>
      </c>
      <c r="AF11" s="288"/>
      <c r="AG11" s="289"/>
      <c r="AH11" s="289"/>
      <c r="AI11" s="288"/>
      <c r="AJ11" s="292"/>
      <c r="AK11" s="288"/>
    </row>
    <row r="12" spans="1:42" ht="12.75" hidden="1" customHeight="1">
      <c r="A12" s="314" t="s">
        <v>544</v>
      </c>
      <c r="B12" s="743">
        <f t="shared" si="0"/>
        <v>921</v>
      </c>
      <c r="C12" s="303">
        <f t="shared" si="1"/>
        <v>47990</v>
      </c>
      <c r="D12" s="301">
        <f t="shared" si="2"/>
        <v>48000</v>
      </c>
      <c r="E12" s="749">
        <f t="shared" si="3"/>
        <v>996</v>
      </c>
      <c r="F12" s="534">
        <f t="shared" si="4"/>
        <v>47990</v>
      </c>
      <c r="G12" s="305">
        <f t="shared" si="5"/>
        <v>6.0000000000000001E-3</v>
      </c>
      <c r="H12" s="234">
        <f t="shared" si="6"/>
        <v>48000</v>
      </c>
      <c r="I12" s="225">
        <f t="shared" si="7"/>
        <v>48600</v>
      </c>
      <c r="J12" s="278">
        <f t="shared" si="8"/>
        <v>45000</v>
      </c>
      <c r="K12" s="229">
        <f t="shared" si="9"/>
        <v>47700</v>
      </c>
      <c r="L12" s="256">
        <f t="shared" si="10"/>
        <v>571492418</v>
      </c>
      <c r="M12" s="732">
        <f t="shared" si="11"/>
        <v>1207197</v>
      </c>
      <c r="N12" s="726">
        <f t="shared" si="12"/>
        <v>1447</v>
      </c>
      <c r="O12" s="270">
        <f t="shared" si="13"/>
        <v>45393.687569444446</v>
      </c>
      <c r="P12" s="284">
        <v>11</v>
      </c>
      <c r="Q12" s="517"/>
      <c r="R12" s="647"/>
      <c r="S12" s="637"/>
      <c r="T12" s="475"/>
      <c r="U12" s="701"/>
      <c r="V12" s="295"/>
      <c r="W12" s="513"/>
      <c r="X12" s="662"/>
      <c r="Y12" s="657">
        <f t="shared" si="14"/>
        <v>206</v>
      </c>
      <c r="Z12" s="607">
        <f>IFERROR($C12*(1-$V$1)/100*INT($Y12),"")</f>
        <v>98859.4</v>
      </c>
      <c r="AA12" s="842">
        <f>IFERROR($Z12-$Z13,"")</f>
        <v>579.39999999999418</v>
      </c>
    </row>
    <row r="13" spans="1:42" ht="12.75" hidden="1" customHeight="1">
      <c r="A13" s="544" t="s">
        <v>568</v>
      </c>
      <c r="B13" s="745">
        <f t="shared" si="0"/>
        <v>61</v>
      </c>
      <c r="C13" s="310">
        <f t="shared" si="1"/>
        <v>83660</v>
      </c>
      <c r="D13" s="311">
        <f t="shared" si="2"/>
        <v>84000</v>
      </c>
      <c r="E13" s="750">
        <f t="shared" si="3"/>
        <v>79</v>
      </c>
      <c r="F13" s="536">
        <f t="shared" si="4"/>
        <v>83990</v>
      </c>
      <c r="G13" s="312">
        <f t="shared" si="5"/>
        <v>5.7999999999999996E-3</v>
      </c>
      <c r="H13" s="250">
        <f t="shared" si="6"/>
        <v>83500</v>
      </c>
      <c r="I13" s="251">
        <f t="shared" si="7"/>
        <v>84460</v>
      </c>
      <c r="J13" s="281">
        <f t="shared" si="8"/>
        <v>81780</v>
      </c>
      <c r="K13" s="252">
        <f t="shared" si="9"/>
        <v>83500</v>
      </c>
      <c r="L13" s="254">
        <f t="shared" si="10"/>
        <v>45278363</v>
      </c>
      <c r="M13" s="730">
        <f t="shared" si="11"/>
        <v>54037</v>
      </c>
      <c r="N13" s="736">
        <f t="shared" si="12"/>
        <v>262</v>
      </c>
      <c r="O13" s="313">
        <f t="shared" si="13"/>
        <v>45393.687789351854</v>
      </c>
      <c r="P13" s="283">
        <v>12</v>
      </c>
      <c r="Q13" s="528"/>
      <c r="R13" s="649"/>
      <c r="S13" s="636"/>
      <c r="T13" s="477"/>
      <c r="U13" s="702"/>
      <c r="V13" s="296"/>
      <c r="W13" s="512"/>
      <c r="X13" s="661"/>
      <c r="Y13" s="673">
        <f>IFERROR($Z12/($D13*(1+$V$1)/100),0)</f>
        <v>117.68976190476189</v>
      </c>
      <c r="Z13" s="608">
        <f>IFERROR($D13/100*INT($Y13),"")</f>
        <v>98280</v>
      </c>
      <c r="AA13" s="845"/>
    </row>
    <row r="14" spans="1:42" ht="12.75" hidden="1" customHeight="1">
      <c r="A14" s="545" t="s">
        <v>664</v>
      </c>
      <c r="B14" s="743">
        <f t="shared" si="0"/>
        <v>93</v>
      </c>
      <c r="C14" s="303">
        <f t="shared" si="1"/>
        <v>13.35</v>
      </c>
      <c r="D14" s="248">
        <f t="shared" si="2"/>
        <v>13.4</v>
      </c>
      <c r="E14" s="747">
        <f t="shared" si="3"/>
        <v>29</v>
      </c>
      <c r="F14" s="534">
        <f t="shared" si="4"/>
        <v>13.4</v>
      </c>
      <c r="G14" s="305">
        <f t="shared" si="5"/>
        <v>3.0699999999999998E-2</v>
      </c>
      <c r="H14" s="236">
        <f t="shared" si="6"/>
        <v>12.85</v>
      </c>
      <c r="I14" s="228">
        <f t="shared" si="7"/>
        <v>13.4</v>
      </c>
      <c r="J14" s="279">
        <f t="shared" si="8"/>
        <v>12.85</v>
      </c>
      <c r="K14" s="232">
        <f t="shared" si="9"/>
        <v>13</v>
      </c>
      <c r="L14" s="249">
        <f t="shared" si="10"/>
        <v>99948</v>
      </c>
      <c r="M14" s="727">
        <f t="shared" si="11"/>
        <v>7589</v>
      </c>
      <c r="N14" s="724">
        <f t="shared" si="12"/>
        <v>298</v>
      </c>
      <c r="O14" s="271">
        <f t="shared" si="13"/>
        <v>45393.706562500003</v>
      </c>
      <c r="P14" s="284">
        <v>13</v>
      </c>
      <c r="Q14" s="262"/>
      <c r="R14" s="645"/>
      <c r="S14" s="635"/>
      <c r="T14" s="471"/>
      <c r="U14" s="701"/>
      <c r="V14" s="295"/>
      <c r="W14" s="513"/>
      <c r="X14" s="662"/>
      <c r="Y14" s="658">
        <v>100</v>
      </c>
      <c r="Z14" s="610">
        <f>IFERROR($C14*(1-$V$1)/100*$Y14,"")</f>
        <v>13.350000000000001</v>
      </c>
      <c r="AA14" s="844">
        <f>IFERROR($Z14-$Z15,"")</f>
        <v>0.10000000000000142</v>
      </c>
      <c r="AN14" s="47"/>
      <c r="AO14" s="47"/>
      <c r="AP14" s="47"/>
    </row>
    <row r="15" spans="1:42" ht="12.75" hidden="1" customHeight="1">
      <c r="A15" s="315" t="s">
        <v>235</v>
      </c>
      <c r="B15" s="744">
        <f t="shared" si="0"/>
        <v>6226</v>
      </c>
      <c r="C15" s="302">
        <f t="shared" si="1"/>
        <v>52.8</v>
      </c>
      <c r="D15" s="304">
        <f t="shared" si="2"/>
        <v>53</v>
      </c>
      <c r="E15" s="748">
        <f t="shared" si="3"/>
        <v>8303</v>
      </c>
      <c r="F15" s="535">
        <f t="shared" si="4"/>
        <v>53</v>
      </c>
      <c r="G15" s="306">
        <f t="shared" si="5"/>
        <v>-9.300000000000001E-3</v>
      </c>
      <c r="H15" s="239">
        <f t="shared" si="6"/>
        <v>51.9</v>
      </c>
      <c r="I15" s="240">
        <f t="shared" si="7"/>
        <v>54</v>
      </c>
      <c r="J15" s="280">
        <f t="shared" si="8"/>
        <v>50.51</v>
      </c>
      <c r="K15" s="241">
        <f t="shared" si="9"/>
        <v>53.5</v>
      </c>
      <c r="L15" s="259">
        <f t="shared" si="10"/>
        <v>96205</v>
      </c>
      <c r="M15" s="737">
        <f t="shared" si="11"/>
        <v>182893</v>
      </c>
      <c r="N15" s="738">
        <f t="shared" si="12"/>
        <v>176</v>
      </c>
      <c r="O15" s="272">
        <f t="shared" si="13"/>
        <v>45393.705011574071</v>
      </c>
      <c r="P15" s="283">
        <v>14</v>
      </c>
      <c r="Q15" s="529"/>
      <c r="R15" s="650"/>
      <c r="S15" s="639"/>
      <c r="T15" s="476"/>
      <c r="U15" s="702"/>
      <c r="V15" s="296"/>
      <c r="W15" s="512"/>
      <c r="X15" s="661"/>
      <c r="Y15" s="656">
        <f>IFERROR(INT($Z14/($D15*(1+$V$1)/100)),0)</f>
        <v>25</v>
      </c>
      <c r="Z15" s="608">
        <f>IFERROR($D15/100*INT($Y15),"")</f>
        <v>13.25</v>
      </c>
      <c r="AA15" s="845"/>
    </row>
    <row r="16" spans="1:42" ht="12.75" hidden="1" customHeight="1">
      <c r="A16" s="314" t="s">
        <v>190</v>
      </c>
      <c r="B16" s="743">
        <f t="shared" si="0"/>
        <v>3812</v>
      </c>
      <c r="C16" s="303">
        <f t="shared" si="1"/>
        <v>52730</v>
      </c>
      <c r="D16" s="301">
        <f t="shared" si="2"/>
        <v>53600</v>
      </c>
      <c r="E16" s="749">
        <f t="shared" si="3"/>
        <v>4702</v>
      </c>
      <c r="F16" s="534">
        <f t="shared" si="4"/>
        <v>53600</v>
      </c>
      <c r="G16" s="305">
        <f t="shared" si="5"/>
        <v>2.1700000000000001E-2</v>
      </c>
      <c r="H16" s="234">
        <f t="shared" si="6"/>
        <v>52400</v>
      </c>
      <c r="I16" s="225">
        <f t="shared" si="7"/>
        <v>53760</v>
      </c>
      <c r="J16" s="225">
        <f t="shared" si="8"/>
        <v>52190</v>
      </c>
      <c r="K16" s="229">
        <f t="shared" si="9"/>
        <v>52460</v>
      </c>
      <c r="L16" s="256">
        <f t="shared" si="10"/>
        <v>3917803608</v>
      </c>
      <c r="M16" s="732">
        <f t="shared" si="11"/>
        <v>7447924</v>
      </c>
      <c r="N16" s="726">
        <f t="shared" si="12"/>
        <v>1083</v>
      </c>
      <c r="O16" s="270">
        <f t="shared" si="13"/>
        <v>45393.708668981482</v>
      </c>
      <c r="P16" s="284">
        <v>15</v>
      </c>
      <c r="Q16" s="530"/>
      <c r="R16" s="647"/>
      <c r="S16" s="637"/>
      <c r="T16" s="475"/>
      <c r="U16" s="701"/>
      <c r="V16" s="295"/>
      <c r="W16" s="526"/>
      <c r="X16" s="663"/>
      <c r="Y16" s="657">
        <f t="shared" ref="Y16" si="15">Y15</f>
        <v>25</v>
      </c>
      <c r="Z16" s="607">
        <f>IFERROR($C16*(1-$V$1)/100*INT($Y16),"")</f>
        <v>13182.499999999998</v>
      </c>
      <c r="AA16" s="842">
        <f>IFERROR($Z16-$Z17,"")</f>
        <v>109.54999999999745</v>
      </c>
    </row>
    <row r="17" spans="1:41" ht="12.75" hidden="1" customHeight="1">
      <c r="A17" s="583" t="s">
        <v>660</v>
      </c>
      <c r="B17" s="746">
        <f t="shared" si="0"/>
        <v>10</v>
      </c>
      <c r="C17" s="557">
        <f t="shared" si="1"/>
        <v>13200</v>
      </c>
      <c r="D17" s="584">
        <f t="shared" si="2"/>
        <v>13205</v>
      </c>
      <c r="E17" s="751">
        <f t="shared" si="3"/>
        <v>1</v>
      </c>
      <c r="F17" s="585">
        <f t="shared" si="4"/>
        <v>13204</v>
      </c>
      <c r="G17" s="586">
        <f t="shared" si="5"/>
        <v>2.2400000000000003E-2</v>
      </c>
      <c r="H17" s="561">
        <f t="shared" si="6"/>
        <v>13000</v>
      </c>
      <c r="I17" s="562">
        <f t="shared" si="7"/>
        <v>13235</v>
      </c>
      <c r="J17" s="563">
        <f t="shared" si="8"/>
        <v>12965</v>
      </c>
      <c r="K17" s="564">
        <f t="shared" si="9"/>
        <v>12914.5</v>
      </c>
      <c r="L17" s="565">
        <f t="shared" si="10"/>
        <v>516652432</v>
      </c>
      <c r="M17" s="734">
        <f t="shared" si="11"/>
        <v>39399</v>
      </c>
      <c r="N17" s="735">
        <f t="shared" si="12"/>
        <v>2543</v>
      </c>
      <c r="O17" s="587">
        <f t="shared" si="13"/>
        <v>45393.708020833335</v>
      </c>
      <c r="P17" s="573">
        <v>16</v>
      </c>
      <c r="Q17" s="588"/>
      <c r="R17" s="648"/>
      <c r="S17" s="638"/>
      <c r="T17" s="569"/>
      <c r="U17" s="702"/>
      <c r="V17" s="296"/>
      <c r="W17" s="570"/>
      <c r="X17" s="664"/>
      <c r="Y17" s="674">
        <f>IFERROR($Z16/($D17*(1+$V$1)/100),0)</f>
        <v>99.829609996213534</v>
      </c>
      <c r="Z17" s="609">
        <f>IFERROR($D17/100*INT($Y17),"")</f>
        <v>13072.95</v>
      </c>
      <c r="AA17" s="850"/>
      <c r="AO17" s="377"/>
    </row>
    <row r="18" spans="1:41" ht="12.75" hidden="1" customHeight="1">
      <c r="A18" s="545" t="s">
        <v>572</v>
      </c>
      <c r="B18" s="743">
        <f t="shared" si="0"/>
        <v>1370</v>
      </c>
      <c r="C18" s="303">
        <f t="shared" si="1"/>
        <v>84.52</v>
      </c>
      <c r="D18" s="248">
        <f t="shared" si="2"/>
        <v>85</v>
      </c>
      <c r="E18" s="747">
        <f t="shared" si="3"/>
        <v>2264</v>
      </c>
      <c r="F18" s="537">
        <f t="shared" si="4"/>
        <v>85.27</v>
      </c>
      <c r="G18" s="316">
        <f t="shared" si="5"/>
        <v>6.7000000000000002E-3</v>
      </c>
      <c r="H18" s="317">
        <f t="shared" si="6"/>
        <v>85</v>
      </c>
      <c r="I18" s="318">
        <f t="shared" si="7"/>
        <v>85.3</v>
      </c>
      <c r="J18" s="319">
        <f t="shared" si="8"/>
        <v>84.3</v>
      </c>
      <c r="K18" s="320">
        <f t="shared" si="9"/>
        <v>84.7</v>
      </c>
      <c r="L18" s="321">
        <f t="shared" si="10"/>
        <v>18504</v>
      </c>
      <c r="M18" s="739">
        <f t="shared" si="11"/>
        <v>21841</v>
      </c>
      <c r="N18" s="724">
        <f t="shared" si="12"/>
        <v>53</v>
      </c>
      <c r="O18" s="271"/>
      <c r="P18" s="284">
        <v>17</v>
      </c>
      <c r="Q18" s="262"/>
      <c r="R18" s="651"/>
      <c r="S18" s="635"/>
      <c r="T18" s="471"/>
      <c r="U18" s="704"/>
      <c r="V18" s="295"/>
      <c r="W18" s="513"/>
      <c r="X18" s="662"/>
      <c r="Y18" s="658">
        <v>101</v>
      </c>
      <c r="Z18" s="610">
        <f>IFERROR($C18*(1-$V$1)/100*$Y18,"")</f>
        <v>85.365200000000002</v>
      </c>
      <c r="AA18" s="844">
        <f>IFERROR($Z18-$Z19,"")</f>
        <v>0.47299999999999898</v>
      </c>
    </row>
    <row r="19" spans="1:41" ht="12.75" hidden="1" customHeight="1">
      <c r="A19" s="315" t="s">
        <v>14</v>
      </c>
      <c r="B19" s="744">
        <f t="shared" si="0"/>
        <v>300</v>
      </c>
      <c r="C19" s="302">
        <f t="shared" si="1"/>
        <v>56.15</v>
      </c>
      <c r="D19" s="304">
        <f t="shared" si="2"/>
        <v>56.22</v>
      </c>
      <c r="E19" s="748">
        <f t="shared" si="3"/>
        <v>6442</v>
      </c>
      <c r="F19" s="538">
        <f t="shared" si="4"/>
        <v>56.22</v>
      </c>
      <c r="G19" s="322">
        <f t="shared" si="5"/>
        <v>1.1599999999999999E-2</v>
      </c>
      <c r="H19" s="323">
        <f t="shared" si="6"/>
        <v>55.39</v>
      </c>
      <c r="I19" s="324">
        <f t="shared" si="7"/>
        <v>56.77</v>
      </c>
      <c r="J19" s="325">
        <f t="shared" si="8"/>
        <v>54.2</v>
      </c>
      <c r="K19" s="326">
        <f t="shared" si="9"/>
        <v>55.57</v>
      </c>
      <c r="L19" s="327">
        <f t="shared" si="10"/>
        <v>81750788</v>
      </c>
      <c r="M19" s="740">
        <f t="shared" si="11"/>
        <v>147956234</v>
      </c>
      <c r="N19" s="738">
        <f t="shared" ref="N19:N29" si="16">IF($A19&lt;&gt;"",VLOOKUP($A19,$A$60:$N$201,14,0),"")</f>
        <v>62987</v>
      </c>
      <c r="O19" s="272">
        <f t="shared" ref="O19:O29" si="17">IF($A19&lt;&gt;"",VLOOKUP($A19,$A$60:$O$201,15,0),"")</f>
        <v>45393.687777777777</v>
      </c>
      <c r="P19" s="283">
        <v>18</v>
      </c>
      <c r="Q19" s="529"/>
      <c r="R19" s="650"/>
      <c r="S19" s="639"/>
      <c r="T19" s="476"/>
      <c r="U19" s="703"/>
      <c r="V19" s="296"/>
      <c r="W19" s="512"/>
      <c r="X19" s="661"/>
      <c r="Y19" s="656">
        <f>IFERROR(INT($Z18/($D19*(1+$V$1)/100)),0)</f>
        <v>151</v>
      </c>
      <c r="Z19" s="608">
        <f>IFERROR($D19/100*INT($Y19),"")</f>
        <v>84.892200000000003</v>
      </c>
      <c r="AA19" s="845"/>
    </row>
    <row r="20" spans="1:41" ht="12.75" hidden="1" customHeight="1">
      <c r="A20" s="314" t="s">
        <v>15</v>
      </c>
      <c r="B20" s="743">
        <f t="shared" si="0"/>
        <v>205</v>
      </c>
      <c r="C20" s="303">
        <f t="shared" si="1"/>
        <v>53.8</v>
      </c>
      <c r="D20" s="301">
        <f t="shared" si="2"/>
        <v>54.15</v>
      </c>
      <c r="E20" s="749">
        <f t="shared" si="3"/>
        <v>56198</v>
      </c>
      <c r="F20" s="537">
        <f t="shared" si="4"/>
        <v>54.15</v>
      </c>
      <c r="G20" s="316">
        <f t="shared" si="5"/>
        <v>1.9699999999999999E-2</v>
      </c>
      <c r="H20" s="328">
        <f t="shared" si="6"/>
        <v>52.5</v>
      </c>
      <c r="I20" s="329">
        <f t="shared" si="7"/>
        <v>54.15</v>
      </c>
      <c r="J20" s="330">
        <f t="shared" si="8"/>
        <v>51.73</v>
      </c>
      <c r="K20" s="331">
        <f t="shared" si="9"/>
        <v>53.1</v>
      </c>
      <c r="L20" s="332">
        <f t="shared" si="10"/>
        <v>20726754</v>
      </c>
      <c r="M20" s="741">
        <f t="shared" si="11"/>
        <v>39073034</v>
      </c>
      <c r="N20" s="726">
        <f t="shared" si="16"/>
        <v>7807</v>
      </c>
      <c r="O20" s="270">
        <f t="shared" si="17"/>
        <v>45393.687835648147</v>
      </c>
      <c r="P20" s="284">
        <v>19</v>
      </c>
      <c r="Q20" s="530"/>
      <c r="R20" s="647"/>
      <c r="S20" s="637"/>
      <c r="T20" s="475"/>
      <c r="U20" s="704"/>
      <c r="V20" s="295"/>
      <c r="W20" s="526"/>
      <c r="X20" s="662"/>
      <c r="Y20" s="657">
        <f t="shared" ref="Y20" si="18">Y19</f>
        <v>151</v>
      </c>
      <c r="Z20" s="607">
        <f>IFERROR($C20*(1-$V$1)/100*INT($Y20),"")</f>
        <v>81.237999999999985</v>
      </c>
      <c r="AA20" s="842">
        <f>IFERROR($Z20-$Z21,"")</f>
        <v>81.237999999999985</v>
      </c>
    </row>
    <row r="21" spans="1:41" ht="12.75" hidden="1" customHeight="1">
      <c r="A21" s="544" t="s">
        <v>570</v>
      </c>
      <c r="B21" s="745">
        <f t="shared" si="0"/>
        <v>0</v>
      </c>
      <c r="C21" s="310">
        <f t="shared" si="1"/>
        <v>0</v>
      </c>
      <c r="D21" s="311">
        <f t="shared" si="2"/>
        <v>0</v>
      </c>
      <c r="E21" s="750">
        <f t="shared" si="3"/>
        <v>0</v>
      </c>
      <c r="F21" s="706">
        <f t="shared" si="4"/>
        <v>0</v>
      </c>
      <c r="G21" s="707">
        <f t="shared" si="5"/>
        <v>0</v>
      </c>
      <c r="H21" s="708">
        <f t="shared" si="6"/>
        <v>0</v>
      </c>
      <c r="I21" s="709">
        <f t="shared" si="7"/>
        <v>0</v>
      </c>
      <c r="J21" s="710">
        <f t="shared" si="8"/>
        <v>0</v>
      </c>
      <c r="K21" s="711">
        <f t="shared" si="9"/>
        <v>80.599999999999994</v>
      </c>
      <c r="L21" s="712">
        <f t="shared" si="10"/>
        <v>0</v>
      </c>
      <c r="M21" s="742">
        <f t="shared" si="11"/>
        <v>0</v>
      </c>
      <c r="N21" s="736">
        <f t="shared" si="16"/>
        <v>0</v>
      </c>
      <c r="O21" s="313">
        <f t="shared" si="17"/>
        <v>0</v>
      </c>
      <c r="P21" s="713">
        <v>20</v>
      </c>
      <c r="Q21" s="528"/>
      <c r="R21" s="649"/>
      <c r="S21" s="636"/>
      <c r="T21" s="477"/>
      <c r="U21" s="702"/>
      <c r="V21" s="296"/>
      <c r="W21" s="714"/>
      <c r="X21" s="715"/>
      <c r="Y21" s="716">
        <f>IFERROR($Z20/($D21*(1+$V$1)/100),0)</f>
        <v>0</v>
      </c>
      <c r="Z21" s="717">
        <f>IFERROR($D21/100*INT($Y21),"")</f>
        <v>0</v>
      </c>
      <c r="AA21" s="843"/>
    </row>
    <row r="22" spans="1:41" ht="12.75" hidden="1" customHeight="1">
      <c r="A22" s="545" t="s">
        <v>664</v>
      </c>
      <c r="B22" s="743">
        <f t="shared" si="0"/>
        <v>93</v>
      </c>
      <c r="C22" s="303">
        <f t="shared" si="1"/>
        <v>13.35</v>
      </c>
      <c r="D22" s="248">
        <f t="shared" si="2"/>
        <v>13.4</v>
      </c>
      <c r="E22" s="747">
        <f t="shared" si="3"/>
        <v>29</v>
      </c>
      <c r="F22" s="534">
        <f t="shared" si="4"/>
        <v>13.4</v>
      </c>
      <c r="G22" s="316">
        <f t="shared" si="5"/>
        <v>3.0699999999999998E-2</v>
      </c>
      <c r="H22" s="317">
        <f t="shared" si="6"/>
        <v>12.85</v>
      </c>
      <c r="I22" s="318">
        <f t="shared" si="7"/>
        <v>13.4</v>
      </c>
      <c r="J22" s="319">
        <f t="shared" si="8"/>
        <v>12.85</v>
      </c>
      <c r="K22" s="320">
        <f t="shared" si="9"/>
        <v>13</v>
      </c>
      <c r="L22" s="321">
        <f t="shared" si="10"/>
        <v>99948</v>
      </c>
      <c r="M22" s="719">
        <f t="shared" si="11"/>
        <v>7589</v>
      </c>
      <c r="N22" s="724">
        <f t="shared" si="16"/>
        <v>298</v>
      </c>
      <c r="O22" s="273">
        <f t="shared" si="17"/>
        <v>45393.706562500003</v>
      </c>
      <c r="P22" s="284">
        <v>21</v>
      </c>
      <c r="Q22" s="262"/>
      <c r="R22" s="651"/>
      <c r="S22" s="635"/>
      <c r="T22" s="471"/>
      <c r="U22" s="701"/>
      <c r="V22" s="295"/>
      <c r="W22" s="513"/>
      <c r="X22" s="662"/>
      <c r="Y22" s="658">
        <v>102</v>
      </c>
      <c r="Z22" s="610">
        <f>IFERROR($C22*(1-$V$1)/100*$Y22,"")</f>
        <v>13.617000000000001</v>
      </c>
      <c r="AA22" s="844">
        <f>IFERROR($Z22-$Z23,"")</f>
        <v>6.0800000000002186E-2</v>
      </c>
    </row>
    <row r="23" spans="1:41" ht="12.75" hidden="1" customHeight="1">
      <c r="A23" s="315" t="s">
        <v>7</v>
      </c>
      <c r="B23" s="744">
        <f t="shared" si="0"/>
        <v>2866</v>
      </c>
      <c r="C23" s="302">
        <f t="shared" si="1"/>
        <v>58.95</v>
      </c>
      <c r="D23" s="304">
        <f t="shared" si="2"/>
        <v>58.94</v>
      </c>
      <c r="E23" s="748">
        <f t="shared" si="3"/>
        <v>20000</v>
      </c>
      <c r="F23" s="535">
        <f t="shared" si="4"/>
        <v>58.94</v>
      </c>
      <c r="G23" s="322">
        <f t="shared" si="5"/>
        <v>7.4999999999999997E-3</v>
      </c>
      <c r="H23" s="333">
        <f t="shared" si="6"/>
        <v>58.5</v>
      </c>
      <c r="I23" s="334">
        <f t="shared" si="7"/>
        <v>59.22</v>
      </c>
      <c r="J23" s="335">
        <f t="shared" si="8"/>
        <v>57.33</v>
      </c>
      <c r="K23" s="336">
        <f t="shared" si="9"/>
        <v>58.5</v>
      </c>
      <c r="L23" s="337">
        <f t="shared" si="10"/>
        <v>3008697</v>
      </c>
      <c r="M23" s="720">
        <f t="shared" si="11"/>
        <v>5157861</v>
      </c>
      <c r="N23" s="729">
        <f t="shared" si="16"/>
        <v>1614</v>
      </c>
      <c r="O23" s="274">
        <f t="shared" si="17"/>
        <v>45393.708460648151</v>
      </c>
      <c r="P23" s="283">
        <v>22</v>
      </c>
      <c r="Q23" s="260"/>
      <c r="R23" s="644"/>
      <c r="S23" s="634"/>
      <c r="T23" s="472"/>
      <c r="U23" s="702"/>
      <c r="V23" s="296"/>
      <c r="W23" s="512"/>
      <c r="X23" s="661"/>
      <c r="Y23" s="656">
        <f>IFERROR(INT($Z22/($D23*(1+$V$1)/100)),0)</f>
        <v>23</v>
      </c>
      <c r="Z23" s="608">
        <f>IFERROR($D23/100*INT($Y23),"")</f>
        <v>13.556199999999999</v>
      </c>
      <c r="AA23" s="845"/>
    </row>
    <row r="24" spans="1:41" ht="12.75" hidden="1" customHeight="1">
      <c r="A24" s="314" t="s">
        <v>6</v>
      </c>
      <c r="B24" s="743">
        <f t="shared" si="0"/>
        <v>1040</v>
      </c>
      <c r="C24" s="303">
        <f t="shared" si="1"/>
        <v>56</v>
      </c>
      <c r="D24" s="301">
        <f t="shared" si="2"/>
        <v>56.5</v>
      </c>
      <c r="E24" s="749">
        <f t="shared" si="3"/>
        <v>99190</v>
      </c>
      <c r="F24" s="534">
        <f t="shared" si="4"/>
        <v>56.5</v>
      </c>
      <c r="G24" s="316">
        <f t="shared" si="5"/>
        <v>5.3E-3</v>
      </c>
      <c r="H24" s="317">
        <f t="shared" si="6"/>
        <v>55.55</v>
      </c>
      <c r="I24" s="225">
        <f t="shared" si="7"/>
        <v>56.5</v>
      </c>
      <c r="J24" s="319">
        <f t="shared" si="8"/>
        <v>55.15</v>
      </c>
      <c r="K24" s="320">
        <f t="shared" si="9"/>
        <v>56.2</v>
      </c>
      <c r="L24" s="321">
        <f t="shared" si="10"/>
        <v>320374</v>
      </c>
      <c r="M24" s="721">
        <f t="shared" si="11"/>
        <v>577174</v>
      </c>
      <c r="N24" s="724">
        <f t="shared" si="16"/>
        <v>128</v>
      </c>
      <c r="O24" s="273">
        <f t="shared" si="17"/>
        <v>45393.695057870369</v>
      </c>
      <c r="P24" s="284">
        <v>23</v>
      </c>
      <c r="Q24" s="262"/>
      <c r="R24" s="645"/>
      <c r="S24" s="635"/>
      <c r="T24" s="471"/>
      <c r="U24" s="701"/>
      <c r="V24" s="295"/>
      <c r="W24" s="526"/>
      <c r="X24" s="663"/>
      <c r="Y24" s="657">
        <f t="shared" ref="Y24" si="19">Y23</f>
        <v>23</v>
      </c>
      <c r="Z24" s="607">
        <f>IFERROR($C24*(1-$V$1)/100*INT($Y24),"")</f>
        <v>12.88</v>
      </c>
      <c r="AA24" s="842">
        <f>IFERROR($Z24-$Z25,"")</f>
        <v>12.88</v>
      </c>
    </row>
    <row r="25" spans="1:41" ht="12.75" hidden="1" customHeight="1">
      <c r="A25" s="768" t="s">
        <v>662</v>
      </c>
      <c r="B25" s="769">
        <f t="shared" si="0"/>
        <v>0</v>
      </c>
      <c r="C25" s="770">
        <f t="shared" si="1"/>
        <v>0</v>
      </c>
      <c r="D25" s="771">
        <f t="shared" si="2"/>
        <v>0</v>
      </c>
      <c r="E25" s="772">
        <f t="shared" si="3"/>
        <v>0</v>
      </c>
      <c r="F25" s="773">
        <f t="shared" si="4"/>
        <v>0</v>
      </c>
      <c r="G25" s="774">
        <f t="shared" si="5"/>
        <v>0</v>
      </c>
      <c r="H25" s="775">
        <f t="shared" si="6"/>
        <v>0</v>
      </c>
      <c r="I25" s="776">
        <f t="shared" si="7"/>
        <v>0</v>
      </c>
      <c r="J25" s="777">
        <f t="shared" si="8"/>
        <v>0</v>
      </c>
      <c r="K25" s="778">
        <f t="shared" si="9"/>
        <v>9</v>
      </c>
      <c r="L25" s="779">
        <f t="shared" si="10"/>
        <v>0</v>
      </c>
      <c r="M25" s="780">
        <f t="shared" si="11"/>
        <v>0</v>
      </c>
      <c r="N25" s="781">
        <f t="shared" si="16"/>
        <v>0</v>
      </c>
      <c r="O25" s="782">
        <f t="shared" si="17"/>
        <v>0</v>
      </c>
      <c r="P25" s="783">
        <v>24</v>
      </c>
      <c r="Q25" s="784"/>
      <c r="R25" s="785"/>
      <c r="S25" s="786"/>
      <c r="T25" s="787"/>
      <c r="U25" s="703"/>
      <c r="V25" s="494"/>
      <c r="W25" s="788"/>
      <c r="X25" s="789"/>
      <c r="Y25" s="790">
        <f>IFERROR($Z24/($D25*(1+$V$1)/100),0)</f>
        <v>0</v>
      </c>
      <c r="Z25" s="791">
        <f>IFERROR($D25/100*INT($Y25),"")</f>
        <v>0</v>
      </c>
      <c r="AA25" s="848"/>
    </row>
    <row r="26" spans="1:41" ht="12.75" customHeight="1">
      <c r="A26" s="531" t="s">
        <v>13</v>
      </c>
      <c r="B26" s="722">
        <f t="shared" si="0"/>
        <v>200</v>
      </c>
      <c r="C26" s="303">
        <f t="shared" si="1"/>
        <v>55810</v>
      </c>
      <c r="D26" s="303">
        <f t="shared" si="2"/>
        <v>55880</v>
      </c>
      <c r="E26" s="722">
        <f t="shared" si="3"/>
        <v>50</v>
      </c>
      <c r="F26" s="589">
        <f t="shared" si="4"/>
        <v>55840</v>
      </c>
      <c r="G26" s="305">
        <f t="shared" si="5"/>
        <v>1.06E-2</v>
      </c>
      <c r="H26" s="236">
        <f t="shared" si="6"/>
        <v>55900</v>
      </c>
      <c r="I26" s="228">
        <f t="shared" si="7"/>
        <v>56300</v>
      </c>
      <c r="J26" s="279">
        <f t="shared" si="8"/>
        <v>54090</v>
      </c>
      <c r="K26" s="232">
        <f t="shared" si="9"/>
        <v>55250</v>
      </c>
      <c r="L26" s="249">
        <f t="shared" si="10"/>
        <v>95141149785</v>
      </c>
      <c r="M26" s="719">
        <f t="shared" si="11"/>
        <v>172499526</v>
      </c>
      <c r="N26" s="724">
        <f t="shared" si="16"/>
        <v>69036</v>
      </c>
      <c r="O26" s="271">
        <f t="shared" si="17"/>
        <v>45393.687615740739</v>
      </c>
      <c r="P26" s="284">
        <v>25</v>
      </c>
      <c r="Q26" s="262"/>
      <c r="R26" s="645"/>
      <c r="S26" s="635"/>
      <c r="T26" s="471"/>
      <c r="U26" s="502"/>
      <c r="V26" s="548"/>
      <c r="W26" s="513"/>
      <c r="X26" s="662"/>
      <c r="Y26" s="658">
        <v>50</v>
      </c>
      <c r="Z26" s="515">
        <f t="shared" ref="Z26:Z29" si="20">C26/100*V26-(X26*V26)</f>
        <v>0</v>
      </c>
      <c r="AA26" s="611" t="str">
        <f t="shared" ref="AA26:AA29" si="21">IF(V26&lt;&gt;0,F26/100*V26,"")</f>
        <v/>
      </c>
      <c r="AC26" s="224"/>
      <c r="AM26">
        <v>88529</v>
      </c>
    </row>
    <row r="27" spans="1:41" ht="12.75" customHeight="1">
      <c r="A27" s="830" t="s">
        <v>13</v>
      </c>
      <c r="B27" s="723">
        <f t="shared" si="0"/>
        <v>200</v>
      </c>
      <c r="C27" s="304">
        <f t="shared" si="1"/>
        <v>55810</v>
      </c>
      <c r="D27" s="532">
        <f t="shared" si="2"/>
        <v>55880</v>
      </c>
      <c r="E27" s="723">
        <f t="shared" si="3"/>
        <v>50</v>
      </c>
      <c r="F27" s="590">
        <f t="shared" si="4"/>
        <v>55840</v>
      </c>
      <c r="G27" s="306">
        <f t="shared" si="5"/>
        <v>1.06E-2</v>
      </c>
      <c r="H27" s="484">
        <f t="shared" si="6"/>
        <v>55900</v>
      </c>
      <c r="I27" s="485">
        <f t="shared" si="7"/>
        <v>56300</v>
      </c>
      <c r="J27" s="486">
        <f t="shared" si="8"/>
        <v>54090</v>
      </c>
      <c r="K27" s="487">
        <f t="shared" si="9"/>
        <v>55250</v>
      </c>
      <c r="L27" s="488">
        <f t="shared" si="10"/>
        <v>95141149785</v>
      </c>
      <c r="M27" s="720">
        <f t="shared" si="11"/>
        <v>172499526</v>
      </c>
      <c r="N27" s="725">
        <f t="shared" si="16"/>
        <v>69036</v>
      </c>
      <c r="O27" s="489">
        <f t="shared" si="17"/>
        <v>45393.687615740739</v>
      </c>
      <c r="P27" s="283">
        <v>26</v>
      </c>
      <c r="Q27" s="516"/>
      <c r="R27" s="653"/>
      <c r="S27" s="634"/>
      <c r="T27" s="472"/>
      <c r="U27" s="503"/>
      <c r="V27" s="549"/>
      <c r="W27" s="512"/>
      <c r="X27" s="661"/>
      <c r="Y27" s="659">
        <v>50</v>
      </c>
      <c r="Z27" s="514">
        <f>C27/100*V27-(X27*V27)</f>
        <v>0</v>
      </c>
      <c r="AA27" s="612" t="str">
        <f>IF(V27&lt;&gt;0,F27/100*V27,"")</f>
        <v/>
      </c>
    </row>
    <row r="28" spans="1:41" ht="12.75" customHeight="1">
      <c r="A28" s="829" t="s">
        <v>2</v>
      </c>
      <c r="B28" s="722">
        <f t="shared" si="0"/>
        <v>11159</v>
      </c>
      <c r="C28" s="303">
        <f t="shared" si="1"/>
        <v>56160</v>
      </c>
      <c r="D28" s="303">
        <f t="shared" si="2"/>
        <v>56190</v>
      </c>
      <c r="E28" s="722">
        <f t="shared" si="3"/>
        <v>6755</v>
      </c>
      <c r="F28" s="589">
        <f t="shared" si="4"/>
        <v>56170</v>
      </c>
      <c r="G28" s="305">
        <f t="shared" si="5"/>
        <v>1.4199999999999999E-2</v>
      </c>
      <c r="H28" s="234">
        <f t="shared" si="6"/>
        <v>54890</v>
      </c>
      <c r="I28" s="225">
        <f t="shared" si="7"/>
        <v>56690</v>
      </c>
      <c r="J28" s="225">
        <f t="shared" si="8"/>
        <v>54500</v>
      </c>
      <c r="K28" s="229">
        <f t="shared" si="9"/>
        <v>55380</v>
      </c>
      <c r="L28" s="256">
        <f t="shared" si="10"/>
        <v>65382004354</v>
      </c>
      <c r="M28" s="721">
        <f t="shared" si="11"/>
        <v>117503685</v>
      </c>
      <c r="N28" s="726">
        <f t="shared" si="16"/>
        <v>27308</v>
      </c>
      <c r="O28" s="270">
        <f t="shared" si="17"/>
        <v>45393.708611111113</v>
      </c>
      <c r="P28" s="284">
        <v>27</v>
      </c>
      <c r="Q28" s="517"/>
      <c r="R28" s="647"/>
      <c r="S28" s="635"/>
      <c r="T28" s="471"/>
      <c r="U28" s="502"/>
      <c r="V28" s="548"/>
      <c r="W28" s="513" t="s">
        <v>675</v>
      </c>
      <c r="X28" s="662">
        <v>562</v>
      </c>
      <c r="Y28" s="658">
        <v>50</v>
      </c>
      <c r="Z28" s="515">
        <f t="shared" si="20"/>
        <v>0</v>
      </c>
      <c r="AA28" s="611" t="str">
        <f t="shared" si="21"/>
        <v/>
      </c>
    </row>
    <row r="29" spans="1:41" ht="12.75" customHeight="1">
      <c r="A29" s="831" t="s">
        <v>2</v>
      </c>
      <c r="B29" s="793">
        <f t="shared" si="0"/>
        <v>11159</v>
      </c>
      <c r="C29" s="794">
        <f t="shared" si="1"/>
        <v>56160</v>
      </c>
      <c r="D29" s="792">
        <f t="shared" si="2"/>
        <v>56190</v>
      </c>
      <c r="E29" s="793">
        <f t="shared" si="3"/>
        <v>6755</v>
      </c>
      <c r="F29" s="795">
        <f t="shared" si="4"/>
        <v>56170</v>
      </c>
      <c r="G29" s="796">
        <f t="shared" si="5"/>
        <v>1.4199999999999999E-2</v>
      </c>
      <c r="H29" s="797">
        <f t="shared" si="6"/>
        <v>54890</v>
      </c>
      <c r="I29" s="798">
        <f t="shared" si="7"/>
        <v>56690</v>
      </c>
      <c r="J29" s="799">
        <f t="shared" si="8"/>
        <v>54500</v>
      </c>
      <c r="K29" s="800">
        <f t="shared" si="9"/>
        <v>55380</v>
      </c>
      <c r="L29" s="801">
        <f t="shared" si="10"/>
        <v>65382004354</v>
      </c>
      <c r="M29" s="780">
        <f t="shared" si="11"/>
        <v>117503685</v>
      </c>
      <c r="N29" s="781">
        <f t="shared" si="16"/>
        <v>27308</v>
      </c>
      <c r="O29" s="802">
        <f t="shared" si="17"/>
        <v>45393.708611111113</v>
      </c>
      <c r="P29" s="783">
        <v>28</v>
      </c>
      <c r="Q29" s="784"/>
      <c r="R29" s="803"/>
      <c r="S29" s="786"/>
      <c r="T29" s="804"/>
      <c r="U29" s="503"/>
      <c r="V29" s="550"/>
      <c r="W29" s="788"/>
      <c r="X29" s="789"/>
      <c r="Y29" s="807">
        <v>50</v>
      </c>
      <c r="Z29" s="808">
        <f t="shared" si="20"/>
        <v>0</v>
      </c>
      <c r="AA29" s="809" t="str">
        <f t="shared" si="21"/>
        <v/>
      </c>
    </row>
    <row r="30" spans="1:41" ht="12.75" customHeight="1">
      <c r="A30" s="465" t="s">
        <v>589</v>
      </c>
      <c r="B30" s="246">
        <v>10</v>
      </c>
      <c r="C30" s="301">
        <v>260</v>
      </c>
      <c r="D30" s="253">
        <v>269</v>
      </c>
      <c r="E30" s="246">
        <v>3</v>
      </c>
      <c r="F30" s="534">
        <v>260</v>
      </c>
      <c r="G30" s="305">
        <v>0.57719999999999994</v>
      </c>
      <c r="H30" s="236">
        <v>185</v>
      </c>
      <c r="I30" s="228">
        <v>275</v>
      </c>
      <c r="J30" s="279">
        <v>151.05000000000001</v>
      </c>
      <c r="K30" s="232">
        <v>164.84899999999999</v>
      </c>
      <c r="L30" s="249">
        <v>118717209</v>
      </c>
      <c r="M30" s="249">
        <v>5803</v>
      </c>
      <c r="N30" s="479">
        <v>958</v>
      </c>
      <c r="O30" s="273">
        <v>45393.70820601852</v>
      </c>
      <c r="P30" s="284">
        <v>29</v>
      </c>
      <c r="Q30" s="555"/>
      <c r="R30" s="645"/>
      <c r="S30" s="635"/>
      <c r="T30" s="471"/>
      <c r="U30" s="756"/>
      <c r="V30" s="548"/>
      <c r="W30" s="513"/>
      <c r="X30" s="662"/>
      <c r="Y30" s="805" t="str">
        <f t="shared" ref="Y30:Y44" si="22">IF(V30&gt;0,V30,"")</f>
        <v/>
      </c>
      <c r="Z30" s="806">
        <f t="shared" ref="Z30:Z44" si="23">C30*100*V30-(X30*V30)</f>
        <v>0</v>
      </c>
      <c r="AA30" s="611" t="str">
        <f>IF(V30&lt;&gt;0,F30*100*V30,"")</f>
        <v/>
      </c>
    </row>
    <row r="31" spans="1:41" ht="12.75" customHeight="1">
      <c r="A31" s="466" t="s">
        <v>590</v>
      </c>
      <c r="B31" s="594">
        <v>2258</v>
      </c>
      <c r="C31" s="237">
        <v>174</v>
      </c>
      <c r="D31" s="237">
        <v>175</v>
      </c>
      <c r="E31" s="594">
        <v>45</v>
      </c>
      <c r="F31" s="539">
        <v>174</v>
      </c>
      <c r="G31" s="307">
        <v>0.91189999999999993</v>
      </c>
      <c r="H31" s="235">
        <v>94</v>
      </c>
      <c r="I31" s="226">
        <v>177</v>
      </c>
      <c r="J31" s="277">
        <v>80.665999999999997</v>
      </c>
      <c r="K31" s="230">
        <v>91.007999999999996</v>
      </c>
      <c r="L31" s="233">
        <v>873289579</v>
      </c>
      <c r="M31" s="233">
        <v>74083</v>
      </c>
      <c r="N31" s="480">
        <v>5554</v>
      </c>
      <c r="O31" s="274">
        <v>45393.70826388889</v>
      </c>
      <c r="P31" s="283">
        <v>30</v>
      </c>
      <c r="Q31" s="519"/>
      <c r="R31" s="644"/>
      <c r="S31" s="634"/>
      <c r="T31" s="472"/>
      <c r="U31" s="757"/>
      <c r="V31" s="549"/>
      <c r="W31" s="512"/>
      <c r="X31" s="661"/>
      <c r="Y31" s="760">
        <v>4</v>
      </c>
      <c r="Z31" s="761">
        <f t="shared" si="23"/>
        <v>0</v>
      </c>
      <c r="AA31" s="612" t="str">
        <f t="shared" ref="AA31:AA44" si="24">IF(V31&lt;&gt;0,F31*100*V31,"")</f>
        <v/>
      </c>
    </row>
    <row r="32" spans="1:41" ht="12.75" customHeight="1">
      <c r="A32" s="465" t="s">
        <v>591</v>
      </c>
      <c r="B32" s="246">
        <v>20</v>
      </c>
      <c r="C32" s="301">
        <v>68.599999999999994</v>
      </c>
      <c r="D32" s="253">
        <v>69.989999999999995</v>
      </c>
      <c r="E32" s="246">
        <v>19</v>
      </c>
      <c r="F32" s="534">
        <v>69.989999999999995</v>
      </c>
      <c r="G32" s="305">
        <v>1.4016</v>
      </c>
      <c r="H32" s="238">
        <v>35</v>
      </c>
      <c r="I32" s="227">
        <v>72.599999999999994</v>
      </c>
      <c r="J32" s="282">
        <v>21.66</v>
      </c>
      <c r="K32" s="231">
        <v>29.143000000000001</v>
      </c>
      <c r="L32" s="245">
        <v>248928033</v>
      </c>
      <c r="M32" s="245">
        <v>64541</v>
      </c>
      <c r="N32" s="481">
        <v>3937</v>
      </c>
      <c r="O32" s="275">
        <v>45393.708321759259</v>
      </c>
      <c r="P32" s="284">
        <v>31</v>
      </c>
      <c r="Q32" s="520"/>
      <c r="R32" s="654"/>
      <c r="S32" s="640"/>
      <c r="T32" s="473"/>
      <c r="U32" s="756"/>
      <c r="V32" s="548"/>
      <c r="W32" s="518"/>
      <c r="X32" s="666"/>
      <c r="Y32" s="762" t="str">
        <f t="shared" si="22"/>
        <v/>
      </c>
      <c r="Z32" s="763">
        <f t="shared" si="23"/>
        <v>0</v>
      </c>
      <c r="AA32" s="611" t="str">
        <f t="shared" si="24"/>
        <v/>
      </c>
    </row>
    <row r="33" spans="1:27" ht="12.75" customHeight="1">
      <c r="A33" s="466" t="s">
        <v>592</v>
      </c>
      <c r="B33" s="594">
        <v>13</v>
      </c>
      <c r="C33" s="237">
        <v>29.001000000000001</v>
      </c>
      <c r="D33" s="237">
        <v>30</v>
      </c>
      <c r="E33" s="594">
        <v>642</v>
      </c>
      <c r="F33" s="539">
        <v>29.001000000000001</v>
      </c>
      <c r="G33" s="307">
        <v>1.3769</v>
      </c>
      <c r="H33" s="235">
        <v>10.6</v>
      </c>
      <c r="I33" s="226">
        <v>32</v>
      </c>
      <c r="J33" s="277">
        <v>7.33</v>
      </c>
      <c r="K33" s="230">
        <v>12.201000000000001</v>
      </c>
      <c r="L33" s="233">
        <v>48675758</v>
      </c>
      <c r="M33" s="233">
        <v>36631</v>
      </c>
      <c r="N33" s="480">
        <v>2769</v>
      </c>
      <c r="O33" s="274">
        <v>45393.708194444444</v>
      </c>
      <c r="P33" s="283">
        <v>32</v>
      </c>
      <c r="Q33" s="519"/>
      <c r="R33" s="644"/>
      <c r="S33" s="634"/>
      <c r="T33" s="472"/>
      <c r="U33" s="757"/>
      <c r="V33" s="549"/>
      <c r="W33" s="512"/>
      <c r="X33" s="661"/>
      <c r="Y33" s="760">
        <v>5</v>
      </c>
      <c r="Z33" s="761">
        <f t="shared" si="23"/>
        <v>0</v>
      </c>
      <c r="AA33" s="612" t="str">
        <f t="shared" si="24"/>
        <v/>
      </c>
    </row>
    <row r="34" spans="1:27" ht="12.75" customHeight="1">
      <c r="A34" s="465" t="s">
        <v>593</v>
      </c>
      <c r="B34" s="246">
        <v>10</v>
      </c>
      <c r="C34" s="301">
        <v>12</v>
      </c>
      <c r="D34" s="253">
        <v>15</v>
      </c>
      <c r="E34" s="246">
        <v>13</v>
      </c>
      <c r="F34" s="534">
        <v>12</v>
      </c>
      <c r="G34" s="305">
        <v>1.5944999999999998</v>
      </c>
      <c r="H34" s="238">
        <v>5.2190000000000003</v>
      </c>
      <c r="I34" s="227">
        <v>15</v>
      </c>
      <c r="J34" s="282">
        <v>3.51</v>
      </c>
      <c r="K34" s="231">
        <v>4.625</v>
      </c>
      <c r="L34" s="245">
        <v>10041603</v>
      </c>
      <c r="M34" s="245">
        <v>14848</v>
      </c>
      <c r="N34" s="481">
        <v>1293</v>
      </c>
      <c r="O34" s="275">
        <v>45393.708240740743</v>
      </c>
      <c r="P34" s="284">
        <v>33</v>
      </c>
      <c r="Q34" s="520"/>
      <c r="R34" s="654"/>
      <c r="S34" s="640"/>
      <c r="T34" s="473"/>
      <c r="U34" s="756"/>
      <c r="V34" s="548"/>
      <c r="W34" s="518"/>
      <c r="X34" s="666"/>
      <c r="Y34" s="762" t="str">
        <f t="shared" si="22"/>
        <v/>
      </c>
      <c r="Z34" s="763">
        <f t="shared" si="23"/>
        <v>0</v>
      </c>
      <c r="AA34" s="611" t="str">
        <f t="shared" si="24"/>
        <v/>
      </c>
    </row>
    <row r="35" spans="1:27" ht="12.75" customHeight="1">
      <c r="A35" s="466" t="s">
        <v>594</v>
      </c>
      <c r="B35" s="594">
        <v>49</v>
      </c>
      <c r="C35" s="237">
        <v>6.5</v>
      </c>
      <c r="D35" s="237">
        <v>7.9</v>
      </c>
      <c r="E35" s="594">
        <v>185</v>
      </c>
      <c r="F35" s="539">
        <v>7.9</v>
      </c>
      <c r="G35" s="307">
        <v>1.7072999999999998</v>
      </c>
      <c r="H35" s="235">
        <v>3.1</v>
      </c>
      <c r="I35" s="226">
        <v>7.99</v>
      </c>
      <c r="J35" s="277">
        <v>2</v>
      </c>
      <c r="K35" s="230">
        <v>2.9180000000000001</v>
      </c>
      <c r="L35" s="233">
        <v>5707920</v>
      </c>
      <c r="M35" s="233">
        <v>12162</v>
      </c>
      <c r="N35" s="480">
        <v>1091</v>
      </c>
      <c r="O35" s="274">
        <v>45393.708252314813</v>
      </c>
      <c r="P35" s="283">
        <v>34</v>
      </c>
      <c r="Q35" s="519"/>
      <c r="R35" s="644"/>
      <c r="S35" s="634"/>
      <c r="T35" s="472"/>
      <c r="U35" s="757"/>
      <c r="V35" s="549"/>
      <c r="W35" s="512"/>
      <c r="X35" s="661"/>
      <c r="Y35" s="764">
        <v>3</v>
      </c>
      <c r="Z35" s="765">
        <f t="shared" si="23"/>
        <v>0</v>
      </c>
      <c r="AA35" s="612" t="str">
        <f t="shared" si="24"/>
        <v/>
      </c>
    </row>
    <row r="36" spans="1:27" ht="12.75" customHeight="1">
      <c r="A36" s="465" t="s">
        <v>595</v>
      </c>
      <c r="B36" s="246">
        <v>42</v>
      </c>
      <c r="C36" s="301">
        <v>5.01</v>
      </c>
      <c r="D36" s="253">
        <v>5.7679999999999998</v>
      </c>
      <c r="E36" s="246">
        <v>10</v>
      </c>
      <c r="F36" s="534">
        <v>5.01</v>
      </c>
      <c r="G36" s="305">
        <v>1.0642</v>
      </c>
      <c r="H36" s="238">
        <v>2.5</v>
      </c>
      <c r="I36" s="227">
        <v>6.5</v>
      </c>
      <c r="J36" s="282">
        <v>1.5109999999999999</v>
      </c>
      <c r="K36" s="231">
        <v>2.427</v>
      </c>
      <c r="L36" s="245">
        <v>1343564</v>
      </c>
      <c r="M36" s="245">
        <v>3377</v>
      </c>
      <c r="N36" s="481">
        <v>418</v>
      </c>
      <c r="O36" s="275">
        <v>45393.708240740743</v>
      </c>
      <c r="P36" s="284">
        <v>35</v>
      </c>
      <c r="Q36" s="520"/>
      <c r="R36" s="654"/>
      <c r="S36" s="640"/>
      <c r="T36" s="473"/>
      <c r="U36" s="756"/>
      <c r="V36" s="548"/>
      <c r="W36" s="518"/>
      <c r="X36" s="666"/>
      <c r="Y36" s="766" t="str">
        <f t="shared" si="22"/>
        <v/>
      </c>
      <c r="Z36" s="767">
        <f t="shared" si="23"/>
        <v>0</v>
      </c>
      <c r="AA36" s="611" t="str">
        <f t="shared" si="24"/>
        <v/>
      </c>
    </row>
    <row r="37" spans="1:27" ht="12.75" customHeight="1">
      <c r="A37" s="466" t="s">
        <v>596</v>
      </c>
      <c r="B37" s="594">
        <v>1</v>
      </c>
      <c r="C37" s="237">
        <v>4.0010000000000003</v>
      </c>
      <c r="D37" s="237">
        <v>4.4980000000000002</v>
      </c>
      <c r="E37" s="594">
        <v>59</v>
      </c>
      <c r="F37" s="539">
        <v>4.4980000000000002</v>
      </c>
      <c r="G37" s="307">
        <v>1.0774999999999999</v>
      </c>
      <c r="H37" s="235">
        <v>2.19</v>
      </c>
      <c r="I37" s="226">
        <v>5</v>
      </c>
      <c r="J37" s="277">
        <v>1.05</v>
      </c>
      <c r="K37" s="230">
        <v>2.165</v>
      </c>
      <c r="L37" s="233">
        <v>1561656</v>
      </c>
      <c r="M37" s="233">
        <v>5548</v>
      </c>
      <c r="N37" s="480">
        <v>797</v>
      </c>
      <c r="O37" s="274">
        <v>45393.708194444444</v>
      </c>
      <c r="P37" s="283">
        <v>36</v>
      </c>
      <c r="Q37" s="519"/>
      <c r="R37" s="644"/>
      <c r="S37" s="634"/>
      <c r="T37" s="472"/>
      <c r="U37" s="757"/>
      <c r="V37" s="549"/>
      <c r="W37" s="512"/>
      <c r="X37" s="661"/>
      <c r="Y37" s="760">
        <v>5</v>
      </c>
      <c r="Z37" s="761">
        <f t="shared" si="23"/>
        <v>0</v>
      </c>
      <c r="AA37" s="612" t="str">
        <f t="shared" si="24"/>
        <v/>
      </c>
    </row>
    <row r="38" spans="1:27" ht="12.75" customHeight="1">
      <c r="A38" s="465" t="s">
        <v>597</v>
      </c>
      <c r="B38" s="246">
        <v>10</v>
      </c>
      <c r="C38" s="301">
        <v>3.2</v>
      </c>
      <c r="D38" s="253">
        <v>3.85</v>
      </c>
      <c r="E38" s="246">
        <v>1</v>
      </c>
      <c r="F38" s="534">
        <v>3.85</v>
      </c>
      <c r="G38" s="305">
        <v>1.4137</v>
      </c>
      <c r="H38" s="238">
        <v>1.595</v>
      </c>
      <c r="I38" s="227">
        <v>3.95</v>
      </c>
      <c r="J38" s="282">
        <v>1.0109999999999999</v>
      </c>
      <c r="K38" s="231">
        <v>1.595</v>
      </c>
      <c r="L38" s="245">
        <v>324382</v>
      </c>
      <c r="M38" s="245">
        <v>1668</v>
      </c>
      <c r="N38" s="481">
        <v>418</v>
      </c>
      <c r="O38" s="275">
        <v>45393.707962962966</v>
      </c>
      <c r="P38" s="284">
        <v>37</v>
      </c>
      <c r="Q38" s="520"/>
      <c r="R38" s="654"/>
      <c r="S38" s="641"/>
      <c r="T38" s="473"/>
      <c r="U38" s="756"/>
      <c r="V38" s="548"/>
      <c r="W38" s="518"/>
      <c r="X38" s="666"/>
      <c r="Y38" s="762">
        <v>1</v>
      </c>
      <c r="Z38" s="763">
        <f t="shared" si="23"/>
        <v>0</v>
      </c>
      <c r="AA38" s="611" t="str">
        <f t="shared" si="24"/>
        <v/>
      </c>
    </row>
    <row r="39" spans="1:27" ht="12.75" customHeight="1">
      <c r="A39" s="571" t="s">
        <v>598</v>
      </c>
      <c r="B39" s="595">
        <v>2</v>
      </c>
      <c r="C39" s="557">
        <v>2.8010000000000002</v>
      </c>
      <c r="D39" s="557">
        <v>3.3</v>
      </c>
      <c r="E39" s="595">
        <v>152</v>
      </c>
      <c r="F39" s="559">
        <v>3.3</v>
      </c>
      <c r="G39" s="560">
        <v>1.0663</v>
      </c>
      <c r="H39" s="561">
        <v>1</v>
      </c>
      <c r="I39" s="562">
        <v>3.5</v>
      </c>
      <c r="J39" s="563">
        <v>1</v>
      </c>
      <c r="K39" s="564">
        <v>1.597</v>
      </c>
      <c r="L39" s="565">
        <v>5041968</v>
      </c>
      <c r="M39" s="565">
        <v>26449</v>
      </c>
      <c r="N39" s="572">
        <v>1368</v>
      </c>
      <c r="O39" s="566">
        <v>45393.708240740743</v>
      </c>
      <c r="P39" s="573">
        <v>38</v>
      </c>
      <c r="Q39" s="574"/>
      <c r="R39" s="648"/>
      <c r="S39" s="638"/>
      <c r="T39" s="569"/>
      <c r="U39" s="757"/>
      <c r="V39" s="549"/>
      <c r="W39" s="570"/>
      <c r="X39" s="664"/>
      <c r="Y39" s="754">
        <v>1</v>
      </c>
      <c r="Z39" s="755">
        <f t="shared" si="23"/>
        <v>0</v>
      </c>
      <c r="AA39" s="613" t="str">
        <f t="shared" si="24"/>
        <v/>
      </c>
    </row>
    <row r="40" spans="1:27" ht="12.75" customHeight="1">
      <c r="A40" s="465" t="s">
        <v>625</v>
      </c>
      <c r="B40" s="246">
        <v>5</v>
      </c>
      <c r="C40" s="301">
        <v>500</v>
      </c>
      <c r="D40" s="253"/>
      <c r="E40" s="246"/>
      <c r="F40" s="534">
        <v>529.00400000000002</v>
      </c>
      <c r="G40" s="305">
        <v>0.1255</v>
      </c>
      <c r="H40" s="236">
        <v>529.00400000000002</v>
      </c>
      <c r="I40" s="228">
        <v>529.00400000000002</v>
      </c>
      <c r="J40" s="279">
        <v>529.00400000000002</v>
      </c>
      <c r="K40" s="232">
        <v>470</v>
      </c>
      <c r="L40" s="249">
        <v>105801</v>
      </c>
      <c r="M40" s="249">
        <v>2</v>
      </c>
      <c r="N40" s="479">
        <v>1</v>
      </c>
      <c r="O40" s="273">
        <v>45393.54614583333</v>
      </c>
      <c r="P40" s="284">
        <v>39</v>
      </c>
      <c r="Q40" s="555"/>
      <c r="R40" s="645"/>
      <c r="S40" s="635"/>
      <c r="T40" s="471"/>
      <c r="U40" s="547"/>
      <c r="V40" s="548"/>
      <c r="W40" s="513"/>
      <c r="X40" s="841"/>
      <c r="Y40" s="758" t="str">
        <f t="shared" si="22"/>
        <v/>
      </c>
      <c r="Z40" s="759">
        <f t="shared" si="23"/>
        <v>0</v>
      </c>
      <c r="AA40" s="611" t="str">
        <f t="shared" si="24"/>
        <v/>
      </c>
    </row>
    <row r="41" spans="1:27" ht="12.75" customHeight="1">
      <c r="A41" s="466" t="s">
        <v>626</v>
      </c>
      <c r="B41" s="594">
        <v>2</v>
      </c>
      <c r="C41" s="237">
        <v>485</v>
      </c>
      <c r="D41" s="237">
        <v>495</v>
      </c>
      <c r="E41" s="594">
        <v>1</v>
      </c>
      <c r="F41" s="539">
        <v>490</v>
      </c>
      <c r="G41" s="307">
        <v>0.14449999999999999</v>
      </c>
      <c r="H41" s="235">
        <v>460</v>
      </c>
      <c r="I41" s="226">
        <v>490</v>
      </c>
      <c r="J41" s="277">
        <v>425</v>
      </c>
      <c r="K41" s="230">
        <v>428.10500000000002</v>
      </c>
      <c r="L41" s="233">
        <v>83124475</v>
      </c>
      <c r="M41" s="233">
        <v>1801</v>
      </c>
      <c r="N41" s="480">
        <v>234</v>
      </c>
      <c r="O41" s="274">
        <v>45393.708067129628</v>
      </c>
      <c r="P41" s="283">
        <v>40</v>
      </c>
      <c r="Q41" s="519"/>
      <c r="R41" s="644"/>
      <c r="S41" s="634"/>
      <c r="T41" s="472"/>
      <c r="U41" s="503"/>
      <c r="V41" s="549"/>
      <c r="W41" s="512"/>
      <c r="X41" s="661"/>
      <c r="Y41" s="760" t="str">
        <f t="shared" si="22"/>
        <v/>
      </c>
      <c r="Z41" s="761">
        <f t="shared" si="23"/>
        <v>0</v>
      </c>
      <c r="AA41" s="612" t="str">
        <f t="shared" si="24"/>
        <v/>
      </c>
    </row>
    <row r="42" spans="1:27" ht="12.75" customHeight="1">
      <c r="A42" s="465" t="s">
        <v>627</v>
      </c>
      <c r="B42" s="246">
        <v>3</v>
      </c>
      <c r="C42" s="408">
        <v>360</v>
      </c>
      <c r="D42" s="408">
        <v>383.66399999999999</v>
      </c>
      <c r="E42" s="246">
        <v>2</v>
      </c>
      <c r="F42" s="540">
        <v>350</v>
      </c>
      <c r="G42" s="308">
        <v>2.98E-2</v>
      </c>
      <c r="H42" s="238">
        <v>379</v>
      </c>
      <c r="I42" s="227">
        <v>390</v>
      </c>
      <c r="J42" s="282">
        <v>350</v>
      </c>
      <c r="K42" s="231">
        <v>339.85399999999998</v>
      </c>
      <c r="L42" s="245">
        <v>4304466</v>
      </c>
      <c r="M42" s="245">
        <v>119</v>
      </c>
      <c r="N42" s="481">
        <v>25</v>
      </c>
      <c r="O42" s="275">
        <v>45393.70108796296</v>
      </c>
      <c r="P42" s="284">
        <v>41</v>
      </c>
      <c r="Q42" s="520"/>
      <c r="R42" s="654"/>
      <c r="S42" s="640"/>
      <c r="T42" s="473"/>
      <c r="U42" s="547"/>
      <c r="V42" s="549"/>
      <c r="W42" s="518"/>
      <c r="X42" s="841"/>
      <c r="Y42" s="762" t="str">
        <f t="shared" si="22"/>
        <v/>
      </c>
      <c r="Z42" s="763">
        <f t="shared" si="23"/>
        <v>0</v>
      </c>
      <c r="AA42" s="611" t="str">
        <f t="shared" si="24"/>
        <v/>
      </c>
    </row>
    <row r="43" spans="1:27" ht="12.75" customHeight="1">
      <c r="A43" s="466" t="s">
        <v>628</v>
      </c>
      <c r="B43" s="594">
        <v>17</v>
      </c>
      <c r="C43" s="237">
        <v>267</v>
      </c>
      <c r="D43" s="375">
        <v>284</v>
      </c>
      <c r="E43" s="594">
        <v>2</v>
      </c>
      <c r="F43" s="539">
        <v>277</v>
      </c>
      <c r="G43" s="307">
        <v>0.12670000000000001</v>
      </c>
      <c r="H43" s="235">
        <v>242.42699999999999</v>
      </c>
      <c r="I43" s="226">
        <v>282.303</v>
      </c>
      <c r="J43" s="277">
        <v>242.42699999999999</v>
      </c>
      <c r="K43" s="230">
        <v>245.833</v>
      </c>
      <c r="L43" s="233">
        <v>46907172</v>
      </c>
      <c r="M43" s="233">
        <v>1747</v>
      </c>
      <c r="N43" s="480">
        <v>135</v>
      </c>
      <c r="O43" s="274">
        <v>45393.707870370374</v>
      </c>
      <c r="P43" s="283">
        <v>42</v>
      </c>
      <c r="Q43" s="519"/>
      <c r="R43" s="644"/>
      <c r="S43" s="634"/>
      <c r="T43" s="472"/>
      <c r="U43" s="503"/>
      <c r="V43" s="548"/>
      <c r="W43" s="512"/>
      <c r="X43" s="661"/>
      <c r="Y43" s="760" t="str">
        <f t="shared" si="22"/>
        <v/>
      </c>
      <c r="Z43" s="761">
        <f t="shared" si="23"/>
        <v>0</v>
      </c>
      <c r="AA43" s="612" t="str">
        <f t="shared" si="24"/>
        <v/>
      </c>
    </row>
    <row r="44" spans="1:27" ht="12.75" customHeight="1">
      <c r="A44" s="465" t="s">
        <v>629</v>
      </c>
      <c r="B44" s="246">
        <v>50</v>
      </c>
      <c r="C44" s="408">
        <v>172</v>
      </c>
      <c r="D44" s="408">
        <v>223.62700000000001</v>
      </c>
      <c r="E44" s="246">
        <v>2</v>
      </c>
      <c r="F44" s="540">
        <v>180</v>
      </c>
      <c r="G44" s="308">
        <v>0.18420000000000003</v>
      </c>
      <c r="H44" s="238">
        <v>180</v>
      </c>
      <c r="I44" s="227">
        <v>182</v>
      </c>
      <c r="J44" s="282">
        <v>180</v>
      </c>
      <c r="K44" s="231">
        <v>152</v>
      </c>
      <c r="L44" s="245">
        <v>486200</v>
      </c>
      <c r="M44" s="245">
        <v>27</v>
      </c>
      <c r="N44" s="481">
        <v>5</v>
      </c>
      <c r="O44" s="275">
        <v>45393.658946759257</v>
      </c>
      <c r="P44" s="284">
        <v>43</v>
      </c>
      <c r="Q44" s="520"/>
      <c r="R44" s="654"/>
      <c r="S44" s="640"/>
      <c r="T44" s="473"/>
      <c r="U44" s="547"/>
      <c r="V44" s="549"/>
      <c r="W44" s="553"/>
      <c r="X44" s="841"/>
      <c r="Y44" s="762" t="str">
        <f t="shared" si="22"/>
        <v/>
      </c>
      <c r="Z44" s="763">
        <f t="shared" si="23"/>
        <v>0</v>
      </c>
      <c r="AA44" s="611" t="str">
        <f t="shared" si="24"/>
        <v/>
      </c>
    </row>
    <row r="45" spans="1:27" ht="12.75" customHeight="1">
      <c r="A45" s="509" t="s">
        <v>630</v>
      </c>
      <c r="B45" s="596">
        <v>2</v>
      </c>
      <c r="C45" s="237">
        <v>133</v>
      </c>
      <c r="D45" s="375">
        <v>137</v>
      </c>
      <c r="E45" s="596">
        <v>97</v>
      </c>
      <c r="F45" s="539">
        <v>137</v>
      </c>
      <c r="G45" s="307">
        <v>6.2199999999999998E-2</v>
      </c>
      <c r="H45" s="235">
        <v>123.75700000000001</v>
      </c>
      <c r="I45" s="226">
        <v>137</v>
      </c>
      <c r="J45" s="277">
        <v>123</v>
      </c>
      <c r="K45" s="230">
        <v>128.977</v>
      </c>
      <c r="L45" s="233">
        <v>42811815</v>
      </c>
      <c r="M45" s="233">
        <v>3275</v>
      </c>
      <c r="N45" s="233">
        <v>262</v>
      </c>
      <c r="O45" s="274">
        <v>45393.707361111112</v>
      </c>
      <c r="P45" s="523">
        <v>44</v>
      </c>
      <c r="Q45" s="521"/>
      <c r="R45" s="644"/>
      <c r="S45" s="642"/>
      <c r="T45" s="472"/>
      <c r="U45" s="503"/>
      <c r="V45" s="358"/>
      <c r="W45" s="512"/>
      <c r="X45" s="661"/>
      <c r="Y45" s="764" t="str">
        <f t="shared" ref="Y45:Y59" si="25">IF(V45&gt;0,V45,"")</f>
        <v/>
      </c>
      <c r="Z45" s="765">
        <f t="shared" ref="Z45:Z59" si="26">C45*100*V45-(X45*V45)</f>
        <v>0</v>
      </c>
      <c r="AA45" s="612" t="str">
        <f>IF(V45&lt;&gt;0,F45*100*V45,"")</f>
        <v/>
      </c>
    </row>
    <row r="46" spans="1:27" ht="12.75" customHeight="1">
      <c r="A46" s="467" t="s">
        <v>631</v>
      </c>
      <c r="B46" s="597">
        <v>2</v>
      </c>
      <c r="C46" s="408">
        <v>81.010000000000005</v>
      </c>
      <c r="D46" s="408">
        <v>110</v>
      </c>
      <c r="E46" s="597">
        <v>4</v>
      </c>
      <c r="F46" s="540">
        <v>110</v>
      </c>
      <c r="G46" s="308"/>
      <c r="H46" s="238">
        <v>110</v>
      </c>
      <c r="I46" s="227">
        <v>110</v>
      </c>
      <c r="J46" s="282">
        <v>110</v>
      </c>
      <c r="K46" s="231"/>
      <c r="L46" s="245">
        <v>11000</v>
      </c>
      <c r="M46" s="245">
        <v>1</v>
      </c>
      <c r="N46" s="245">
        <v>1</v>
      </c>
      <c r="O46" s="275">
        <v>45393.701064814813</v>
      </c>
      <c r="P46" s="524">
        <v>45</v>
      </c>
      <c r="Q46" s="520"/>
      <c r="R46" s="654"/>
      <c r="S46" s="640"/>
      <c r="T46" s="473"/>
      <c r="U46" s="547"/>
      <c r="V46" s="401"/>
      <c r="W46" s="553"/>
      <c r="X46" s="841"/>
      <c r="Y46" s="766" t="str">
        <f t="shared" si="25"/>
        <v/>
      </c>
      <c r="Z46" s="767">
        <f t="shared" si="26"/>
        <v>0</v>
      </c>
      <c r="AA46" s="611" t="str">
        <f t="shared" ref="AA46:AA59" si="27">IF(V46&lt;&gt;0,F46*100*V46,"")</f>
        <v/>
      </c>
    </row>
    <row r="47" spans="1:27" ht="12.75" customHeight="1">
      <c r="A47" s="468" t="s">
        <v>632</v>
      </c>
      <c r="B47" s="596">
        <v>30</v>
      </c>
      <c r="C47" s="237">
        <v>69.5</v>
      </c>
      <c r="D47" s="375">
        <v>96.5</v>
      </c>
      <c r="E47" s="596">
        <v>7</v>
      </c>
      <c r="F47" s="539">
        <v>75</v>
      </c>
      <c r="G47" s="307">
        <v>0.11840000000000001</v>
      </c>
      <c r="H47" s="235">
        <v>66</v>
      </c>
      <c r="I47" s="226">
        <v>75.001000000000005</v>
      </c>
      <c r="J47" s="277">
        <v>61</v>
      </c>
      <c r="K47" s="230">
        <v>67.055999999999997</v>
      </c>
      <c r="L47" s="233">
        <v>11891494</v>
      </c>
      <c r="M47" s="233">
        <v>1808</v>
      </c>
      <c r="N47" s="233">
        <v>121</v>
      </c>
      <c r="O47" s="274">
        <v>45393.703194444446</v>
      </c>
      <c r="P47" s="525">
        <v>46</v>
      </c>
      <c r="Q47" s="522"/>
      <c r="R47" s="644"/>
      <c r="S47" s="634"/>
      <c r="T47" s="472"/>
      <c r="U47" s="503"/>
      <c r="V47" s="358"/>
      <c r="W47" s="512"/>
      <c r="X47" s="661"/>
      <c r="Y47" s="760" t="str">
        <f t="shared" si="25"/>
        <v/>
      </c>
      <c r="Z47" s="761">
        <f t="shared" si="26"/>
        <v>0</v>
      </c>
      <c r="AA47" s="612" t="str">
        <f t="shared" si="27"/>
        <v/>
      </c>
    </row>
    <row r="48" spans="1:27" ht="12.75" customHeight="1">
      <c r="A48" s="467" t="s">
        <v>633</v>
      </c>
      <c r="B48" s="597">
        <v>2</v>
      </c>
      <c r="C48" s="408">
        <v>54.274000000000001</v>
      </c>
      <c r="D48" s="408">
        <v>69.731999999999999</v>
      </c>
      <c r="E48" s="597">
        <v>2</v>
      </c>
      <c r="F48" s="540">
        <v>51</v>
      </c>
      <c r="G48" s="308">
        <v>3.8599999999999995E-2</v>
      </c>
      <c r="H48" s="238">
        <v>65</v>
      </c>
      <c r="I48" s="227">
        <v>65</v>
      </c>
      <c r="J48" s="282">
        <v>51</v>
      </c>
      <c r="K48" s="231">
        <v>49.1</v>
      </c>
      <c r="L48" s="245">
        <v>71200</v>
      </c>
      <c r="M48" s="245">
        <v>13</v>
      </c>
      <c r="N48" s="245">
        <v>5</v>
      </c>
      <c r="O48" s="275">
        <v>45393.660381944443</v>
      </c>
      <c r="P48" s="524">
        <v>47</v>
      </c>
      <c r="Q48" s="520"/>
      <c r="R48" s="654"/>
      <c r="S48" s="640"/>
      <c r="T48" s="473"/>
      <c r="U48" s="547"/>
      <c r="V48" s="401"/>
      <c r="W48" s="553"/>
      <c r="X48" s="841"/>
      <c r="Y48" s="762" t="str">
        <f t="shared" si="25"/>
        <v/>
      </c>
      <c r="Z48" s="763">
        <f t="shared" si="26"/>
        <v>0</v>
      </c>
      <c r="AA48" s="611" t="str">
        <f t="shared" si="27"/>
        <v/>
      </c>
    </row>
    <row r="49" spans="1:40" ht="12.75" customHeight="1">
      <c r="A49" s="556" t="s">
        <v>634</v>
      </c>
      <c r="B49" s="598">
        <v>10</v>
      </c>
      <c r="C49" s="557">
        <v>45.5</v>
      </c>
      <c r="D49" s="558">
        <v>48.499000000000002</v>
      </c>
      <c r="E49" s="598">
        <v>1</v>
      </c>
      <c r="F49" s="559">
        <v>48.5</v>
      </c>
      <c r="G49" s="560">
        <v>0.19510000000000002</v>
      </c>
      <c r="H49" s="561">
        <v>42</v>
      </c>
      <c r="I49" s="562">
        <v>48.5</v>
      </c>
      <c r="J49" s="563">
        <v>38.700000000000003</v>
      </c>
      <c r="K49" s="564">
        <v>40.582000000000001</v>
      </c>
      <c r="L49" s="565">
        <v>5005089</v>
      </c>
      <c r="M49" s="565">
        <v>1146</v>
      </c>
      <c r="N49" s="565">
        <v>102</v>
      </c>
      <c r="O49" s="566">
        <v>45393.704780092594</v>
      </c>
      <c r="P49" s="567">
        <v>48</v>
      </c>
      <c r="Q49" s="568"/>
      <c r="R49" s="648"/>
      <c r="S49" s="638"/>
      <c r="T49" s="569"/>
      <c r="U49" s="503"/>
      <c r="V49" s="358"/>
      <c r="W49" s="570"/>
      <c r="X49" s="664"/>
      <c r="Y49" s="754" t="str">
        <f t="shared" si="25"/>
        <v/>
      </c>
      <c r="Z49" s="755">
        <f t="shared" si="26"/>
        <v>0</v>
      </c>
      <c r="AA49" s="613" t="str">
        <f t="shared" si="27"/>
        <v/>
      </c>
    </row>
    <row r="50" spans="1:40" ht="12.75" hidden="1" customHeight="1">
      <c r="A50" s="465" t="s">
        <v>599</v>
      </c>
      <c r="B50" s="591">
        <v>61</v>
      </c>
      <c r="C50" s="248">
        <v>0.17</v>
      </c>
      <c r="D50" s="248">
        <v>0.25</v>
      </c>
      <c r="E50" s="591">
        <v>24</v>
      </c>
      <c r="F50" s="554">
        <v>0.17</v>
      </c>
      <c r="G50" s="305">
        <v>-0.19039999999999999</v>
      </c>
      <c r="H50" s="236">
        <v>0.28499999999999998</v>
      </c>
      <c r="I50" s="228">
        <v>0.3</v>
      </c>
      <c r="J50" s="279">
        <v>0.15</v>
      </c>
      <c r="K50" s="232">
        <v>0.21</v>
      </c>
      <c r="L50" s="249">
        <v>29871</v>
      </c>
      <c r="M50" s="249">
        <v>1359</v>
      </c>
      <c r="N50" s="249">
        <v>393</v>
      </c>
      <c r="O50" s="273">
        <v>45393.708194444444</v>
      </c>
      <c r="P50" s="524">
        <v>49</v>
      </c>
      <c r="Q50" s="555"/>
      <c r="R50" s="645"/>
      <c r="S50" s="635"/>
      <c r="T50" s="471"/>
      <c r="U50" s="547"/>
      <c r="V50" s="401"/>
      <c r="W50" s="402"/>
      <c r="X50" s="662"/>
      <c r="Y50" s="758" t="str">
        <f t="shared" si="25"/>
        <v/>
      </c>
      <c r="Z50" s="759">
        <f t="shared" si="26"/>
        <v>0</v>
      </c>
      <c r="AA50" s="611" t="str">
        <f t="shared" si="27"/>
        <v/>
      </c>
    </row>
    <row r="51" spans="1:40" ht="12.75" hidden="1" customHeight="1">
      <c r="A51" s="468" t="s">
        <v>600</v>
      </c>
      <c r="B51" s="596">
        <v>39</v>
      </c>
      <c r="C51" s="237">
        <v>0.16</v>
      </c>
      <c r="D51" s="375">
        <v>0.3</v>
      </c>
      <c r="E51" s="596">
        <v>20</v>
      </c>
      <c r="F51" s="539">
        <v>0.16</v>
      </c>
      <c r="G51" s="307">
        <v>-0.34420000000000001</v>
      </c>
      <c r="H51" s="235">
        <v>0.2</v>
      </c>
      <c r="I51" s="226">
        <v>0.34</v>
      </c>
      <c r="J51" s="277">
        <v>0.16</v>
      </c>
      <c r="K51" s="230">
        <v>0.24399999999999999</v>
      </c>
      <c r="L51" s="233">
        <v>37163</v>
      </c>
      <c r="M51" s="233">
        <v>1506</v>
      </c>
      <c r="N51" s="233">
        <v>418</v>
      </c>
      <c r="O51" s="274">
        <v>45393.708171296297</v>
      </c>
      <c r="P51" s="525">
        <v>50</v>
      </c>
      <c r="Q51" s="522"/>
      <c r="R51" s="644"/>
      <c r="S51" s="634"/>
      <c r="T51" s="472"/>
      <c r="U51" s="503"/>
      <c r="V51" s="358"/>
      <c r="W51" s="512"/>
      <c r="X51" s="661"/>
      <c r="Y51" s="760" t="str">
        <f t="shared" si="25"/>
        <v/>
      </c>
      <c r="Z51" s="761">
        <f t="shared" si="26"/>
        <v>0</v>
      </c>
      <c r="AA51" s="612" t="str">
        <f t="shared" si="27"/>
        <v/>
      </c>
    </row>
    <row r="52" spans="1:40" ht="12.75" hidden="1" customHeight="1">
      <c r="A52" s="467" t="s">
        <v>601</v>
      </c>
      <c r="B52" s="597">
        <v>10</v>
      </c>
      <c r="C52" s="408">
        <v>0.26200000000000001</v>
      </c>
      <c r="D52" s="408">
        <v>0.28000000000000003</v>
      </c>
      <c r="E52" s="597">
        <v>1</v>
      </c>
      <c r="F52" s="540">
        <v>0.26200000000000001</v>
      </c>
      <c r="G52" s="308">
        <v>-0.18629999999999999</v>
      </c>
      <c r="H52" s="238">
        <v>0.32800000000000001</v>
      </c>
      <c r="I52" s="227">
        <v>0.44</v>
      </c>
      <c r="J52" s="282">
        <v>0.26100000000000001</v>
      </c>
      <c r="K52" s="231">
        <v>0.32200000000000001</v>
      </c>
      <c r="L52" s="245">
        <v>80862</v>
      </c>
      <c r="M52" s="245">
        <v>2489</v>
      </c>
      <c r="N52" s="245">
        <v>509</v>
      </c>
      <c r="O52" s="275">
        <v>45393.708194444444</v>
      </c>
      <c r="P52" s="524">
        <v>51</v>
      </c>
      <c r="Q52" s="520"/>
      <c r="R52" s="654"/>
      <c r="S52" s="640"/>
      <c r="T52" s="473"/>
      <c r="U52" s="547"/>
      <c r="V52" s="401"/>
      <c r="W52" s="553"/>
      <c r="X52" s="666"/>
      <c r="Y52" s="762" t="str">
        <f t="shared" si="25"/>
        <v/>
      </c>
      <c r="Z52" s="763">
        <f t="shared" si="26"/>
        <v>0</v>
      </c>
      <c r="AA52" s="611" t="str">
        <f t="shared" si="27"/>
        <v/>
      </c>
    </row>
    <row r="53" spans="1:40" ht="12.75" hidden="1" customHeight="1">
      <c r="A53" s="468" t="s">
        <v>602</v>
      </c>
      <c r="B53" s="596">
        <v>1</v>
      </c>
      <c r="C53" s="237">
        <v>0.3</v>
      </c>
      <c r="D53" s="375">
        <v>0.43</v>
      </c>
      <c r="E53" s="596">
        <v>1</v>
      </c>
      <c r="F53" s="539">
        <v>0.3</v>
      </c>
      <c r="G53" s="307">
        <v>-0.32119999999999999</v>
      </c>
      <c r="H53" s="235">
        <v>0.47899999999999998</v>
      </c>
      <c r="I53" s="226">
        <v>0.55000000000000004</v>
      </c>
      <c r="J53" s="277">
        <v>0.23</v>
      </c>
      <c r="K53" s="230">
        <v>0.442</v>
      </c>
      <c r="L53" s="233">
        <v>92187</v>
      </c>
      <c r="M53" s="233">
        <v>2240</v>
      </c>
      <c r="N53" s="233">
        <v>488</v>
      </c>
      <c r="O53" s="274">
        <v>45393.707141203704</v>
      </c>
      <c r="P53" s="525">
        <v>52</v>
      </c>
      <c r="Q53" s="522"/>
      <c r="R53" s="644"/>
      <c r="S53" s="634"/>
      <c r="T53" s="472"/>
      <c r="U53" s="503"/>
      <c r="V53" s="358"/>
      <c r="W53" s="512"/>
      <c r="X53" s="661"/>
      <c r="Y53" s="760" t="str">
        <f t="shared" si="25"/>
        <v/>
      </c>
      <c r="Z53" s="761">
        <f t="shared" si="26"/>
        <v>0</v>
      </c>
      <c r="AA53" s="612" t="str">
        <f t="shared" si="27"/>
        <v/>
      </c>
    </row>
    <row r="54" spans="1:40" ht="12.75" hidden="1" customHeight="1">
      <c r="A54" s="467" t="s">
        <v>603</v>
      </c>
      <c r="B54" s="597">
        <v>13</v>
      </c>
      <c r="C54" s="408">
        <v>0.4</v>
      </c>
      <c r="D54" s="408">
        <v>0.69899999999999995</v>
      </c>
      <c r="E54" s="597">
        <v>37</v>
      </c>
      <c r="F54" s="540">
        <v>0.69899999999999995</v>
      </c>
      <c r="G54" s="308">
        <v>0.19690000000000002</v>
      </c>
      <c r="H54" s="238">
        <v>0.6</v>
      </c>
      <c r="I54" s="227">
        <v>0.9</v>
      </c>
      <c r="J54" s="282">
        <v>0.29099999999999998</v>
      </c>
      <c r="K54" s="231">
        <v>0.58399999999999996</v>
      </c>
      <c r="L54" s="245">
        <v>330578</v>
      </c>
      <c r="M54" s="245">
        <v>5690</v>
      </c>
      <c r="N54" s="245">
        <v>1305</v>
      </c>
      <c r="O54" s="275">
        <v>45393.708240740743</v>
      </c>
      <c r="P54" s="524">
        <v>53</v>
      </c>
      <c r="Q54" s="520"/>
      <c r="R54" s="654"/>
      <c r="S54" s="640"/>
      <c r="T54" s="473"/>
      <c r="U54" s="547"/>
      <c r="V54" s="401"/>
      <c r="W54" s="553"/>
      <c r="X54" s="666"/>
      <c r="Y54" s="762" t="str">
        <f t="shared" si="25"/>
        <v/>
      </c>
      <c r="Z54" s="763">
        <f t="shared" si="26"/>
        <v>0</v>
      </c>
      <c r="AA54" s="611" t="str">
        <f t="shared" si="27"/>
        <v/>
      </c>
    </row>
    <row r="55" spans="1:40" ht="12.75" hidden="1" customHeight="1">
      <c r="A55" s="468" t="s">
        <v>604</v>
      </c>
      <c r="B55" s="596">
        <v>26</v>
      </c>
      <c r="C55" s="237">
        <v>0.501</v>
      </c>
      <c r="D55" s="375">
        <v>0.95</v>
      </c>
      <c r="E55" s="596">
        <v>139</v>
      </c>
      <c r="F55" s="539">
        <v>0.501</v>
      </c>
      <c r="G55" s="307">
        <v>-0.4647</v>
      </c>
      <c r="H55" s="235">
        <v>0.92</v>
      </c>
      <c r="I55" s="226">
        <v>1.49</v>
      </c>
      <c r="J55" s="277">
        <v>0.40100000000000002</v>
      </c>
      <c r="K55" s="230">
        <v>0.93600000000000005</v>
      </c>
      <c r="L55" s="233">
        <v>420530</v>
      </c>
      <c r="M55" s="233">
        <v>5689</v>
      </c>
      <c r="N55" s="233">
        <v>1199</v>
      </c>
      <c r="O55" s="274">
        <v>45393.70685185185</v>
      </c>
      <c r="P55" s="525">
        <v>54</v>
      </c>
      <c r="Q55" s="522"/>
      <c r="R55" s="644"/>
      <c r="S55" s="634"/>
      <c r="T55" s="472"/>
      <c r="U55" s="503"/>
      <c r="V55" s="358"/>
      <c r="W55" s="512"/>
      <c r="X55" s="661"/>
      <c r="Y55" s="764" t="str">
        <f t="shared" si="25"/>
        <v/>
      </c>
      <c r="Z55" s="765">
        <f t="shared" si="26"/>
        <v>0</v>
      </c>
      <c r="AA55" s="612" t="str">
        <f t="shared" si="27"/>
        <v/>
      </c>
    </row>
    <row r="56" spans="1:40" ht="12.75" hidden="1" customHeight="1">
      <c r="A56" s="467" t="s">
        <v>605</v>
      </c>
      <c r="B56" s="597">
        <v>34</v>
      </c>
      <c r="C56" s="408">
        <v>0.86</v>
      </c>
      <c r="D56" s="408">
        <v>1.1000000000000001</v>
      </c>
      <c r="E56" s="597">
        <v>1</v>
      </c>
      <c r="F56" s="540">
        <v>1.1000000000000001</v>
      </c>
      <c r="G56" s="308">
        <v>-0.2944</v>
      </c>
      <c r="H56" s="238">
        <v>0.81</v>
      </c>
      <c r="I56" s="227">
        <v>1.8</v>
      </c>
      <c r="J56" s="282">
        <v>0.81</v>
      </c>
      <c r="K56" s="231">
        <v>1.5589999999999999</v>
      </c>
      <c r="L56" s="245">
        <v>681649</v>
      </c>
      <c r="M56" s="245">
        <v>5786</v>
      </c>
      <c r="N56" s="245">
        <v>1286</v>
      </c>
      <c r="O56" s="275">
        <v>45393.708148148151</v>
      </c>
      <c r="P56" s="524">
        <v>55</v>
      </c>
      <c r="Q56" s="520"/>
      <c r="R56" s="654"/>
      <c r="S56" s="640"/>
      <c r="T56" s="473"/>
      <c r="U56" s="547"/>
      <c r="V56" s="401"/>
      <c r="W56" s="553"/>
      <c r="X56" s="666"/>
      <c r="Y56" s="766" t="str">
        <f t="shared" si="25"/>
        <v/>
      </c>
      <c r="Z56" s="767">
        <f t="shared" si="26"/>
        <v>0</v>
      </c>
      <c r="AA56" s="611" t="str">
        <f t="shared" si="27"/>
        <v/>
      </c>
    </row>
    <row r="57" spans="1:40" ht="12.75" hidden="1" customHeight="1">
      <c r="A57" s="468" t="s">
        <v>606</v>
      </c>
      <c r="B57" s="596">
        <v>39</v>
      </c>
      <c r="C57" s="237">
        <v>2</v>
      </c>
      <c r="D57" s="237">
        <v>2.1</v>
      </c>
      <c r="E57" s="596">
        <v>5</v>
      </c>
      <c r="F57" s="539">
        <v>2</v>
      </c>
      <c r="G57" s="307">
        <v>-0.37509999999999999</v>
      </c>
      <c r="H57" s="235">
        <v>3.39</v>
      </c>
      <c r="I57" s="226">
        <v>3.49</v>
      </c>
      <c r="J57" s="277">
        <v>1.52</v>
      </c>
      <c r="K57" s="230">
        <v>3.2010000000000001</v>
      </c>
      <c r="L57" s="233">
        <v>969319</v>
      </c>
      <c r="M57" s="233">
        <v>4592</v>
      </c>
      <c r="N57" s="233">
        <v>841</v>
      </c>
      <c r="O57" s="274">
        <v>45393.70821759259</v>
      </c>
      <c r="P57" s="525">
        <v>56</v>
      </c>
      <c r="Q57" s="522"/>
      <c r="R57" s="644"/>
      <c r="S57" s="634"/>
      <c r="T57" s="472"/>
      <c r="U57" s="503"/>
      <c r="V57" s="401"/>
      <c r="W57" s="512"/>
      <c r="X57" s="661"/>
      <c r="Y57" s="760" t="str">
        <f t="shared" si="25"/>
        <v/>
      </c>
      <c r="Z57" s="761">
        <f t="shared" si="26"/>
        <v>0</v>
      </c>
      <c r="AA57" s="612" t="str">
        <f t="shared" si="27"/>
        <v/>
      </c>
    </row>
    <row r="58" spans="1:40" ht="12.75" hidden="1" customHeight="1">
      <c r="A58" s="467" t="s">
        <v>607</v>
      </c>
      <c r="B58" s="597">
        <v>80</v>
      </c>
      <c r="C58" s="408">
        <v>7.5</v>
      </c>
      <c r="D58" s="478">
        <v>8.1</v>
      </c>
      <c r="E58" s="597">
        <v>114</v>
      </c>
      <c r="F58" s="540">
        <v>8.1</v>
      </c>
      <c r="G58" s="308">
        <v>-0.49619999999999997</v>
      </c>
      <c r="H58" s="238">
        <v>10</v>
      </c>
      <c r="I58" s="227">
        <v>17</v>
      </c>
      <c r="J58" s="282">
        <v>7</v>
      </c>
      <c r="K58" s="231">
        <v>16.079000000000001</v>
      </c>
      <c r="L58" s="245">
        <v>13044885</v>
      </c>
      <c r="M58" s="245">
        <v>13639</v>
      </c>
      <c r="N58" s="245">
        <v>1904</v>
      </c>
      <c r="O58" s="275">
        <v>45393.70821759259</v>
      </c>
      <c r="P58" s="524">
        <v>57</v>
      </c>
      <c r="Q58" s="520"/>
      <c r="R58" s="654"/>
      <c r="S58" s="640"/>
      <c r="T58" s="473"/>
      <c r="U58" s="547"/>
      <c r="V58" s="358"/>
      <c r="W58" s="553"/>
      <c r="X58" s="666"/>
      <c r="Y58" s="762" t="str">
        <f t="shared" si="25"/>
        <v/>
      </c>
      <c r="Z58" s="763">
        <f t="shared" si="26"/>
        <v>0</v>
      </c>
      <c r="AA58" s="611" t="str">
        <f t="shared" si="27"/>
        <v/>
      </c>
    </row>
    <row r="59" spans="1:40" ht="12.75" hidden="1" customHeight="1">
      <c r="A59" s="821" t="s">
        <v>608</v>
      </c>
      <c r="B59" s="822">
        <v>1</v>
      </c>
      <c r="C59" s="770">
        <v>20.998999999999999</v>
      </c>
      <c r="D59" s="770">
        <v>21</v>
      </c>
      <c r="E59" s="822">
        <v>2</v>
      </c>
      <c r="F59" s="823">
        <v>21</v>
      </c>
      <c r="G59" s="815">
        <v>-0.55220000000000002</v>
      </c>
      <c r="H59" s="797">
        <v>36.5</v>
      </c>
      <c r="I59" s="798">
        <v>46</v>
      </c>
      <c r="J59" s="799">
        <v>18</v>
      </c>
      <c r="K59" s="800">
        <v>46.905999999999999</v>
      </c>
      <c r="L59" s="801">
        <v>28803059</v>
      </c>
      <c r="M59" s="801">
        <v>10914</v>
      </c>
      <c r="N59" s="801">
        <v>1366</v>
      </c>
      <c r="O59" s="782">
        <v>45393.70826388889</v>
      </c>
      <c r="P59" s="824">
        <v>58</v>
      </c>
      <c r="Q59" s="825"/>
      <c r="R59" s="803"/>
      <c r="S59" s="786"/>
      <c r="T59" s="804"/>
      <c r="U59" s="503"/>
      <c r="V59" s="401"/>
      <c r="W59" s="788"/>
      <c r="X59" s="789"/>
      <c r="Y59" s="827" t="str">
        <f t="shared" si="25"/>
        <v/>
      </c>
      <c r="Z59" s="828">
        <f t="shared" si="26"/>
        <v>0</v>
      </c>
      <c r="AA59" s="809" t="str">
        <f t="shared" si="27"/>
        <v/>
      </c>
    </row>
    <row r="60" spans="1:40" ht="12.75" customHeight="1">
      <c r="A60" s="504" t="s">
        <v>335</v>
      </c>
      <c r="B60" s="591">
        <v>31</v>
      </c>
      <c r="C60" s="248">
        <v>3083</v>
      </c>
      <c r="D60" s="248">
        <v>3099</v>
      </c>
      <c r="E60" s="591">
        <v>10000</v>
      </c>
      <c r="F60" s="554">
        <v>3083</v>
      </c>
      <c r="G60" s="305">
        <v>1.7600000000000001E-2</v>
      </c>
      <c r="H60" s="236">
        <v>3086</v>
      </c>
      <c r="I60" s="228">
        <v>3100</v>
      </c>
      <c r="J60" s="279">
        <v>3001</v>
      </c>
      <c r="K60" s="232">
        <v>3029.65</v>
      </c>
      <c r="L60" s="249">
        <v>584116168</v>
      </c>
      <c r="M60" s="232">
        <v>191084</v>
      </c>
      <c r="N60" s="249">
        <v>1082</v>
      </c>
      <c r="O60" s="273">
        <v>45393.687488425923</v>
      </c>
      <c r="P60" s="284">
        <v>59</v>
      </c>
      <c r="Q60" s="262">
        <v>0</v>
      </c>
      <c r="R60" s="645">
        <v>0</v>
      </c>
      <c r="S60" s="667">
        <v>0</v>
      </c>
      <c r="T60" s="244">
        <v>0</v>
      </c>
      <c r="U60" s="483"/>
      <c r="V60" s="264"/>
      <c r="W60" s="402"/>
      <c r="X60" s="826"/>
      <c r="Y60" s="614">
        <f>IF(D60&lt;&gt;0,($C61*(1-$V$1))-$D60,0)</f>
        <v>12</v>
      </c>
      <c r="Z60" s="615"/>
      <c r="AA60" s="853" t="str">
        <f>MID($A60,1,5)</f>
        <v xml:space="preserve">GGAL </v>
      </c>
    </row>
    <row r="61" spans="1:40" ht="12.75" customHeight="1">
      <c r="A61" s="810" t="s">
        <v>336</v>
      </c>
      <c r="B61" s="811">
        <v>99</v>
      </c>
      <c r="C61" s="812">
        <v>3111</v>
      </c>
      <c r="D61" s="813">
        <v>3122</v>
      </c>
      <c r="E61" s="811">
        <v>606</v>
      </c>
      <c r="F61" s="814">
        <v>3122</v>
      </c>
      <c r="G61" s="815">
        <v>3.2099999999999997E-2</v>
      </c>
      <c r="H61" s="797">
        <v>3031</v>
      </c>
      <c r="I61" s="798">
        <v>3125</v>
      </c>
      <c r="J61" s="799">
        <v>3025</v>
      </c>
      <c r="K61" s="800">
        <v>3024.9</v>
      </c>
      <c r="L61" s="801">
        <v>12714891239</v>
      </c>
      <c r="M61" s="800">
        <v>4128421</v>
      </c>
      <c r="N61" s="801">
        <v>7764</v>
      </c>
      <c r="O61" s="782">
        <v>45393.708287037036</v>
      </c>
      <c r="P61" s="783">
        <v>60</v>
      </c>
      <c r="Q61" s="784">
        <v>0</v>
      </c>
      <c r="R61" s="803">
        <v>0</v>
      </c>
      <c r="S61" s="816">
        <v>0</v>
      </c>
      <c r="T61" s="817">
        <v>0</v>
      </c>
      <c r="U61" s="482"/>
      <c r="V61" s="263">
        <v>0</v>
      </c>
      <c r="W61" s="788">
        <v>0</v>
      </c>
      <c r="X61" s="818">
        <v>0</v>
      </c>
      <c r="Y61" s="819">
        <f>IFERROR(INT($Y$1/(F60)),"")</f>
        <v>32</v>
      </c>
      <c r="Z61" s="820"/>
      <c r="AA61" s="854"/>
    </row>
    <row r="62" spans="1:40" ht="12.75" hidden="1" customHeight="1">
      <c r="A62" s="265" t="s">
        <v>574</v>
      </c>
      <c r="B62" s="246">
        <v>299</v>
      </c>
      <c r="C62" s="386">
        <v>1918</v>
      </c>
      <c r="D62" s="387">
        <v>1923</v>
      </c>
      <c r="E62" s="246">
        <v>48</v>
      </c>
      <c r="F62" s="534">
        <v>1923</v>
      </c>
      <c r="G62" s="305">
        <v>1.1899999999999999E-2</v>
      </c>
      <c r="H62" s="236">
        <v>1950</v>
      </c>
      <c r="I62" s="228">
        <v>1950</v>
      </c>
      <c r="J62" s="279">
        <v>1865</v>
      </c>
      <c r="K62" s="232">
        <v>1900.3</v>
      </c>
      <c r="L62" s="249">
        <v>190843975</v>
      </c>
      <c r="M62" s="232">
        <v>100366</v>
      </c>
      <c r="N62" s="249">
        <v>1547</v>
      </c>
      <c r="O62" s="273">
        <v>45393.6874537037</v>
      </c>
      <c r="P62" s="284">
        <v>61</v>
      </c>
      <c r="Q62" s="262">
        <v>0</v>
      </c>
      <c r="R62" s="645">
        <v>0</v>
      </c>
      <c r="S62" s="667">
        <v>0</v>
      </c>
      <c r="T62" s="244">
        <v>0</v>
      </c>
      <c r="U62" s="483"/>
      <c r="V62" s="264">
        <v>0</v>
      </c>
      <c r="W62" s="381">
        <v>0</v>
      </c>
      <c r="X62" s="671">
        <v>0</v>
      </c>
      <c r="Y62" s="614">
        <f>IF(D62&lt;&gt;0,($C63*(1-$V$1))-$D62,0)</f>
        <v>14.900000000000091</v>
      </c>
      <c r="Z62" s="615">
        <f>$F63*($AE$1*$AD$1)</f>
        <v>13.183747945205479</v>
      </c>
      <c r="AA62" s="851" t="str">
        <f>MID($A62,1,5)</f>
        <v xml:space="preserve">PAMP </v>
      </c>
    </row>
    <row r="63" spans="1:40" ht="12.75" hidden="1" customHeight="1">
      <c r="A63" s="378" t="s">
        <v>575</v>
      </c>
      <c r="B63" s="379">
        <v>48</v>
      </c>
      <c r="C63" s="388">
        <v>1937.9</v>
      </c>
      <c r="D63" s="388">
        <v>1943.7</v>
      </c>
      <c r="E63" s="379">
        <v>1000</v>
      </c>
      <c r="F63" s="541">
        <v>1940.35</v>
      </c>
      <c r="G63" s="355">
        <v>1.7500000000000002E-2</v>
      </c>
      <c r="H63" s="347">
        <v>1906</v>
      </c>
      <c r="I63" s="348">
        <v>1946.65</v>
      </c>
      <c r="J63" s="349">
        <v>1876</v>
      </c>
      <c r="K63" s="350">
        <v>1906.9</v>
      </c>
      <c r="L63" s="343">
        <v>5227663358</v>
      </c>
      <c r="M63" s="350">
        <v>2728995</v>
      </c>
      <c r="N63" s="343">
        <v>7101</v>
      </c>
      <c r="O63" s="380">
        <v>45393.708298611113</v>
      </c>
      <c r="P63" s="283">
        <v>62</v>
      </c>
      <c r="Q63" s="345">
        <v>0</v>
      </c>
      <c r="R63" s="652">
        <v>0</v>
      </c>
      <c r="S63" s="668">
        <v>0</v>
      </c>
      <c r="T63" s="351">
        <v>0</v>
      </c>
      <c r="U63" s="482"/>
      <c r="V63" s="353">
        <v>0</v>
      </c>
      <c r="W63" s="382">
        <v>0</v>
      </c>
      <c r="X63" s="672">
        <v>0</v>
      </c>
      <c r="Y63" s="616">
        <f>IFERROR(IF($Y$1&lt;&gt;"",INT($Y$1/(D62)),100),100)</f>
        <v>51</v>
      </c>
      <c r="Z63" s="617"/>
      <c r="AA63" s="852"/>
    </row>
    <row r="64" spans="1:40" ht="12.75" customHeight="1">
      <c r="A64" s="676" t="s">
        <v>13</v>
      </c>
      <c r="B64" s="592">
        <v>200</v>
      </c>
      <c r="C64" s="303">
        <v>55810</v>
      </c>
      <c r="D64" s="303">
        <v>55880</v>
      </c>
      <c r="E64" s="592">
        <v>50</v>
      </c>
      <c r="F64" s="834">
        <v>55840</v>
      </c>
      <c r="G64" s="305">
        <v>1.06E-2</v>
      </c>
      <c r="H64" s="236">
        <v>55900</v>
      </c>
      <c r="I64" s="228">
        <v>56300</v>
      </c>
      <c r="J64" s="279">
        <v>54090</v>
      </c>
      <c r="K64" s="232">
        <v>55250</v>
      </c>
      <c r="L64" s="249">
        <v>95141149785</v>
      </c>
      <c r="M64" s="232">
        <v>172499526</v>
      </c>
      <c r="N64" s="249">
        <v>69036</v>
      </c>
      <c r="O64" s="273">
        <v>45393.687615740739</v>
      </c>
      <c r="P64" s="284">
        <v>63</v>
      </c>
      <c r="Q64" s="262">
        <v>0</v>
      </c>
      <c r="R64" s="645">
        <v>0</v>
      </c>
      <c r="S64" s="667">
        <v>0</v>
      </c>
      <c r="T64" s="244">
        <v>0</v>
      </c>
      <c r="U64" s="483"/>
      <c r="V64" s="361"/>
      <c r="W64" s="497">
        <f t="shared" ref="W64:W68" si="28">(V64*X64)</f>
        <v>0</v>
      </c>
      <c r="X64" s="666"/>
      <c r="Y64" s="614">
        <f>IF(D64&lt;&gt;0,($C65*(1-$V$1))-$D64,0)</f>
        <v>280</v>
      </c>
      <c r="Z64" s="618"/>
      <c r="AA64" s="619"/>
      <c r="AB64" s="38"/>
      <c r="AC64" s="363">
        <v>325</v>
      </c>
      <c r="AE64" s="47">
        <v>0.47860000000000003</v>
      </c>
      <c r="AF64" s="47">
        <f>AC64*AE64</f>
        <v>155.54500000000002</v>
      </c>
      <c r="AN64" s="376"/>
    </row>
    <row r="65" spans="1:40" ht="12.75" customHeight="1">
      <c r="A65" s="552" t="s">
        <v>2</v>
      </c>
      <c r="B65" s="593">
        <v>11159</v>
      </c>
      <c r="C65" s="304">
        <v>56160</v>
      </c>
      <c r="D65" s="532">
        <v>56190</v>
      </c>
      <c r="E65" s="593">
        <v>6755</v>
      </c>
      <c r="F65" s="835">
        <v>56170</v>
      </c>
      <c r="G65" s="307">
        <v>1.4199999999999999E-2</v>
      </c>
      <c r="H65" s="235">
        <v>54890</v>
      </c>
      <c r="I65" s="226">
        <v>56690</v>
      </c>
      <c r="J65" s="277">
        <v>54500</v>
      </c>
      <c r="K65" s="230">
        <v>55380</v>
      </c>
      <c r="L65" s="233">
        <v>65382004354</v>
      </c>
      <c r="M65" s="230">
        <v>117503685</v>
      </c>
      <c r="N65" s="233">
        <v>27308</v>
      </c>
      <c r="O65" s="274">
        <v>45393.708611111113</v>
      </c>
      <c r="P65" s="283">
        <v>64</v>
      </c>
      <c r="Q65" s="260">
        <v>0</v>
      </c>
      <c r="R65" s="644">
        <v>0</v>
      </c>
      <c r="S65" s="669">
        <v>0</v>
      </c>
      <c r="T65" s="243">
        <v>0</v>
      </c>
      <c r="U65" s="482"/>
      <c r="V65" s="360"/>
      <c r="W65" s="496">
        <f>V64*(C64/100)</f>
        <v>0</v>
      </c>
      <c r="X65" s="661"/>
      <c r="Y65" s="490">
        <f>IFERROR(INT($Y$1/(F64/100)),"")</f>
        <v>178</v>
      </c>
      <c r="Z65" s="620"/>
      <c r="AA65" s="621"/>
      <c r="AB65" s="38"/>
      <c r="AC65" s="363">
        <v>179</v>
      </c>
      <c r="AE65" s="47">
        <v>0.47910000000000003</v>
      </c>
      <c r="AF65" s="47">
        <f t="shared" ref="AF65:AF67" si="29">AC65*AE65</f>
        <v>85.758900000000011</v>
      </c>
      <c r="AN65" s="376"/>
    </row>
    <row r="66" spans="1:40" ht="12.75" customHeight="1">
      <c r="A66" s="551" t="s">
        <v>15</v>
      </c>
      <c r="B66" s="600">
        <v>205</v>
      </c>
      <c r="C66" s="301">
        <v>53.8</v>
      </c>
      <c r="D66" s="253">
        <v>54.15</v>
      </c>
      <c r="E66" s="600">
        <v>56198</v>
      </c>
      <c r="F66" s="832">
        <v>54.15</v>
      </c>
      <c r="G66" s="308">
        <v>1.9699999999999999E-2</v>
      </c>
      <c r="H66" s="238">
        <v>52.5</v>
      </c>
      <c r="I66" s="227">
        <v>54.15</v>
      </c>
      <c r="J66" s="282">
        <v>51.73</v>
      </c>
      <c r="K66" s="231">
        <v>53.1</v>
      </c>
      <c r="L66" s="245">
        <v>20726754</v>
      </c>
      <c r="M66" s="231">
        <v>39073034</v>
      </c>
      <c r="N66" s="245">
        <v>7807</v>
      </c>
      <c r="O66" s="275">
        <v>45393.687835648147</v>
      </c>
      <c r="P66" s="284">
        <v>65</v>
      </c>
      <c r="Q66" s="261">
        <v>0</v>
      </c>
      <c r="R66" s="654">
        <v>0</v>
      </c>
      <c r="S66" s="670">
        <v>0</v>
      </c>
      <c r="T66" s="242">
        <v>0</v>
      </c>
      <c r="U66" s="483"/>
      <c r="V66" s="298"/>
      <c r="W66" s="498">
        <f t="shared" si="28"/>
        <v>0</v>
      </c>
      <c r="X66" s="666"/>
      <c r="Y66" s="622">
        <f>IF(D66&lt;&gt;0,($C67*(1-$V$1))-$D66,0)</f>
        <v>-0.54999999999999716</v>
      </c>
      <c r="Z66" s="623">
        <f>IFERROR(IF(C66&lt;&gt;"",$Y$1/(D64/100)*(C66/100),""),"")</f>
        <v>95.766166607205207</v>
      </c>
      <c r="AA66" s="624">
        <f>IFERROR($AA$1/(D66/100)*(C64/100),"")</f>
        <v>103065.55863342568</v>
      </c>
      <c r="AB66" s="38"/>
      <c r="AC66" s="364"/>
      <c r="AF66" s="47">
        <f t="shared" si="29"/>
        <v>0</v>
      </c>
      <c r="AN66" s="376"/>
    </row>
    <row r="67" spans="1:40" ht="12.75" customHeight="1">
      <c r="A67" s="552" t="s">
        <v>3</v>
      </c>
      <c r="B67" s="601">
        <v>100000</v>
      </c>
      <c r="C67" s="237">
        <v>53.6</v>
      </c>
      <c r="D67" s="375">
        <v>54</v>
      </c>
      <c r="E67" s="603">
        <v>22672</v>
      </c>
      <c r="F67" s="833">
        <v>53.67</v>
      </c>
      <c r="G67" s="307">
        <v>1.26E-2</v>
      </c>
      <c r="H67" s="235">
        <v>53.29</v>
      </c>
      <c r="I67" s="226">
        <v>54.95</v>
      </c>
      <c r="J67" s="277">
        <v>51.9</v>
      </c>
      <c r="K67" s="230">
        <v>53</v>
      </c>
      <c r="L67" s="233">
        <v>3485720</v>
      </c>
      <c r="M67" s="230">
        <v>6555856</v>
      </c>
      <c r="N67" s="233">
        <v>1457</v>
      </c>
      <c r="O67" s="274">
        <v>45393.705104166664</v>
      </c>
      <c r="P67" s="283">
        <v>66</v>
      </c>
      <c r="Q67" s="260">
        <v>0</v>
      </c>
      <c r="R67" s="644">
        <v>0</v>
      </c>
      <c r="S67" s="669">
        <v>0</v>
      </c>
      <c r="T67" s="243">
        <v>0</v>
      </c>
      <c r="U67" s="482"/>
      <c r="V67" s="297"/>
      <c r="W67" s="499">
        <f>V66*(F66/100)</f>
        <v>0</v>
      </c>
      <c r="X67" s="661"/>
      <c r="Y67" s="491">
        <f>IFERROR(INT($AA$1/(F66/100)),"")</f>
        <v>184</v>
      </c>
      <c r="Z67" s="625">
        <f>IFERROR(IF(C67&lt;&gt;"",$Y$1/(D65/100)*(C67/100),""),"")</f>
        <v>94.883781098705086</v>
      </c>
      <c r="AA67" s="626">
        <f>IFERROR($AA$1/(D67/100)*(C65/100),"")</f>
        <v>103999.99999999999</v>
      </c>
      <c r="AB67" s="38"/>
      <c r="AC67" s="365"/>
      <c r="AD67" s="362"/>
      <c r="AE67" s="362"/>
      <c r="AF67" s="362">
        <f t="shared" si="29"/>
        <v>0</v>
      </c>
      <c r="AN67" s="376"/>
    </row>
    <row r="68" spans="1:40" ht="12.75" customHeight="1">
      <c r="A68" s="551" t="s">
        <v>14</v>
      </c>
      <c r="B68" s="600">
        <v>300</v>
      </c>
      <c r="C68" s="301">
        <v>56.15</v>
      </c>
      <c r="D68" s="253">
        <v>56.22</v>
      </c>
      <c r="E68" s="600">
        <v>6442</v>
      </c>
      <c r="F68" s="836">
        <v>56.22</v>
      </c>
      <c r="G68" s="308">
        <v>1.1599999999999999E-2</v>
      </c>
      <c r="H68" s="238">
        <v>55.39</v>
      </c>
      <c r="I68" s="227">
        <v>56.77</v>
      </c>
      <c r="J68" s="282">
        <v>54.2</v>
      </c>
      <c r="K68" s="231">
        <v>55.57</v>
      </c>
      <c r="L68" s="245">
        <v>81750788</v>
      </c>
      <c r="M68" s="231">
        <v>147956234</v>
      </c>
      <c r="N68" s="245">
        <v>62987</v>
      </c>
      <c r="O68" s="275">
        <v>45393.687777777777</v>
      </c>
      <c r="P68" s="284">
        <v>67</v>
      </c>
      <c r="Q68" s="261">
        <v>0</v>
      </c>
      <c r="R68" s="654">
        <v>0</v>
      </c>
      <c r="S68" s="670">
        <v>0</v>
      </c>
      <c r="T68" s="242">
        <v>0</v>
      </c>
      <c r="U68" s="483"/>
      <c r="V68" s="358"/>
      <c r="W68" s="500">
        <f t="shared" si="28"/>
        <v>0</v>
      </c>
      <c r="X68" s="663"/>
      <c r="Y68" s="627">
        <f>IF(D68&lt;&gt;0,($C69*(1-$V$1))-$D68,0)</f>
        <v>0.13000000000000256</v>
      </c>
      <c r="Z68" s="628">
        <f>IFERROR(IF(C68&lt;&gt;"",$Y$1/(D64/100)*(C68/100),""),"")</f>
        <v>99.949261245252288</v>
      </c>
      <c r="AA68" s="629">
        <f>IFERROR($Z$1/(D68/100)*(C64/100),"")</f>
        <v>99270.722162931343</v>
      </c>
      <c r="AB68" s="38"/>
      <c r="AC68" s="366">
        <f>SUM(AC64:AC67)</f>
        <v>504</v>
      </c>
      <c r="AD68" s="367"/>
      <c r="AE68" s="367"/>
      <c r="AF68" s="367">
        <f>SUM(AF64:AF67)</f>
        <v>241.30390000000003</v>
      </c>
    </row>
    <row r="69" spans="1:40" ht="12.75" customHeight="1">
      <c r="A69" s="675" t="s">
        <v>4</v>
      </c>
      <c r="B69" s="602">
        <v>21003</v>
      </c>
      <c r="C69" s="346">
        <v>56.35</v>
      </c>
      <c r="D69" s="374">
        <v>56.46</v>
      </c>
      <c r="E69" s="493">
        <v>684506</v>
      </c>
      <c r="F69" s="838">
        <v>56.46</v>
      </c>
      <c r="G69" s="355">
        <v>1.9099999999999999E-2</v>
      </c>
      <c r="H69" s="347">
        <v>54.95</v>
      </c>
      <c r="I69" s="348">
        <v>56.74</v>
      </c>
      <c r="J69" s="349">
        <v>54.18</v>
      </c>
      <c r="K69" s="350">
        <v>55.4</v>
      </c>
      <c r="L69" s="343">
        <v>20120725</v>
      </c>
      <c r="M69" s="350">
        <v>36353876</v>
      </c>
      <c r="N69" s="343">
        <v>15132</v>
      </c>
      <c r="O69" s="344">
        <v>45393.708449074074</v>
      </c>
      <c r="P69" s="283">
        <v>68</v>
      </c>
      <c r="Q69" s="345">
        <v>0</v>
      </c>
      <c r="R69" s="652">
        <v>0</v>
      </c>
      <c r="S69" s="668">
        <v>0</v>
      </c>
      <c r="T69" s="351">
        <v>0</v>
      </c>
      <c r="U69" s="482"/>
      <c r="V69" s="389"/>
      <c r="W69" s="501">
        <f>V68*(C68/100)</f>
        <v>0</v>
      </c>
      <c r="X69" s="665"/>
      <c r="Y69" s="492">
        <f>IFERROR(INT($Z$1/(F68/100)),"")</f>
        <v>177</v>
      </c>
      <c r="Z69" s="630">
        <f>IFERROR(IF(C69&lt;&gt;"",$Y$1/(D65/100)*(C69/100),""),"")</f>
        <v>99.75188553940356</v>
      </c>
      <c r="AA69" s="631">
        <f>IFERROR($Z$1/(D69/100)*(C65/100),"")</f>
        <v>99468.650371944736</v>
      </c>
      <c r="AB69" s="38"/>
      <c r="AC69" s="849">
        <f>AF68/AC68</f>
        <v>0.47877757936507942</v>
      </c>
      <c r="AD69" s="849"/>
      <c r="AE69" s="849"/>
      <c r="AF69" s="849"/>
    </row>
    <row r="70" spans="1:40" ht="12.75" customHeight="1">
      <c r="A70" s="676" t="s">
        <v>16</v>
      </c>
      <c r="B70" s="600">
        <v>2094</v>
      </c>
      <c r="C70" s="301">
        <v>58380</v>
      </c>
      <c r="D70" s="253">
        <v>58400</v>
      </c>
      <c r="E70" s="600">
        <v>1350</v>
      </c>
      <c r="F70" s="834">
        <v>58380</v>
      </c>
      <c r="G70" s="305">
        <v>2.2000000000000001E-3</v>
      </c>
      <c r="H70" s="236">
        <v>58500</v>
      </c>
      <c r="I70" s="228">
        <v>58830</v>
      </c>
      <c r="J70" s="279">
        <v>57120</v>
      </c>
      <c r="K70" s="232">
        <v>58250</v>
      </c>
      <c r="L70" s="249">
        <v>6360728899</v>
      </c>
      <c r="M70" s="232">
        <v>10981197</v>
      </c>
      <c r="N70" s="249">
        <v>4737</v>
      </c>
      <c r="O70" s="273">
        <v>45393.687557870369</v>
      </c>
      <c r="P70" s="284">
        <v>69</v>
      </c>
      <c r="Q70" s="262"/>
      <c r="R70" s="645">
        <v>0</v>
      </c>
      <c r="S70" s="667">
        <v>0</v>
      </c>
      <c r="T70" s="244">
        <v>0</v>
      </c>
      <c r="U70" s="483"/>
      <c r="V70" s="295">
        <v>0</v>
      </c>
      <c r="W70" s="497">
        <f t="shared" ref="W70:W82" si="30">(V70*X70)</f>
        <v>0</v>
      </c>
      <c r="X70" s="666"/>
      <c r="Y70" s="614">
        <f>IF(D70&lt;&gt;0,($C71*(1-$V$1))-$D70,0)</f>
        <v>250</v>
      </c>
      <c r="Z70" s="632"/>
      <c r="AA70" s="619"/>
      <c r="AB70" s="38"/>
      <c r="AC70" s="357">
        <v>506</v>
      </c>
      <c r="AE70" s="47">
        <v>0.48499999999999999</v>
      </c>
      <c r="AF70" s="47">
        <f>AC70*AE70</f>
        <v>245.41</v>
      </c>
    </row>
    <row r="71" spans="1:40" ht="12.75" customHeight="1">
      <c r="A71" s="552" t="s">
        <v>5</v>
      </c>
      <c r="B71" s="601">
        <v>147337</v>
      </c>
      <c r="C71" s="237">
        <v>58650</v>
      </c>
      <c r="D71" s="375">
        <v>58830</v>
      </c>
      <c r="E71" s="603">
        <v>310000</v>
      </c>
      <c r="F71" s="835">
        <v>58800</v>
      </c>
      <c r="G71" s="307">
        <v>5.1000000000000004E-3</v>
      </c>
      <c r="H71" s="235">
        <v>58500</v>
      </c>
      <c r="I71" s="226">
        <v>59250</v>
      </c>
      <c r="J71" s="277">
        <v>57650</v>
      </c>
      <c r="K71" s="230">
        <v>58500</v>
      </c>
      <c r="L71" s="233">
        <v>25367926440</v>
      </c>
      <c r="M71" s="230">
        <v>43431217</v>
      </c>
      <c r="N71" s="233">
        <v>5206</v>
      </c>
      <c r="O71" s="274">
        <v>45393.708368055559</v>
      </c>
      <c r="P71" s="283">
        <v>70</v>
      </c>
      <c r="Q71" s="260">
        <v>0</v>
      </c>
      <c r="R71" s="644">
        <v>0</v>
      </c>
      <c r="S71" s="669">
        <v>0</v>
      </c>
      <c r="T71" s="243">
        <v>0</v>
      </c>
      <c r="U71" s="482"/>
      <c r="V71" s="360">
        <v>0</v>
      </c>
      <c r="W71" s="495">
        <f>V70*(F71/100)</f>
        <v>0</v>
      </c>
      <c r="X71" s="661"/>
      <c r="Y71" s="490">
        <f>IFERROR(INT($Y$1/(F70/100)),"")</f>
        <v>170</v>
      </c>
      <c r="Z71" s="620"/>
      <c r="AA71" s="621"/>
      <c r="AB71" s="38"/>
      <c r="AC71" s="357">
        <v>350</v>
      </c>
      <c r="AE71" s="47">
        <v>0.47600999999999999</v>
      </c>
      <c r="AF71" s="47">
        <f t="shared" ref="AF71:AF73" si="31">AC71*AE71</f>
        <v>166.6035</v>
      </c>
    </row>
    <row r="72" spans="1:40" ht="12.75" customHeight="1">
      <c r="A72" s="551" t="s">
        <v>17</v>
      </c>
      <c r="B72" s="600">
        <v>100000</v>
      </c>
      <c r="C72" s="301">
        <v>55.5</v>
      </c>
      <c r="D72" s="253">
        <v>56.5</v>
      </c>
      <c r="E72" s="600">
        <v>100000</v>
      </c>
      <c r="F72" s="832">
        <v>56.25</v>
      </c>
      <c r="G72" s="308">
        <v>-3.3E-3</v>
      </c>
      <c r="H72" s="238">
        <v>56.7</v>
      </c>
      <c r="I72" s="227">
        <v>56.7</v>
      </c>
      <c r="J72" s="282">
        <v>55.1</v>
      </c>
      <c r="K72" s="231">
        <v>56.44</v>
      </c>
      <c r="L72" s="245">
        <v>999672</v>
      </c>
      <c r="M72" s="231">
        <v>1795495</v>
      </c>
      <c r="N72" s="245">
        <v>726</v>
      </c>
      <c r="O72" s="275">
        <v>45393.680509259262</v>
      </c>
      <c r="P72" s="284">
        <v>71</v>
      </c>
      <c r="Q72" s="261">
        <v>0</v>
      </c>
      <c r="R72" s="654">
        <v>0</v>
      </c>
      <c r="S72" s="670">
        <v>0</v>
      </c>
      <c r="T72" s="242">
        <v>0</v>
      </c>
      <c r="U72" s="483"/>
      <c r="V72" s="298">
        <v>0</v>
      </c>
      <c r="W72" s="498">
        <f t="shared" ref="W72" si="32">(V72*X72)</f>
        <v>0</v>
      </c>
      <c r="X72" s="666"/>
      <c r="Y72" s="622">
        <f>IF(D72&lt;&gt;0,($C73*(1-$V$1))-$D72,0)</f>
        <v>-0.5</v>
      </c>
      <c r="Z72" s="623">
        <f>IFERROR(IF(C72&lt;&gt;"",$Y$1/(D70/100)*(C72/100),""),"")</f>
        <v>94.529282459639276</v>
      </c>
      <c r="AA72" s="624">
        <f>IFERROR($AA$1/(D72/100)*(C70/100),"")</f>
        <v>103327.4336283186</v>
      </c>
      <c r="AB72" s="38"/>
      <c r="AC72" s="357"/>
      <c r="AF72" s="47">
        <f t="shared" si="31"/>
        <v>0</v>
      </c>
    </row>
    <row r="73" spans="1:40" ht="12.75" customHeight="1">
      <c r="A73" s="552" t="s">
        <v>6</v>
      </c>
      <c r="B73" s="601">
        <v>1040</v>
      </c>
      <c r="C73" s="237">
        <v>56</v>
      </c>
      <c r="D73" s="375">
        <v>56.5</v>
      </c>
      <c r="E73" s="603">
        <v>99190</v>
      </c>
      <c r="F73" s="833">
        <v>56.5</v>
      </c>
      <c r="G73" s="307">
        <v>5.3E-3</v>
      </c>
      <c r="H73" s="235">
        <v>55.55</v>
      </c>
      <c r="I73" s="226">
        <v>56.5</v>
      </c>
      <c r="J73" s="277">
        <v>55.15</v>
      </c>
      <c r="K73" s="230">
        <v>56.2</v>
      </c>
      <c r="L73" s="233">
        <v>320374</v>
      </c>
      <c r="M73" s="230">
        <v>577174</v>
      </c>
      <c r="N73" s="233">
        <v>128</v>
      </c>
      <c r="O73" s="274">
        <v>45393.695057870369</v>
      </c>
      <c r="P73" s="283">
        <v>72</v>
      </c>
      <c r="Q73" s="260">
        <v>0</v>
      </c>
      <c r="R73" s="644">
        <v>0</v>
      </c>
      <c r="S73" s="669">
        <v>0</v>
      </c>
      <c r="T73" s="243">
        <v>0</v>
      </c>
      <c r="U73" s="482"/>
      <c r="V73" s="297">
        <v>0</v>
      </c>
      <c r="W73" s="499">
        <f>V72*(F72/100)</f>
        <v>0</v>
      </c>
      <c r="X73" s="661"/>
      <c r="Y73" s="491">
        <f>IFERROR(INT($AA$1/(F72/100)),"")</f>
        <v>177</v>
      </c>
      <c r="Z73" s="625">
        <f>IFERROR(IF(C73&lt;&gt;"",$Y$1/(D71/100)*(C73/100),""),"")</f>
        <v>94.683739942697699</v>
      </c>
      <c r="AA73" s="626">
        <f>IFERROR($AA$1/(D73/100)*(C71/100),"")</f>
        <v>103805.30973451328</v>
      </c>
      <c r="AB73" s="38"/>
      <c r="AC73" s="362"/>
      <c r="AD73" s="362"/>
      <c r="AE73" s="362"/>
      <c r="AF73" s="362">
        <f t="shared" si="31"/>
        <v>0</v>
      </c>
    </row>
    <row r="74" spans="1:40" ht="12.75" customHeight="1">
      <c r="A74" s="551" t="s">
        <v>18</v>
      </c>
      <c r="B74" s="600">
        <v>500</v>
      </c>
      <c r="C74" s="301">
        <v>58.52</v>
      </c>
      <c r="D74" s="253">
        <v>59</v>
      </c>
      <c r="E74" s="600">
        <v>89163</v>
      </c>
      <c r="F74" s="836">
        <v>58.99</v>
      </c>
      <c r="G74" s="308">
        <v>1.06E-2</v>
      </c>
      <c r="H74" s="238">
        <v>58.5</v>
      </c>
      <c r="I74" s="227">
        <v>59.24</v>
      </c>
      <c r="J74" s="282">
        <v>57.31</v>
      </c>
      <c r="K74" s="231">
        <v>58.37</v>
      </c>
      <c r="L74" s="245">
        <v>3940957</v>
      </c>
      <c r="M74" s="231">
        <v>6768332</v>
      </c>
      <c r="N74" s="245">
        <v>2935</v>
      </c>
      <c r="O74" s="275">
        <v>45393.687835648147</v>
      </c>
      <c r="P74" s="284">
        <v>73</v>
      </c>
      <c r="Q74" s="261">
        <v>0</v>
      </c>
      <c r="R74" s="654">
        <v>0</v>
      </c>
      <c r="S74" s="670">
        <v>0</v>
      </c>
      <c r="T74" s="242">
        <v>0</v>
      </c>
      <c r="U74" s="483"/>
      <c r="V74" s="358">
        <v>0</v>
      </c>
      <c r="W74" s="500">
        <f t="shared" si="30"/>
        <v>0</v>
      </c>
      <c r="X74" s="663"/>
      <c r="Y74" s="627">
        <f>IF(D74&lt;&gt;0,($C75*(1-$V$1))-$D74,0)</f>
        <v>-4.9999999999997158E-2</v>
      </c>
      <c r="Z74" s="628">
        <f>IFERROR(IF(C74&lt;&gt;"",$Y$1/(D70/100)*(C74/100),""),"")</f>
        <v>99.673038009695318</v>
      </c>
      <c r="AA74" s="629">
        <f>IFERROR($Z$1/(D74/100)*(C70/100),"")</f>
        <v>98949.152542372889</v>
      </c>
      <c r="AB74" s="38"/>
      <c r="AC74" s="366">
        <f>SUM(AC70:AC73)</f>
        <v>856</v>
      </c>
      <c r="AD74" s="367"/>
      <c r="AE74" s="367" t="s">
        <v>588</v>
      </c>
      <c r="AF74" s="367">
        <f>SUM(AF70:AF73)</f>
        <v>412.01350000000002</v>
      </c>
    </row>
    <row r="75" spans="1:40" ht="12.75" customHeight="1">
      <c r="A75" s="675" t="s">
        <v>7</v>
      </c>
      <c r="B75" s="602">
        <v>2866</v>
      </c>
      <c r="C75" s="346">
        <v>58.95</v>
      </c>
      <c r="D75" s="374">
        <v>58.94</v>
      </c>
      <c r="E75" s="493">
        <v>20000</v>
      </c>
      <c r="F75" s="838">
        <v>58.94</v>
      </c>
      <c r="G75" s="355">
        <v>7.4999999999999997E-3</v>
      </c>
      <c r="H75" s="347">
        <v>58.5</v>
      </c>
      <c r="I75" s="348">
        <v>59.22</v>
      </c>
      <c r="J75" s="349">
        <v>57.33</v>
      </c>
      <c r="K75" s="350">
        <v>58.5</v>
      </c>
      <c r="L75" s="352">
        <v>3008697</v>
      </c>
      <c r="M75" s="350">
        <v>5157861</v>
      </c>
      <c r="N75" s="343">
        <v>1614</v>
      </c>
      <c r="O75" s="344">
        <v>45393.708460648151</v>
      </c>
      <c r="P75" s="283">
        <v>74</v>
      </c>
      <c r="Q75" s="345">
        <v>0</v>
      </c>
      <c r="R75" s="652">
        <v>0</v>
      </c>
      <c r="S75" s="668">
        <v>0</v>
      </c>
      <c r="T75" s="351">
        <v>0</v>
      </c>
      <c r="U75" s="482"/>
      <c r="V75" s="359">
        <v>0</v>
      </c>
      <c r="W75" s="501">
        <f>V74*(F74/100)</f>
        <v>0</v>
      </c>
      <c r="X75" s="665"/>
      <c r="Y75" s="492">
        <f>IFERROR(INT($Z$1/(F74/100)),"")</f>
        <v>169</v>
      </c>
      <c r="Z75" s="630">
        <f>IFERROR(IF(C75&lt;&gt;"",$Y$1/(D71/100)*(C75/100),""),"")</f>
        <v>99.671544100393376</v>
      </c>
      <c r="AA75" s="631">
        <f>IFERROR($Z$1/(D75/100)*(C71/100),"")</f>
        <v>99507.974211062116</v>
      </c>
      <c r="AB75" s="38"/>
      <c r="AC75" s="849">
        <f>AF74/AC74</f>
        <v>0.48132418224299067</v>
      </c>
      <c r="AD75" s="849"/>
      <c r="AE75" s="849"/>
      <c r="AF75" s="849"/>
    </row>
    <row r="76" spans="1:40" ht="12.75" customHeight="1">
      <c r="A76" s="677" t="s">
        <v>582</v>
      </c>
      <c r="B76" s="246">
        <v>13205982</v>
      </c>
      <c r="C76" s="301">
        <v>180.3</v>
      </c>
      <c r="D76" s="253">
        <v>180.8</v>
      </c>
      <c r="E76" s="246">
        <v>15000000</v>
      </c>
      <c r="F76" s="834">
        <v>180.55</v>
      </c>
      <c r="G76" s="305">
        <v>1.09E-2</v>
      </c>
      <c r="H76" s="236">
        <v>178.75</v>
      </c>
      <c r="I76" s="228">
        <v>180.9</v>
      </c>
      <c r="J76" s="279">
        <v>178.25</v>
      </c>
      <c r="K76" s="232">
        <v>178.6</v>
      </c>
      <c r="L76" s="249">
        <v>9796623398</v>
      </c>
      <c r="M76" s="232">
        <v>5444901626</v>
      </c>
      <c r="N76" s="249">
        <v>1810</v>
      </c>
      <c r="O76" s="273">
        <v>45393.687627314815</v>
      </c>
      <c r="P76" s="284">
        <v>75</v>
      </c>
      <c r="Q76" s="262">
        <v>0</v>
      </c>
      <c r="R76" s="645">
        <v>0</v>
      </c>
      <c r="S76" s="667">
        <v>0</v>
      </c>
      <c r="T76" s="244">
        <v>0</v>
      </c>
      <c r="U76" s="483"/>
      <c r="V76" s="371"/>
      <c r="W76" s="398">
        <f>V76*X76</f>
        <v>0</v>
      </c>
      <c r="X76" s="666"/>
      <c r="Y76" s="614">
        <f>IF(D76&lt;&gt;0,($C77*(1-$V$1))-$D76,0)</f>
        <v>-0.30000000000001137</v>
      </c>
      <c r="Z76" s="632"/>
      <c r="AA76" s="619"/>
      <c r="AB76" s="38"/>
    </row>
    <row r="77" spans="1:40" ht="12.75" customHeight="1">
      <c r="A77" s="552" t="s">
        <v>583</v>
      </c>
      <c r="B77" s="596">
        <v>1999671</v>
      </c>
      <c r="C77" s="237">
        <v>180.5</v>
      </c>
      <c r="D77" s="375">
        <v>181.8</v>
      </c>
      <c r="E77" s="604">
        <v>134953</v>
      </c>
      <c r="F77" s="835">
        <v>180.5</v>
      </c>
      <c r="G77" s="307">
        <v>8.8999999999999999E-3</v>
      </c>
      <c r="H77" s="235">
        <v>178.3</v>
      </c>
      <c r="I77" s="226">
        <v>182.38499999999999</v>
      </c>
      <c r="J77" s="277">
        <v>178.3</v>
      </c>
      <c r="K77" s="230">
        <v>178.90100000000001</v>
      </c>
      <c r="L77" s="233">
        <v>2708753676</v>
      </c>
      <c r="M77" s="230">
        <v>1499065287</v>
      </c>
      <c r="N77" s="233">
        <v>901</v>
      </c>
      <c r="O77" s="274">
        <v>45393.708645833336</v>
      </c>
      <c r="P77" s="283">
        <v>76</v>
      </c>
      <c r="Q77" s="260">
        <v>0</v>
      </c>
      <c r="R77" s="644">
        <v>0</v>
      </c>
      <c r="S77" s="669">
        <v>0</v>
      </c>
      <c r="T77" s="243">
        <v>0</v>
      </c>
      <c r="U77" s="482"/>
      <c r="V77" s="368">
        <v>0</v>
      </c>
      <c r="W77" s="393">
        <f>V76*(F76/100)</f>
        <v>0</v>
      </c>
      <c r="X77" s="661"/>
      <c r="Y77" s="490">
        <f>IFERROR(INT($Y$1/(F76/100)),"")</f>
        <v>55092</v>
      </c>
      <c r="Z77" s="620"/>
      <c r="AA77" s="621"/>
      <c r="AB77" s="38"/>
    </row>
    <row r="78" spans="1:40" ht="12.75" hidden="1" customHeight="1">
      <c r="A78" s="551" t="s">
        <v>584</v>
      </c>
      <c r="B78" s="246">
        <v>155341481</v>
      </c>
      <c r="C78" s="301">
        <v>0.17199999999999999</v>
      </c>
      <c r="D78" s="253">
        <v>0.17399999999999999</v>
      </c>
      <c r="E78" s="246">
        <v>235000000</v>
      </c>
      <c r="F78" s="832">
        <v>0.17199999999999999</v>
      </c>
      <c r="G78" s="308"/>
      <c r="H78" s="238">
        <v>0.17199999999999999</v>
      </c>
      <c r="I78" s="227">
        <v>0.17399999999999999</v>
      </c>
      <c r="J78" s="282">
        <v>0.17100000000000001</v>
      </c>
      <c r="K78" s="231">
        <v>0.17199999999999999</v>
      </c>
      <c r="L78" s="245">
        <v>5746222</v>
      </c>
      <c r="M78" s="231">
        <v>3335976895</v>
      </c>
      <c r="N78" s="245">
        <v>571</v>
      </c>
      <c r="O78" s="275">
        <v>45393.687615740739</v>
      </c>
      <c r="P78" s="284">
        <v>77</v>
      </c>
      <c r="Q78" s="261">
        <v>0</v>
      </c>
      <c r="R78" s="654">
        <v>0</v>
      </c>
      <c r="S78" s="670">
        <v>0</v>
      </c>
      <c r="T78" s="242">
        <v>0</v>
      </c>
      <c r="U78" s="483"/>
      <c r="V78" s="372">
        <v>0</v>
      </c>
      <c r="W78" s="394">
        <f t="shared" ref="W78" si="33">(V78*X78)</f>
        <v>0</v>
      </c>
      <c r="X78" s="666"/>
      <c r="Y78" s="622">
        <f>IF(D78&lt;&gt;0,($C79*(1-$V$1))-$D78,0)</f>
        <v>-7.3999999999999982E-2</v>
      </c>
      <c r="Z78" s="623">
        <f>IFERROR(IF(C78&lt;&gt;"",$Y$1/(D76/100)*(C78/100),""),"")</f>
        <v>94.627255884814673</v>
      </c>
      <c r="AA78" s="624">
        <f>IFERROR($AA$1/(D78/100)*(C76/100),"")</f>
        <v>103620.68965517243</v>
      </c>
      <c r="AB78" s="38"/>
    </row>
    <row r="79" spans="1:40" ht="12.75" hidden="1" customHeight="1">
      <c r="A79" s="552" t="s">
        <v>585</v>
      </c>
      <c r="B79" s="596">
        <v>100</v>
      </c>
      <c r="C79" s="237">
        <v>0.1</v>
      </c>
      <c r="D79" s="375"/>
      <c r="E79" s="604"/>
      <c r="F79" s="833"/>
      <c r="G79" s="307"/>
      <c r="H79" s="235"/>
      <c r="I79" s="226"/>
      <c r="J79" s="277"/>
      <c r="K79" s="230">
        <v>0.17299999999999999</v>
      </c>
      <c r="L79" s="233"/>
      <c r="M79" s="230"/>
      <c r="N79" s="233"/>
      <c r="O79" s="274"/>
      <c r="P79" s="283">
        <v>78</v>
      </c>
      <c r="Q79" s="260">
        <v>0</v>
      </c>
      <c r="R79" s="644">
        <v>0</v>
      </c>
      <c r="S79" s="669">
        <v>0</v>
      </c>
      <c r="T79" s="243">
        <v>0</v>
      </c>
      <c r="U79" s="482"/>
      <c r="V79" s="369">
        <v>0</v>
      </c>
      <c r="W79" s="395">
        <f>V78*(F78/100)</f>
        <v>0</v>
      </c>
      <c r="X79" s="661"/>
      <c r="Y79" s="491">
        <f>IFERROR(INT($AA$1/(F78/100)),"")</f>
        <v>58139</v>
      </c>
      <c r="Z79" s="625">
        <f>IFERROR(IF(C79&lt;&gt;"",$Y$1/(D77/100)*(C79/100),""),"")</f>
        <v>54.713229027472352</v>
      </c>
      <c r="AA79" s="626" t="str">
        <f>IFERROR($AA$1/(D79/100)*(C77/100),"")</f>
        <v/>
      </c>
      <c r="AB79" s="38"/>
    </row>
    <row r="80" spans="1:40" ht="12.75" customHeight="1">
      <c r="A80" s="551" t="s">
        <v>586</v>
      </c>
      <c r="B80" s="246">
        <v>13325007</v>
      </c>
      <c r="C80" s="386">
        <v>0.18</v>
      </c>
      <c r="D80" s="387">
        <v>0.183</v>
      </c>
      <c r="E80" s="246">
        <v>100000000</v>
      </c>
      <c r="F80" s="836">
        <v>0.18</v>
      </c>
      <c r="G80" s="308">
        <v>-5.5000000000000005E-3</v>
      </c>
      <c r="H80" s="238">
        <v>0.17899999999999999</v>
      </c>
      <c r="I80" s="227">
        <v>0.183</v>
      </c>
      <c r="J80" s="282">
        <v>0.17799999999999999</v>
      </c>
      <c r="K80" s="231">
        <v>0.18099999999999999</v>
      </c>
      <c r="L80" s="245">
        <v>5125601</v>
      </c>
      <c r="M80" s="231">
        <v>2838022076</v>
      </c>
      <c r="N80" s="245">
        <v>794</v>
      </c>
      <c r="O80" s="275">
        <v>45393.687731481485</v>
      </c>
      <c r="P80" s="284">
        <v>79</v>
      </c>
      <c r="Q80" s="261">
        <v>0</v>
      </c>
      <c r="R80" s="654">
        <v>0</v>
      </c>
      <c r="S80" s="670">
        <v>0</v>
      </c>
      <c r="T80" s="242">
        <v>0</v>
      </c>
      <c r="U80" s="483"/>
      <c r="V80" s="373">
        <v>0</v>
      </c>
      <c r="W80" s="396">
        <f t="shared" si="30"/>
        <v>0</v>
      </c>
      <c r="X80" s="663"/>
      <c r="Y80" s="627">
        <f>IF(D80&lt;&gt;0,($C81*(1-$V$1))-$D80,0)</f>
        <v>-4.0000000000000036E-3</v>
      </c>
      <c r="Z80" s="628">
        <f>IFERROR(IF(C80&lt;&gt;"",$Y$1/(D76/100)*(C80/100),""),"")</f>
        <v>99.028523600387459</v>
      </c>
      <c r="AA80" s="629">
        <f>IFERROR($Z$1/(D80/100)*(C76/100),"")</f>
        <v>98524.590163934437</v>
      </c>
      <c r="AB80" s="38"/>
      <c r="AC80"/>
    </row>
    <row r="81" spans="1:29" ht="12.75" customHeight="1">
      <c r="A81" s="675" t="s">
        <v>587</v>
      </c>
      <c r="B81" s="379">
        <v>30000</v>
      </c>
      <c r="C81" s="346">
        <v>0.17899999999999999</v>
      </c>
      <c r="D81" s="374">
        <v>0.182</v>
      </c>
      <c r="E81" s="599">
        <v>7020979</v>
      </c>
      <c r="F81" s="838">
        <v>0.183</v>
      </c>
      <c r="G81" s="355">
        <v>1.66E-2</v>
      </c>
      <c r="H81" s="347">
        <v>0.183</v>
      </c>
      <c r="I81" s="348">
        <v>0.186</v>
      </c>
      <c r="J81" s="349">
        <v>0.17799999999999999</v>
      </c>
      <c r="K81" s="350">
        <v>0.18</v>
      </c>
      <c r="L81" s="343">
        <v>12841</v>
      </c>
      <c r="M81" s="350">
        <v>7056827</v>
      </c>
      <c r="N81" s="343">
        <v>50</v>
      </c>
      <c r="O81" s="344">
        <v>45393.688750000001</v>
      </c>
      <c r="P81" s="283">
        <v>80</v>
      </c>
      <c r="Q81" s="345">
        <v>0</v>
      </c>
      <c r="R81" s="652">
        <v>0</v>
      </c>
      <c r="S81" s="668">
        <v>0</v>
      </c>
      <c r="T81" s="351">
        <v>0</v>
      </c>
      <c r="U81" s="482"/>
      <c r="V81" s="370">
        <v>0</v>
      </c>
      <c r="W81" s="397">
        <f>V80*(F80/100)</f>
        <v>0</v>
      </c>
      <c r="X81" s="665"/>
      <c r="Y81" s="492">
        <f>IFERROR(INT($Z$1/(F80/100)),"")</f>
        <v>55555</v>
      </c>
      <c r="Z81" s="630">
        <f>IFERROR(IF(C81&lt;&gt;"",$Y$1/(D77/100)*(C81/100),""),"")</f>
        <v>97.936679959175507</v>
      </c>
      <c r="AA81" s="631">
        <f>IFERROR($Z$1/(D81/100)*(C77/100),"")</f>
        <v>99175.824175824164</v>
      </c>
      <c r="AB81" s="38"/>
      <c r="AC81"/>
    </row>
    <row r="82" spans="1:29" ht="12.75" customHeight="1">
      <c r="A82" s="677" t="s">
        <v>616</v>
      </c>
      <c r="B82" s="246">
        <v>5830215</v>
      </c>
      <c r="C82" s="301">
        <v>114.529</v>
      </c>
      <c r="D82" s="253">
        <v>116</v>
      </c>
      <c r="E82" s="246">
        <v>1000000</v>
      </c>
      <c r="F82" s="834">
        <v>115.1</v>
      </c>
      <c r="G82" s="305">
        <v>3.6900000000000002E-2</v>
      </c>
      <c r="H82" s="236">
        <v>107</v>
      </c>
      <c r="I82" s="228">
        <v>119.33</v>
      </c>
      <c r="J82" s="279">
        <v>107</v>
      </c>
      <c r="K82" s="232">
        <v>111</v>
      </c>
      <c r="L82" s="249">
        <v>138165927</v>
      </c>
      <c r="M82" s="232">
        <v>122978478</v>
      </c>
      <c r="N82" s="249">
        <v>665</v>
      </c>
      <c r="O82" s="273">
        <v>45393.68414351852</v>
      </c>
      <c r="P82" s="284">
        <v>81</v>
      </c>
      <c r="Q82" s="262">
        <v>0</v>
      </c>
      <c r="R82" s="645">
        <v>0</v>
      </c>
      <c r="S82" s="667">
        <v>0</v>
      </c>
      <c r="T82" s="244">
        <v>0</v>
      </c>
      <c r="U82" s="483"/>
      <c r="V82" s="361"/>
      <c r="W82" s="398">
        <f t="shared" si="30"/>
        <v>0</v>
      </c>
      <c r="X82" s="666"/>
      <c r="Y82" s="614">
        <f>IF(D82&lt;&gt;0,($C83*(1-$V$1))-$D82,0)</f>
        <v>-1.25</v>
      </c>
      <c r="Z82" s="632"/>
      <c r="AA82" s="619"/>
      <c r="AB82" s="38"/>
      <c r="AC82"/>
    </row>
    <row r="83" spans="1:29" ht="12.75" customHeight="1">
      <c r="A83" s="552" t="s">
        <v>617</v>
      </c>
      <c r="B83" s="596">
        <v>52</v>
      </c>
      <c r="C83" s="237">
        <v>114.75</v>
      </c>
      <c r="D83" s="375">
        <v>115.25</v>
      </c>
      <c r="E83" s="604">
        <v>9285727</v>
      </c>
      <c r="F83" s="835">
        <v>115.25</v>
      </c>
      <c r="G83" s="307">
        <v>3.5900000000000001E-2</v>
      </c>
      <c r="H83" s="235">
        <v>112.61</v>
      </c>
      <c r="I83" s="226">
        <v>116.5</v>
      </c>
      <c r="J83" s="277">
        <v>111.25</v>
      </c>
      <c r="K83" s="230">
        <v>111.25</v>
      </c>
      <c r="L83" s="233">
        <v>12784911794</v>
      </c>
      <c r="M83" s="230">
        <v>11259520046</v>
      </c>
      <c r="N83" s="233">
        <v>2046</v>
      </c>
      <c r="O83" s="274">
        <v>45393.708379629628</v>
      </c>
      <c r="P83" s="283">
        <v>82</v>
      </c>
      <c r="Q83" s="260">
        <v>0</v>
      </c>
      <c r="R83" s="644">
        <v>0</v>
      </c>
      <c r="S83" s="669">
        <v>0</v>
      </c>
      <c r="T83" s="243">
        <v>0</v>
      </c>
      <c r="U83" s="482"/>
      <c r="V83" s="360"/>
      <c r="W83" s="393">
        <f>V82*(D83/100)</f>
        <v>0</v>
      </c>
      <c r="X83" s="661"/>
      <c r="Y83" s="490">
        <f>IFERROR(INT($Y$1/(F82/100)),"")</f>
        <v>86419</v>
      </c>
      <c r="Z83" s="620"/>
      <c r="AA83" s="621"/>
      <c r="AB83" s="38"/>
      <c r="AC83"/>
    </row>
    <row r="84" spans="1:29" ht="12.75" hidden="1" customHeight="1">
      <c r="A84" s="551" t="s">
        <v>618</v>
      </c>
      <c r="B84" s="246"/>
      <c r="C84" s="301"/>
      <c r="D84" s="253"/>
      <c r="E84" s="246"/>
      <c r="F84" s="832"/>
      <c r="G84" s="308"/>
      <c r="H84" s="238"/>
      <c r="I84" s="227"/>
      <c r="J84" s="282"/>
      <c r="K84" s="231"/>
      <c r="L84" s="245"/>
      <c r="M84" s="231"/>
      <c r="N84" s="245"/>
      <c r="O84" s="275"/>
      <c r="P84" s="284">
        <v>83</v>
      </c>
      <c r="Q84" s="261">
        <v>0</v>
      </c>
      <c r="R84" s="654">
        <v>0</v>
      </c>
      <c r="S84" s="670">
        <v>0</v>
      </c>
      <c r="T84" s="242">
        <v>0</v>
      </c>
      <c r="U84" s="483"/>
      <c r="V84" s="298"/>
      <c r="W84" s="394">
        <f t="shared" ref="W84" si="34">(V84*X84)</f>
        <v>0</v>
      </c>
      <c r="X84" s="666"/>
      <c r="Y84" s="622">
        <f>IF(D84&lt;&gt;0,($C85*(1-$V$1))-$D84,0)</f>
        <v>0</v>
      </c>
      <c r="Z84" s="623" t="str">
        <f>IFERROR(IF(C84&lt;&gt;"",$Y$1/(D82/100)*(C84/100),""),"")</f>
        <v/>
      </c>
      <c r="AA84" s="624" t="str">
        <f>IFERROR($AA$1/(D84/100)*(C82/100),"")</f>
        <v/>
      </c>
      <c r="AB84" s="38"/>
      <c r="AC84"/>
    </row>
    <row r="85" spans="1:29" ht="12.75" hidden="1" customHeight="1">
      <c r="A85" s="552" t="s">
        <v>619</v>
      </c>
      <c r="B85" s="596"/>
      <c r="C85" s="237"/>
      <c r="D85" s="375"/>
      <c r="E85" s="604"/>
      <c r="F85" s="833"/>
      <c r="G85" s="307"/>
      <c r="H85" s="235"/>
      <c r="I85" s="226"/>
      <c r="J85" s="277"/>
      <c r="K85" s="230"/>
      <c r="L85" s="233"/>
      <c r="M85" s="230"/>
      <c r="N85" s="233"/>
      <c r="O85" s="274"/>
      <c r="P85" s="283">
        <v>84</v>
      </c>
      <c r="Q85" s="260">
        <v>0</v>
      </c>
      <c r="R85" s="644">
        <v>0</v>
      </c>
      <c r="S85" s="669">
        <v>0</v>
      </c>
      <c r="T85" s="243">
        <v>0</v>
      </c>
      <c r="U85" s="482"/>
      <c r="V85" s="297">
        <v>0</v>
      </c>
      <c r="W85" s="395">
        <f>V84*(F84/100)</f>
        <v>0</v>
      </c>
      <c r="X85" s="661"/>
      <c r="Y85" s="491" t="str">
        <f>IFERROR(INT($AA$1/(F84/100)),"")</f>
        <v/>
      </c>
      <c r="Z85" s="625" t="str">
        <f>IFERROR(IF(C85&lt;&gt;"",$Y$1/(D83/100)*(C85/100),""),"")</f>
        <v/>
      </c>
      <c r="AA85" s="626" t="str">
        <f>IFERROR($AA$1/(D85/100)*(C83/100),"")</f>
        <v/>
      </c>
      <c r="AB85" s="38"/>
      <c r="AC85"/>
    </row>
    <row r="86" spans="1:29" ht="12.75" customHeight="1">
      <c r="A86" s="551" t="s">
        <v>620</v>
      </c>
      <c r="B86" s="246"/>
      <c r="C86" s="301"/>
      <c r="D86" s="253"/>
      <c r="E86" s="246"/>
      <c r="F86" s="836"/>
      <c r="G86" s="308"/>
      <c r="H86" s="238"/>
      <c r="I86" s="227"/>
      <c r="J86" s="282"/>
      <c r="K86" s="231">
        <v>0.108</v>
      </c>
      <c r="L86" s="245"/>
      <c r="M86" s="231"/>
      <c r="N86" s="245"/>
      <c r="O86" s="275"/>
      <c r="P86" s="284">
        <v>85</v>
      </c>
      <c r="Q86" s="261">
        <v>0</v>
      </c>
      <c r="R86" s="654">
        <v>0</v>
      </c>
      <c r="S86" s="670">
        <v>0</v>
      </c>
      <c r="T86" s="242">
        <v>0</v>
      </c>
      <c r="U86" s="483"/>
      <c r="V86" s="358">
        <v>0</v>
      </c>
      <c r="W86" s="396">
        <f t="shared" ref="W86" si="35">(V86*X86)</f>
        <v>0</v>
      </c>
      <c r="X86" s="663"/>
      <c r="Y86" s="627">
        <f>IF(D86&lt;&gt;0,($C87*(1-$V$1))-$D86,0)</f>
        <v>0</v>
      </c>
      <c r="Z86" s="628" t="str">
        <f>IFERROR(IF(C86&lt;&gt;"",$Y$1/(D82/100)*(C86/100),""),"")</f>
        <v/>
      </c>
      <c r="AA86" s="629" t="str">
        <f>IFERROR($Z$1/(D86/100)*(C82/100),"")</f>
        <v/>
      </c>
      <c r="AB86" s="38"/>
      <c r="AC86"/>
    </row>
    <row r="87" spans="1:29" ht="12.75" customHeight="1">
      <c r="A87" s="705" t="s">
        <v>621</v>
      </c>
      <c r="B87" s="379"/>
      <c r="C87" s="346"/>
      <c r="D87" s="374"/>
      <c r="E87" s="599"/>
      <c r="F87" s="838"/>
      <c r="G87" s="355"/>
      <c r="H87" s="347"/>
      <c r="I87" s="348"/>
      <c r="J87" s="349"/>
      <c r="K87" s="350"/>
      <c r="L87" s="343"/>
      <c r="M87" s="350"/>
      <c r="N87" s="343"/>
      <c r="O87" s="344"/>
      <c r="P87" s="283">
        <v>86</v>
      </c>
      <c r="Q87" s="345">
        <v>0</v>
      </c>
      <c r="R87" s="652">
        <v>0</v>
      </c>
      <c r="S87" s="668">
        <v>0</v>
      </c>
      <c r="T87" s="351">
        <v>0</v>
      </c>
      <c r="U87" s="482"/>
      <c r="V87" s="359">
        <v>0</v>
      </c>
      <c r="W87" s="399">
        <f>V86*(F86/100)</f>
        <v>0</v>
      </c>
      <c r="X87" s="665"/>
      <c r="Y87" s="492" t="str">
        <f>IFERROR(INT($Z$1/(F86/100)),"")</f>
        <v/>
      </c>
      <c r="Z87" s="630" t="str">
        <f>IFERROR(IF(C87&lt;&gt;"",$Y$1/(D83/100)*(C87/100),""),"")</f>
        <v/>
      </c>
      <c r="AA87" s="631" t="str">
        <f>IFERROR($Z$1/(D87/100)*(C83/100),"")</f>
        <v/>
      </c>
      <c r="AB87" s="38"/>
      <c r="AC87"/>
    </row>
    <row r="88" spans="1:29" ht="12.75" customHeight="1">
      <c r="A88" s="677" t="s">
        <v>568</v>
      </c>
      <c r="B88" s="246">
        <v>61</v>
      </c>
      <c r="C88" s="301">
        <v>83660</v>
      </c>
      <c r="D88" s="253">
        <v>84000</v>
      </c>
      <c r="E88" s="246">
        <v>79</v>
      </c>
      <c r="F88" s="834">
        <v>83990</v>
      </c>
      <c r="G88" s="305">
        <v>5.7999999999999996E-3</v>
      </c>
      <c r="H88" s="236">
        <v>83500</v>
      </c>
      <c r="I88" s="228">
        <v>84460</v>
      </c>
      <c r="J88" s="279">
        <v>81780</v>
      </c>
      <c r="K88" s="232">
        <v>83500</v>
      </c>
      <c r="L88" s="249">
        <v>45278363</v>
      </c>
      <c r="M88" s="232">
        <v>54037</v>
      </c>
      <c r="N88" s="249">
        <v>262</v>
      </c>
      <c r="O88" s="273">
        <v>45393.687789351854</v>
      </c>
      <c r="P88" s="284">
        <v>87</v>
      </c>
      <c r="Q88" s="262">
        <v>0</v>
      </c>
      <c r="R88" s="645">
        <v>0</v>
      </c>
      <c r="S88" s="667">
        <v>0</v>
      </c>
      <c r="T88" s="244">
        <v>0</v>
      </c>
      <c r="U88" s="483"/>
      <c r="V88" s="361"/>
      <c r="W88" s="398">
        <f t="shared" ref="W88" si="36">(V88*X88)</f>
        <v>0</v>
      </c>
      <c r="X88" s="666"/>
      <c r="Y88" s="614">
        <f>IF(D88&lt;&gt;0,($C89*(1-$V$1))-$D88,0)</f>
        <v>-240</v>
      </c>
      <c r="Z88" s="632"/>
      <c r="AA88" s="619"/>
      <c r="AB88" s="38"/>
      <c r="AC88"/>
    </row>
    <row r="89" spans="1:29" ht="12.75" customHeight="1">
      <c r="A89" s="552" t="s">
        <v>569</v>
      </c>
      <c r="B89" s="596">
        <v>2897</v>
      </c>
      <c r="C89" s="237">
        <v>83760</v>
      </c>
      <c r="D89" s="375">
        <v>84280</v>
      </c>
      <c r="E89" s="604">
        <v>5338</v>
      </c>
      <c r="F89" s="835">
        <v>84250</v>
      </c>
      <c r="G89" s="307">
        <v>4.7999999999999996E-3</v>
      </c>
      <c r="H89" s="235">
        <v>84000</v>
      </c>
      <c r="I89" s="226">
        <v>84990</v>
      </c>
      <c r="J89" s="277">
        <v>83500</v>
      </c>
      <c r="K89" s="230">
        <v>83840</v>
      </c>
      <c r="L89" s="233">
        <v>331750444</v>
      </c>
      <c r="M89" s="230">
        <v>393203</v>
      </c>
      <c r="N89" s="233">
        <v>981</v>
      </c>
      <c r="O89" s="274">
        <v>45393.708379629628</v>
      </c>
      <c r="P89" s="283">
        <v>88</v>
      </c>
      <c r="Q89" s="260">
        <v>0</v>
      </c>
      <c r="R89" s="644">
        <v>0</v>
      </c>
      <c r="S89" s="669">
        <v>0</v>
      </c>
      <c r="T89" s="243">
        <v>0</v>
      </c>
      <c r="U89" s="482"/>
      <c r="V89" s="360">
        <v>0</v>
      </c>
      <c r="W89" s="393">
        <f>V88*(F88/100)</f>
        <v>0</v>
      </c>
      <c r="X89" s="661"/>
      <c r="Y89" s="490">
        <f>IFERROR(INT($Y$1/(F88/100)),"")</f>
        <v>118</v>
      </c>
      <c r="Z89" s="620"/>
      <c r="AA89" s="621"/>
      <c r="AB89" s="38"/>
      <c r="AC89"/>
    </row>
    <row r="90" spans="1:29" ht="12.75" hidden="1" customHeight="1">
      <c r="A90" s="551" t="s">
        <v>570</v>
      </c>
      <c r="B90" s="246"/>
      <c r="C90" s="301"/>
      <c r="D90" s="253"/>
      <c r="E90" s="246"/>
      <c r="F90" s="832"/>
      <c r="G90" s="308"/>
      <c r="H90" s="238"/>
      <c r="I90" s="227"/>
      <c r="J90" s="227"/>
      <c r="K90" s="258">
        <v>80.599999999999994</v>
      </c>
      <c r="L90" s="245"/>
      <c r="M90" s="231"/>
      <c r="N90" s="245"/>
      <c r="O90" s="275"/>
      <c r="P90" s="284">
        <v>89</v>
      </c>
      <c r="Q90" s="261">
        <v>0</v>
      </c>
      <c r="R90" s="654">
        <v>0</v>
      </c>
      <c r="S90" s="670">
        <v>0</v>
      </c>
      <c r="T90" s="242">
        <v>0</v>
      </c>
      <c r="U90" s="483"/>
      <c r="V90" s="298"/>
      <c r="W90" s="394">
        <f t="shared" ref="W90" si="37">(V90*X90)</f>
        <v>0</v>
      </c>
      <c r="X90" s="666"/>
      <c r="Y90" s="622">
        <f>IF(D90&lt;&gt;0,($C91*(1-$V$1))-$D90,0)</f>
        <v>0</v>
      </c>
      <c r="Z90" s="623" t="str">
        <f>IFERROR(IF(C90&lt;&gt;"",$Y$1/(D88/100)*(C90/100),""),"")</f>
        <v/>
      </c>
      <c r="AA90" s="624" t="str">
        <f>IFERROR($AA$1/(D90/100)*(C88/100),"")</f>
        <v/>
      </c>
      <c r="AB90" s="38"/>
      <c r="AC90"/>
    </row>
    <row r="91" spans="1:29" ht="12.75" hidden="1" customHeight="1">
      <c r="A91" s="552" t="s">
        <v>571</v>
      </c>
      <c r="B91" s="596"/>
      <c r="C91" s="237"/>
      <c r="D91" s="375"/>
      <c r="E91" s="604"/>
      <c r="F91" s="833"/>
      <c r="G91" s="307"/>
      <c r="H91" s="235"/>
      <c r="I91" s="226"/>
      <c r="J91" s="226"/>
      <c r="K91" s="255"/>
      <c r="L91" s="233"/>
      <c r="M91" s="230"/>
      <c r="N91" s="233"/>
      <c r="O91" s="274"/>
      <c r="P91" s="283">
        <v>90</v>
      </c>
      <c r="Q91" s="260">
        <v>0</v>
      </c>
      <c r="R91" s="644">
        <v>0</v>
      </c>
      <c r="S91" s="669">
        <v>0</v>
      </c>
      <c r="T91" s="243">
        <v>0</v>
      </c>
      <c r="U91" s="482"/>
      <c r="V91" s="297">
        <v>0</v>
      </c>
      <c r="W91" s="395">
        <f>V90*(F90/100)</f>
        <v>0</v>
      </c>
      <c r="X91" s="661"/>
      <c r="Y91" s="491" t="str">
        <f>IFERROR(INT($AA$1/(F90/100)),"")</f>
        <v/>
      </c>
      <c r="Z91" s="625" t="str">
        <f>IFERROR(IF(C91&lt;&gt;"",$Y$1/(D89/100)*(C91/100),""),"")</f>
        <v/>
      </c>
      <c r="AA91" s="626" t="str">
        <f>IFERROR($AA$1/(D91/100)*(C89/100),"")</f>
        <v/>
      </c>
      <c r="AB91" s="38"/>
      <c r="AC91"/>
    </row>
    <row r="92" spans="1:29" ht="12.75" customHeight="1">
      <c r="A92" s="551" t="s">
        <v>572</v>
      </c>
      <c r="B92" s="246">
        <v>1370</v>
      </c>
      <c r="C92" s="301">
        <v>84.52</v>
      </c>
      <c r="D92" s="253">
        <v>85</v>
      </c>
      <c r="E92" s="246">
        <v>2264</v>
      </c>
      <c r="F92" s="836">
        <v>85.27</v>
      </c>
      <c r="G92" s="308">
        <v>6.7000000000000002E-3</v>
      </c>
      <c r="H92" s="238">
        <v>85</v>
      </c>
      <c r="I92" s="227">
        <v>85.3</v>
      </c>
      <c r="J92" s="227">
        <v>84.3</v>
      </c>
      <c r="K92" s="258">
        <v>84.7</v>
      </c>
      <c r="L92" s="245">
        <v>18504</v>
      </c>
      <c r="M92" s="231">
        <v>21841</v>
      </c>
      <c r="N92" s="245">
        <v>53</v>
      </c>
      <c r="O92" s="275">
        <v>45393.654363425929</v>
      </c>
      <c r="P92" s="284">
        <v>91</v>
      </c>
      <c r="Q92" s="261">
        <v>0</v>
      </c>
      <c r="R92" s="654">
        <v>0</v>
      </c>
      <c r="S92" s="670">
        <v>0</v>
      </c>
      <c r="T92" s="242">
        <v>0</v>
      </c>
      <c r="U92" s="483"/>
      <c r="V92" s="358">
        <v>0</v>
      </c>
      <c r="W92" s="396">
        <f t="shared" ref="W92" si="38">(V92*X92)</f>
        <v>0</v>
      </c>
      <c r="X92" s="663"/>
      <c r="Y92" s="627">
        <f>IF(D92&lt;&gt;0,($C93*(1-$V$1))-$D92,0)</f>
        <v>-0.5</v>
      </c>
      <c r="Z92" s="628">
        <f>IFERROR(IF(C92&lt;&gt;"",$Y$1/(D88/100)*(C92/100),""),"")</f>
        <v>100.08440868377106</v>
      </c>
      <c r="AA92" s="629">
        <f>IFERROR($Z$1/(D92/100)*(C88/100),"")</f>
        <v>98423.529411764714</v>
      </c>
      <c r="AB92" s="38"/>
      <c r="AC92"/>
    </row>
    <row r="93" spans="1:29" ht="12.75" customHeight="1">
      <c r="A93" s="675" t="s">
        <v>573</v>
      </c>
      <c r="B93" s="379">
        <v>1169</v>
      </c>
      <c r="C93" s="346">
        <v>84.5</v>
      </c>
      <c r="D93" s="374">
        <v>84.99</v>
      </c>
      <c r="E93" s="599">
        <v>5408</v>
      </c>
      <c r="F93" s="838">
        <v>84.98</v>
      </c>
      <c r="G93" s="355">
        <v>4.4000000000000003E-3</v>
      </c>
      <c r="H93" s="347">
        <v>85.75</v>
      </c>
      <c r="I93" s="348">
        <v>85.8</v>
      </c>
      <c r="J93" s="348">
        <v>84</v>
      </c>
      <c r="K93" s="356">
        <v>84.6</v>
      </c>
      <c r="L93" s="343">
        <v>475386</v>
      </c>
      <c r="M93" s="350">
        <v>563071</v>
      </c>
      <c r="N93" s="343">
        <v>668</v>
      </c>
      <c r="O93" s="344">
        <v>45393.708634259259</v>
      </c>
      <c r="P93" s="283">
        <v>92</v>
      </c>
      <c r="Q93" s="345">
        <v>0</v>
      </c>
      <c r="R93" s="652">
        <v>0</v>
      </c>
      <c r="S93" s="668">
        <v>0</v>
      </c>
      <c r="T93" s="351">
        <v>0</v>
      </c>
      <c r="U93" s="482"/>
      <c r="V93" s="359">
        <v>0</v>
      </c>
      <c r="W93" s="399">
        <f>V92*(F92/100)</f>
        <v>0</v>
      </c>
      <c r="X93" s="665"/>
      <c r="Y93" s="492">
        <f>IFERROR(INT($Z$1/(F92/100)),"")</f>
        <v>117</v>
      </c>
      <c r="Z93" s="630">
        <f>IFERROR(IF(C93&lt;&gt;"",$Y$1/(D89/100)*(C93/100),""),"")</f>
        <v>99.728298011738616</v>
      </c>
      <c r="AA93" s="631">
        <f>IFERROR($Z$1/(D93/100)*(C89/100),"")</f>
        <v>98552.770914225213</v>
      </c>
      <c r="AB93" s="38"/>
      <c r="AC93"/>
    </row>
    <row r="94" spans="1:29" ht="12.75" customHeight="1">
      <c r="A94" s="677" t="s">
        <v>535</v>
      </c>
      <c r="B94" s="246">
        <v>5</v>
      </c>
      <c r="C94" s="301">
        <v>45050</v>
      </c>
      <c r="D94" s="253">
        <v>45650</v>
      </c>
      <c r="E94" s="246">
        <v>15</v>
      </c>
      <c r="F94" s="834">
        <v>45120</v>
      </c>
      <c r="G94" s="305">
        <v>3.7000000000000002E-3</v>
      </c>
      <c r="H94" s="236">
        <v>45300</v>
      </c>
      <c r="I94" s="228">
        <v>45630</v>
      </c>
      <c r="J94" s="228">
        <v>44400</v>
      </c>
      <c r="K94" s="257">
        <v>44950</v>
      </c>
      <c r="L94" s="249">
        <v>18059429</v>
      </c>
      <c r="M94" s="232">
        <v>39893</v>
      </c>
      <c r="N94" s="249">
        <v>96</v>
      </c>
      <c r="O94" s="273">
        <v>45393.68540509259</v>
      </c>
      <c r="P94" s="284">
        <v>93</v>
      </c>
      <c r="Q94" s="262">
        <v>0</v>
      </c>
      <c r="R94" s="645">
        <v>0</v>
      </c>
      <c r="S94" s="667">
        <v>0</v>
      </c>
      <c r="T94" s="244">
        <v>0</v>
      </c>
      <c r="U94" s="483"/>
      <c r="V94" s="361">
        <v>0</v>
      </c>
      <c r="W94" s="398">
        <f t="shared" ref="W94" si="39">(V94*X94)</f>
        <v>0</v>
      </c>
      <c r="X94" s="666"/>
      <c r="Y94" s="614">
        <f>IF(D94&lt;&gt;0,($C95*(1-$V$1))-$D94,0)</f>
        <v>-280</v>
      </c>
      <c r="Z94" s="632"/>
      <c r="AA94" s="619"/>
      <c r="AB94" s="38"/>
      <c r="AC94"/>
    </row>
    <row r="95" spans="1:29" ht="12.75" customHeight="1">
      <c r="A95" s="552" t="s">
        <v>536</v>
      </c>
      <c r="B95" s="596">
        <v>20330</v>
      </c>
      <c r="C95" s="237">
        <v>45370</v>
      </c>
      <c r="D95" s="375">
        <v>45600</v>
      </c>
      <c r="E95" s="604">
        <v>1496</v>
      </c>
      <c r="F95" s="835">
        <v>45600</v>
      </c>
      <c r="G95" s="307">
        <v>5.0000000000000001E-4</v>
      </c>
      <c r="H95" s="235">
        <v>45000</v>
      </c>
      <c r="I95" s="226">
        <v>46000</v>
      </c>
      <c r="J95" s="226">
        <v>44515</v>
      </c>
      <c r="K95" s="255">
        <v>45575</v>
      </c>
      <c r="L95" s="233">
        <v>372432034</v>
      </c>
      <c r="M95" s="230">
        <v>817237</v>
      </c>
      <c r="N95" s="233">
        <v>420</v>
      </c>
      <c r="O95" s="274">
        <v>45393.708564814813</v>
      </c>
      <c r="P95" s="283">
        <v>94</v>
      </c>
      <c r="Q95" s="260">
        <v>0</v>
      </c>
      <c r="R95" s="644">
        <v>0</v>
      </c>
      <c r="S95" s="669">
        <v>0</v>
      </c>
      <c r="T95" s="243">
        <v>0</v>
      </c>
      <c r="U95" s="482"/>
      <c r="V95" s="360">
        <v>0</v>
      </c>
      <c r="W95" s="393">
        <f>V94*(F94/100)</f>
        <v>0</v>
      </c>
      <c r="X95" s="661"/>
      <c r="Y95" s="490">
        <f>IFERROR(INT($Y$1/(F94/100)),"")</f>
        <v>220</v>
      </c>
      <c r="Z95" s="620"/>
      <c r="AA95" s="621"/>
      <c r="AB95" s="38"/>
      <c r="AC95"/>
    </row>
    <row r="96" spans="1:29" ht="12.75" hidden="1" customHeight="1">
      <c r="A96" s="551" t="s">
        <v>537</v>
      </c>
      <c r="B96" s="246"/>
      <c r="C96" s="301"/>
      <c r="D96" s="253"/>
      <c r="E96" s="246"/>
      <c r="F96" s="832"/>
      <c r="G96" s="308"/>
      <c r="H96" s="238"/>
      <c r="I96" s="227"/>
      <c r="J96" s="227"/>
      <c r="K96" s="258">
        <v>38.42</v>
      </c>
      <c r="L96" s="245"/>
      <c r="M96" s="231"/>
      <c r="N96" s="245"/>
      <c r="O96" s="275"/>
      <c r="P96" s="284">
        <v>95</v>
      </c>
      <c r="Q96" s="261">
        <v>0</v>
      </c>
      <c r="R96" s="654">
        <v>0</v>
      </c>
      <c r="S96" s="670">
        <v>0</v>
      </c>
      <c r="T96" s="242">
        <v>0</v>
      </c>
      <c r="U96" s="483"/>
      <c r="V96" s="298"/>
      <c r="W96" s="394">
        <f t="shared" ref="W96" si="40">(V96*X96)</f>
        <v>0</v>
      </c>
      <c r="X96" s="666"/>
      <c r="Y96" s="622">
        <f>IF(D96&lt;&gt;0,($C97*(1-$V$1))-$D96,0)</f>
        <v>0</v>
      </c>
      <c r="Z96" s="623" t="str">
        <f>IFERROR(IF(C96&lt;&gt;"",$Y$1/(D94/100)*(C96/100),""),"")</f>
        <v/>
      </c>
      <c r="AA96" s="624" t="str">
        <f>IFERROR($AA$1/(D96/100)*(C94/100),"")</f>
        <v/>
      </c>
      <c r="AB96" s="38"/>
      <c r="AC96"/>
    </row>
    <row r="97" spans="1:29" ht="12.75" hidden="1" customHeight="1">
      <c r="A97" s="552" t="s">
        <v>538</v>
      </c>
      <c r="B97" s="596"/>
      <c r="C97" s="237"/>
      <c r="D97" s="375"/>
      <c r="E97" s="604"/>
      <c r="F97" s="833"/>
      <c r="G97" s="307"/>
      <c r="H97" s="235"/>
      <c r="I97" s="226"/>
      <c r="J97" s="226"/>
      <c r="K97" s="255">
        <v>44</v>
      </c>
      <c r="L97" s="233"/>
      <c r="M97" s="230"/>
      <c r="N97" s="233"/>
      <c r="O97" s="274"/>
      <c r="P97" s="283">
        <v>96</v>
      </c>
      <c r="Q97" s="260">
        <v>0</v>
      </c>
      <c r="R97" s="644">
        <v>0</v>
      </c>
      <c r="S97" s="669">
        <v>0</v>
      </c>
      <c r="T97" s="243">
        <v>0</v>
      </c>
      <c r="U97" s="482"/>
      <c r="V97" s="297">
        <v>0</v>
      </c>
      <c r="W97" s="395">
        <f>V96*(F96/100)</f>
        <v>0</v>
      </c>
      <c r="X97" s="661"/>
      <c r="Y97" s="491" t="str">
        <f>IFERROR(INT($AA$1/(F96/100)),"")</f>
        <v/>
      </c>
      <c r="Z97" s="625" t="str">
        <f>IFERROR(IF(C97&lt;&gt;"",$Y$1/(D95/100)*(C97/100),""),"")</f>
        <v/>
      </c>
      <c r="AA97" s="626" t="str">
        <f>IFERROR($AA$1/(D97/100)*(C95/100),"")</f>
        <v/>
      </c>
      <c r="AB97" s="38"/>
    </row>
    <row r="98" spans="1:29" ht="12.75" customHeight="1">
      <c r="A98" s="551" t="s">
        <v>539</v>
      </c>
      <c r="B98" s="246">
        <v>30</v>
      </c>
      <c r="C98" s="301">
        <v>45.75</v>
      </c>
      <c r="D98" s="253">
        <v>46.078000000000003</v>
      </c>
      <c r="E98" s="246">
        <v>1500</v>
      </c>
      <c r="F98" s="836">
        <v>45.5</v>
      </c>
      <c r="G98" s="308">
        <v>-2.0999999999999999E-3</v>
      </c>
      <c r="H98" s="238">
        <v>46.45</v>
      </c>
      <c r="I98" s="227">
        <v>46.45</v>
      </c>
      <c r="J98" s="227">
        <v>44.600999999999999</v>
      </c>
      <c r="K98" s="258">
        <v>45.6</v>
      </c>
      <c r="L98" s="245">
        <v>1703</v>
      </c>
      <c r="M98" s="231">
        <v>3740</v>
      </c>
      <c r="N98" s="245">
        <v>12</v>
      </c>
      <c r="O98" s="275">
        <v>45393.626076388886</v>
      </c>
      <c r="P98" s="284">
        <v>97</v>
      </c>
      <c r="Q98" s="261">
        <v>0</v>
      </c>
      <c r="R98" s="654">
        <v>0</v>
      </c>
      <c r="S98" s="670">
        <v>0</v>
      </c>
      <c r="T98" s="242">
        <v>0</v>
      </c>
      <c r="U98" s="483"/>
      <c r="V98" s="358">
        <v>0</v>
      </c>
      <c r="W98" s="396">
        <f t="shared" ref="W98" si="41">(V98*X98)</f>
        <v>0</v>
      </c>
      <c r="X98" s="663"/>
      <c r="Y98" s="627">
        <f>IF(D98&lt;&gt;0,($C99*(1-$V$1))-$D98,0)</f>
        <v>-0.47800000000000153</v>
      </c>
      <c r="Z98" s="628">
        <f>IFERROR(IF(C98&lt;&gt;"",$Y$1/(D94/100)*(C98/100),""),"")</f>
        <v>99.686544458192159</v>
      </c>
      <c r="AA98" s="629">
        <f>IFERROR($Z$1/(D98/100)*(C94/100),"")</f>
        <v>97769.000390641944</v>
      </c>
      <c r="AB98" s="38"/>
      <c r="AC98" s="11"/>
    </row>
    <row r="99" spans="1:29" ht="12.75" customHeight="1">
      <c r="A99" s="675" t="s">
        <v>540</v>
      </c>
      <c r="B99" s="379">
        <v>4000</v>
      </c>
      <c r="C99" s="346">
        <v>45.6</v>
      </c>
      <c r="D99" s="374">
        <v>45.7</v>
      </c>
      <c r="E99" s="599">
        <v>12235</v>
      </c>
      <c r="F99" s="838">
        <v>45.7</v>
      </c>
      <c r="G99" s="355">
        <v>2.0999999999999999E-3</v>
      </c>
      <c r="H99" s="347">
        <v>46</v>
      </c>
      <c r="I99" s="348">
        <v>46.4</v>
      </c>
      <c r="J99" s="348">
        <v>45.12</v>
      </c>
      <c r="K99" s="356">
        <v>45.6</v>
      </c>
      <c r="L99" s="343">
        <v>54577</v>
      </c>
      <c r="M99" s="350">
        <v>119455</v>
      </c>
      <c r="N99" s="343">
        <v>79</v>
      </c>
      <c r="O99" s="344">
        <v>45393.708599537036</v>
      </c>
      <c r="P99" s="283">
        <v>98</v>
      </c>
      <c r="Q99" s="345">
        <v>0</v>
      </c>
      <c r="R99" s="652">
        <v>0</v>
      </c>
      <c r="S99" s="668">
        <v>0</v>
      </c>
      <c r="T99" s="351">
        <v>0</v>
      </c>
      <c r="U99" s="482"/>
      <c r="V99" s="359">
        <v>0</v>
      </c>
      <c r="W99" s="399">
        <f>V98*(F98/100)</f>
        <v>0</v>
      </c>
      <c r="X99" s="665"/>
      <c r="Y99" s="492">
        <f>IFERROR(INT($Z$1/(F98/100)),"")</f>
        <v>219</v>
      </c>
      <c r="Z99" s="630">
        <f>IFERROR(IF(C99&lt;&gt;"",$Y$1/(D95/100)*(C99/100),""),"")</f>
        <v>99.468650371944733</v>
      </c>
      <c r="AA99" s="631">
        <f>IFERROR($Z$1/(D99/100)*(C95/100),"")</f>
        <v>99277.89934354485</v>
      </c>
      <c r="AB99" s="38"/>
      <c r="AC99" s="11"/>
    </row>
    <row r="100" spans="1:29" ht="12.75" customHeight="1">
      <c r="A100" s="677" t="s">
        <v>576</v>
      </c>
      <c r="B100" s="246">
        <v>400</v>
      </c>
      <c r="C100" s="301">
        <v>23560</v>
      </c>
      <c r="D100" s="253">
        <v>24400</v>
      </c>
      <c r="E100" s="246">
        <v>500</v>
      </c>
      <c r="F100" s="834">
        <v>24100</v>
      </c>
      <c r="G100" s="305">
        <v>-1.1599999999999999E-2</v>
      </c>
      <c r="H100" s="236">
        <v>24000</v>
      </c>
      <c r="I100" s="228">
        <v>24450</v>
      </c>
      <c r="J100" s="228">
        <v>24000</v>
      </c>
      <c r="K100" s="257">
        <v>24385</v>
      </c>
      <c r="L100" s="249">
        <v>1303200</v>
      </c>
      <c r="M100" s="232">
        <v>5400</v>
      </c>
      <c r="N100" s="249">
        <v>14</v>
      </c>
      <c r="O100" s="273">
        <v>45393.682511574072</v>
      </c>
      <c r="P100" s="284">
        <v>99</v>
      </c>
      <c r="Q100" s="262">
        <v>0</v>
      </c>
      <c r="R100" s="645">
        <v>0</v>
      </c>
      <c r="S100" s="667">
        <v>0</v>
      </c>
      <c r="T100" s="244">
        <v>0</v>
      </c>
      <c r="U100" s="483"/>
      <c r="V100" s="361">
        <v>0</v>
      </c>
      <c r="W100" s="398">
        <f t="shared" ref="W100" si="42">(V100*X100)</f>
        <v>0</v>
      </c>
      <c r="X100" s="666"/>
      <c r="Y100" s="614">
        <f>IF(D100&lt;&gt;0,($C101*(1-$V$1))-$D100,0)</f>
        <v>-100</v>
      </c>
      <c r="Z100" s="632"/>
      <c r="AA100" s="619"/>
      <c r="AB100" s="38"/>
      <c r="AC100" s="11"/>
    </row>
    <row r="101" spans="1:29" ht="12.75" customHeight="1">
      <c r="A101" s="552" t="s">
        <v>577</v>
      </c>
      <c r="B101" s="596">
        <v>700</v>
      </c>
      <c r="C101" s="237">
        <v>24300</v>
      </c>
      <c r="D101" s="375">
        <v>24800</v>
      </c>
      <c r="E101" s="604">
        <v>200</v>
      </c>
      <c r="F101" s="835">
        <v>24300</v>
      </c>
      <c r="G101" s="307">
        <v>-4.0000000000000002E-4</v>
      </c>
      <c r="H101" s="235">
        <v>24300</v>
      </c>
      <c r="I101" s="226">
        <v>25000</v>
      </c>
      <c r="J101" s="226">
        <v>23300</v>
      </c>
      <c r="K101" s="255">
        <v>24310</v>
      </c>
      <c r="L101" s="233">
        <v>13432440</v>
      </c>
      <c r="M101" s="230">
        <v>55400</v>
      </c>
      <c r="N101" s="233">
        <v>84</v>
      </c>
      <c r="O101" s="274">
        <v>45393.702905092592</v>
      </c>
      <c r="P101" s="283">
        <v>100</v>
      </c>
      <c r="Q101" s="260">
        <v>0</v>
      </c>
      <c r="R101" s="644">
        <v>0</v>
      </c>
      <c r="S101" s="669">
        <v>0</v>
      </c>
      <c r="T101" s="243">
        <v>0</v>
      </c>
      <c r="U101" s="482"/>
      <c r="V101" s="360">
        <v>0</v>
      </c>
      <c r="W101" s="393">
        <f>V100*(F100/100)</f>
        <v>0</v>
      </c>
      <c r="X101" s="661"/>
      <c r="Y101" s="490">
        <f>IFERROR(INT($Y$1/(F100/100)),"")</f>
        <v>412</v>
      </c>
      <c r="Z101" s="620"/>
      <c r="AA101" s="621"/>
      <c r="AB101" s="38"/>
      <c r="AC101" s="11"/>
    </row>
    <row r="102" spans="1:29" ht="12.75" hidden="1" customHeight="1">
      <c r="A102" s="551" t="s">
        <v>578</v>
      </c>
      <c r="B102" s="246"/>
      <c r="C102" s="301"/>
      <c r="D102" s="253"/>
      <c r="E102" s="246"/>
      <c r="F102" s="832"/>
      <c r="G102" s="308"/>
      <c r="H102" s="238"/>
      <c r="I102" s="227"/>
      <c r="J102" s="227"/>
      <c r="K102" s="258">
        <v>30.7</v>
      </c>
      <c r="L102" s="245"/>
      <c r="M102" s="231"/>
      <c r="N102" s="245"/>
      <c r="O102" s="275"/>
      <c r="P102" s="284">
        <v>101</v>
      </c>
      <c r="Q102" s="261">
        <v>0</v>
      </c>
      <c r="R102" s="654">
        <v>0</v>
      </c>
      <c r="S102" s="670">
        <v>0</v>
      </c>
      <c r="T102" s="242">
        <v>0</v>
      </c>
      <c r="U102" s="483"/>
      <c r="V102" s="298"/>
      <c r="W102" s="394">
        <f t="shared" ref="W102" si="43">(V102*X102)</f>
        <v>0</v>
      </c>
      <c r="X102" s="666"/>
      <c r="Y102" s="622">
        <f>IF(D102&lt;&gt;0,($C103*(1-$V$1))-$D102,0)</f>
        <v>0</v>
      </c>
      <c r="Z102" s="623" t="str">
        <f>IFERROR(IF(C102&lt;&gt;"",$Y$1/(D100/100)*(C102/100),""),"")</f>
        <v/>
      </c>
      <c r="AA102" s="624" t="str">
        <f>IFERROR($AA$1/(D102/100)*(C100/100),"")</f>
        <v/>
      </c>
      <c r="AB102" s="38"/>
      <c r="AC102" s="11"/>
    </row>
    <row r="103" spans="1:29" ht="12.75" hidden="1" customHeight="1">
      <c r="A103" s="552" t="s">
        <v>579</v>
      </c>
      <c r="B103" s="596"/>
      <c r="C103" s="237"/>
      <c r="D103" s="375">
        <v>31</v>
      </c>
      <c r="E103" s="604">
        <v>10000</v>
      </c>
      <c r="F103" s="833"/>
      <c r="G103" s="307"/>
      <c r="H103" s="235"/>
      <c r="I103" s="226"/>
      <c r="J103" s="226"/>
      <c r="K103" s="255">
        <v>31</v>
      </c>
      <c r="L103" s="233"/>
      <c r="M103" s="230"/>
      <c r="N103" s="233"/>
      <c r="O103" s="274"/>
      <c r="P103" s="283">
        <v>102</v>
      </c>
      <c r="Q103" s="260">
        <v>0</v>
      </c>
      <c r="R103" s="644">
        <v>0</v>
      </c>
      <c r="S103" s="669">
        <v>0</v>
      </c>
      <c r="T103" s="243">
        <v>0</v>
      </c>
      <c r="U103" s="482"/>
      <c r="V103" s="297">
        <v>0</v>
      </c>
      <c r="W103" s="395">
        <f>V102*(F102/100)</f>
        <v>0</v>
      </c>
      <c r="X103" s="661"/>
      <c r="Y103" s="491" t="str">
        <f>IFERROR(INT($AA$1/(F102/100)),"")</f>
        <v/>
      </c>
      <c r="Z103" s="625" t="str">
        <f>IFERROR(IF(C103&lt;&gt;"",$Y$1/(D101/100)*(C103/100),""),"")</f>
        <v/>
      </c>
      <c r="AA103" s="626">
        <f>IFERROR($AA$1/(D103/100)*(C101/100),"")</f>
        <v>78387.096774193546</v>
      </c>
      <c r="AB103" s="38"/>
      <c r="AC103" s="11"/>
    </row>
    <row r="104" spans="1:29" ht="12.75" customHeight="1">
      <c r="A104" s="551" t="s">
        <v>580</v>
      </c>
      <c r="B104" s="246">
        <v>1000</v>
      </c>
      <c r="C104" s="301">
        <v>24.001000000000001</v>
      </c>
      <c r="D104" s="253">
        <v>26.1</v>
      </c>
      <c r="E104" s="246">
        <v>2000</v>
      </c>
      <c r="F104" s="836"/>
      <c r="G104" s="308"/>
      <c r="H104" s="238"/>
      <c r="I104" s="227"/>
      <c r="J104" s="227"/>
      <c r="K104" s="258">
        <v>24</v>
      </c>
      <c r="L104" s="245"/>
      <c r="M104" s="231"/>
      <c r="N104" s="245"/>
      <c r="O104" s="275"/>
      <c r="P104" s="284">
        <v>103</v>
      </c>
      <c r="Q104" s="261">
        <v>0</v>
      </c>
      <c r="R104" s="654">
        <v>0</v>
      </c>
      <c r="S104" s="670">
        <v>0</v>
      </c>
      <c r="T104" s="242">
        <v>0</v>
      </c>
      <c r="U104" s="483"/>
      <c r="V104" s="358">
        <v>0</v>
      </c>
      <c r="W104" s="396">
        <f t="shared" ref="W104" si="44">(V104*X104)</f>
        <v>0</v>
      </c>
      <c r="X104" s="663"/>
      <c r="Y104" s="627">
        <f>IF(D104&lt;&gt;0,($C105*(1-$V$1))-$D104,0)</f>
        <v>-1.8800000000000026</v>
      </c>
      <c r="Z104" s="628">
        <f>IFERROR(IF(C104&lt;&gt;"",$Y$1/(D100/100)*(C104/100),""),"")</f>
        <v>97.842093343321537</v>
      </c>
      <c r="AA104" s="629">
        <f>IFERROR($Z$1/(D104/100)*(C100/100),"")</f>
        <v>90268.19923371647</v>
      </c>
      <c r="AB104" s="38"/>
      <c r="AC104" s="11"/>
    </row>
    <row r="105" spans="1:29" ht="12.75" customHeight="1">
      <c r="A105" s="675" t="s">
        <v>581</v>
      </c>
      <c r="B105" s="379">
        <v>100</v>
      </c>
      <c r="C105" s="346">
        <v>24.22</v>
      </c>
      <c r="D105" s="374">
        <v>24.9</v>
      </c>
      <c r="E105" s="599">
        <v>7700</v>
      </c>
      <c r="F105" s="838">
        <v>24.3</v>
      </c>
      <c r="G105" s="355">
        <v>-1.21E-2</v>
      </c>
      <c r="H105" s="347">
        <v>24.35</v>
      </c>
      <c r="I105" s="348">
        <v>25</v>
      </c>
      <c r="J105" s="348">
        <v>24.3</v>
      </c>
      <c r="K105" s="356">
        <v>24.6</v>
      </c>
      <c r="L105" s="343">
        <v>5320</v>
      </c>
      <c r="M105" s="350">
        <v>21700</v>
      </c>
      <c r="N105" s="343">
        <v>30</v>
      </c>
      <c r="O105" s="344">
        <v>45393.702627314815</v>
      </c>
      <c r="P105" s="283">
        <v>104</v>
      </c>
      <c r="Q105" s="345">
        <v>0</v>
      </c>
      <c r="R105" s="652">
        <v>0</v>
      </c>
      <c r="S105" s="668">
        <v>0</v>
      </c>
      <c r="T105" s="351">
        <v>0</v>
      </c>
      <c r="U105" s="482"/>
      <c r="V105" s="359">
        <v>0</v>
      </c>
      <c r="W105" s="399">
        <f>V104*(F104/100)</f>
        <v>0</v>
      </c>
      <c r="X105" s="665"/>
      <c r="Y105" s="492" t="str">
        <f>IFERROR(INT($Z$1/(F104/100)),"")</f>
        <v/>
      </c>
      <c r="Z105" s="630">
        <f>IFERROR(IF(C105&lt;&gt;"",$Y$1/(D101/100)*(C105/100),""),"")</f>
        <v>97.142367419697649</v>
      </c>
      <c r="AA105" s="631">
        <f>IFERROR($Z$1/(D105/100)*(C101/100),"")</f>
        <v>97590.361445783128</v>
      </c>
      <c r="AB105" s="38"/>
    </row>
    <row r="106" spans="1:29" ht="12.75" customHeight="1">
      <c r="A106" s="677" t="s">
        <v>610</v>
      </c>
      <c r="B106" s="246">
        <v>541</v>
      </c>
      <c r="C106" s="301">
        <v>92400</v>
      </c>
      <c r="D106" s="253">
        <v>94990</v>
      </c>
      <c r="E106" s="246">
        <v>446</v>
      </c>
      <c r="F106" s="834">
        <v>93430</v>
      </c>
      <c r="G106" s="305">
        <v>4.5999999999999999E-3</v>
      </c>
      <c r="H106" s="236">
        <v>93330</v>
      </c>
      <c r="I106" s="228">
        <v>94990</v>
      </c>
      <c r="J106" s="228">
        <v>92000</v>
      </c>
      <c r="K106" s="257">
        <v>93000</v>
      </c>
      <c r="L106" s="249">
        <v>27902072</v>
      </c>
      <c r="M106" s="232">
        <v>29898</v>
      </c>
      <c r="N106" s="249">
        <v>52</v>
      </c>
      <c r="O106" s="273">
        <v>45393.625798611109</v>
      </c>
      <c r="P106" s="284">
        <v>105</v>
      </c>
      <c r="Q106" s="262">
        <v>0</v>
      </c>
      <c r="R106" s="645">
        <v>0</v>
      </c>
      <c r="S106" s="667">
        <v>0</v>
      </c>
      <c r="T106" s="244">
        <v>0</v>
      </c>
      <c r="U106" s="483"/>
      <c r="V106" s="361"/>
      <c r="W106" s="398">
        <f t="shared" ref="W106" si="45">(V106*X106)</f>
        <v>0</v>
      </c>
      <c r="X106" s="666"/>
      <c r="Y106" s="614">
        <f>IF(D106&lt;&gt;0,($C107*(1-$V$1))-$D106,0)</f>
        <v>-690</v>
      </c>
      <c r="Z106" s="632"/>
      <c r="AA106" s="619"/>
      <c r="AB106" s="38"/>
    </row>
    <row r="107" spans="1:29" ht="12.75" customHeight="1">
      <c r="A107" s="552" t="s">
        <v>611</v>
      </c>
      <c r="B107" s="596">
        <v>2926</v>
      </c>
      <c r="C107" s="237">
        <v>94300</v>
      </c>
      <c r="D107" s="375">
        <v>94900</v>
      </c>
      <c r="E107" s="604">
        <v>77072</v>
      </c>
      <c r="F107" s="835">
        <v>94900</v>
      </c>
      <c r="G107" s="307">
        <v>1.6799999999999999E-2</v>
      </c>
      <c r="H107" s="235">
        <v>94000</v>
      </c>
      <c r="I107" s="226">
        <v>94900</v>
      </c>
      <c r="J107" s="226">
        <v>90500</v>
      </c>
      <c r="K107" s="255">
        <v>93330</v>
      </c>
      <c r="L107" s="233">
        <v>459607687</v>
      </c>
      <c r="M107" s="230">
        <v>488686</v>
      </c>
      <c r="N107" s="233">
        <v>278</v>
      </c>
      <c r="O107" s="274">
        <v>45393.708402777775</v>
      </c>
      <c r="P107" s="283">
        <v>106</v>
      </c>
      <c r="Q107" s="260">
        <v>0</v>
      </c>
      <c r="R107" s="644">
        <v>0</v>
      </c>
      <c r="S107" s="669">
        <v>0</v>
      </c>
      <c r="T107" s="243">
        <v>0</v>
      </c>
      <c r="U107" s="482"/>
      <c r="V107" s="360">
        <v>0</v>
      </c>
      <c r="W107" s="393">
        <f>V106*(F106/100)</f>
        <v>0</v>
      </c>
      <c r="X107" s="661"/>
      <c r="Y107" s="490">
        <f>IFERROR(INT($Y$1/(F106/100)),"")</f>
        <v>106</v>
      </c>
      <c r="Z107" s="620"/>
      <c r="AA107" s="621"/>
      <c r="AB107" s="38"/>
    </row>
    <row r="108" spans="1:29" ht="12.75" hidden="1" customHeight="1">
      <c r="A108" s="551" t="s">
        <v>612</v>
      </c>
      <c r="B108" s="246">
        <v>50000</v>
      </c>
      <c r="C108" s="301">
        <v>89.75</v>
      </c>
      <c r="D108" s="253"/>
      <c r="E108" s="246"/>
      <c r="F108" s="832"/>
      <c r="G108" s="308"/>
      <c r="H108" s="238"/>
      <c r="I108" s="227"/>
      <c r="J108" s="227"/>
      <c r="K108" s="258">
        <v>89.83</v>
      </c>
      <c r="L108" s="245"/>
      <c r="M108" s="231"/>
      <c r="N108" s="245"/>
      <c r="O108" s="275"/>
      <c r="P108" s="284">
        <v>107</v>
      </c>
      <c r="Q108" s="261">
        <v>0</v>
      </c>
      <c r="R108" s="654">
        <v>0</v>
      </c>
      <c r="S108" s="670">
        <v>0</v>
      </c>
      <c r="T108" s="242">
        <v>0</v>
      </c>
      <c r="U108" s="483"/>
      <c r="V108" s="298"/>
      <c r="W108" s="394">
        <f t="shared" ref="W108" si="46">(V108*X108)</f>
        <v>0</v>
      </c>
      <c r="X108" s="666"/>
      <c r="Y108" s="622">
        <f>IF(D108&lt;&gt;0,($C109*(1-$V$1))-$D108,0)</f>
        <v>0</v>
      </c>
      <c r="Z108" s="623">
        <f>IFERROR(IF(C108&lt;&gt;"",$Y$1/(D106/100)*(C108/100),""),"")</f>
        <v>93.981591439962514</v>
      </c>
      <c r="AA108" s="624" t="str">
        <f>IFERROR($AA$1/(D108/100)*(C106/100),"")</f>
        <v/>
      </c>
      <c r="AB108" s="38"/>
    </row>
    <row r="109" spans="1:29" ht="12.75" hidden="1" customHeight="1">
      <c r="A109" s="552" t="s">
        <v>613</v>
      </c>
      <c r="B109" s="596">
        <v>50000</v>
      </c>
      <c r="C109" s="237">
        <v>89.75</v>
      </c>
      <c r="D109" s="375">
        <v>90.25</v>
      </c>
      <c r="E109" s="604">
        <v>25273</v>
      </c>
      <c r="F109" s="833">
        <v>90.1</v>
      </c>
      <c r="G109" s="307">
        <v>9.4999999999999998E-3</v>
      </c>
      <c r="H109" s="235">
        <v>87.66</v>
      </c>
      <c r="I109" s="226">
        <v>90.25</v>
      </c>
      <c r="J109" s="226">
        <v>87.66</v>
      </c>
      <c r="K109" s="255">
        <v>89.25</v>
      </c>
      <c r="L109" s="233">
        <v>1512291</v>
      </c>
      <c r="M109" s="230">
        <v>1687034</v>
      </c>
      <c r="N109" s="233">
        <v>135</v>
      </c>
      <c r="O109" s="274">
        <v>45393.698773148149</v>
      </c>
      <c r="P109" s="283">
        <v>108</v>
      </c>
      <c r="Q109" s="260">
        <v>0</v>
      </c>
      <c r="R109" s="644">
        <v>0</v>
      </c>
      <c r="S109" s="669">
        <v>0</v>
      </c>
      <c r="T109" s="243">
        <v>0</v>
      </c>
      <c r="U109" s="482"/>
      <c r="V109" s="297">
        <v>0</v>
      </c>
      <c r="W109" s="395">
        <f>V108*(F108/100)</f>
        <v>0</v>
      </c>
      <c r="X109" s="661"/>
      <c r="Y109" s="491" t="str">
        <f>IFERROR(INT($AA$1/(F108/100)),"")</f>
        <v/>
      </c>
      <c r="Z109" s="625">
        <f>IFERROR(IF(C109&lt;&gt;"",$Y$1/(D107/100)*(C109/100),""),"")</f>
        <v>94.07072045186554</v>
      </c>
      <c r="AA109" s="626">
        <f>IFERROR($AA$1/(D109/100)*(C107/100),"")</f>
        <v>104487.53462603879</v>
      </c>
      <c r="AB109" s="38"/>
    </row>
    <row r="110" spans="1:29" ht="12.75" customHeight="1">
      <c r="A110" s="551" t="s">
        <v>614</v>
      </c>
      <c r="B110" s="246">
        <v>14392</v>
      </c>
      <c r="C110" s="301">
        <v>94.15</v>
      </c>
      <c r="D110" s="253">
        <v>95.79</v>
      </c>
      <c r="E110" s="246">
        <v>448</v>
      </c>
      <c r="F110" s="836">
        <v>93.45</v>
      </c>
      <c r="G110" s="308">
        <v>1.6299999999999999E-2</v>
      </c>
      <c r="H110" s="238">
        <v>96</v>
      </c>
      <c r="I110" s="227">
        <v>96</v>
      </c>
      <c r="J110" s="227">
        <v>90.16</v>
      </c>
      <c r="K110" s="258">
        <v>91.95</v>
      </c>
      <c r="L110" s="245">
        <v>1226</v>
      </c>
      <c r="M110" s="231">
        <v>1310</v>
      </c>
      <c r="N110" s="245">
        <v>4</v>
      </c>
      <c r="O110" s="275">
        <v>45393.521793981483</v>
      </c>
      <c r="P110" s="284">
        <v>109</v>
      </c>
      <c r="Q110" s="261">
        <v>0</v>
      </c>
      <c r="R110" s="654">
        <v>0</v>
      </c>
      <c r="S110" s="670">
        <v>0</v>
      </c>
      <c r="T110" s="242">
        <v>0</v>
      </c>
      <c r="U110" s="483"/>
      <c r="V110" s="358">
        <v>0</v>
      </c>
      <c r="W110" s="396">
        <f t="shared" ref="W110" si="47">(V110*X110)</f>
        <v>0</v>
      </c>
      <c r="X110" s="663"/>
      <c r="Y110" s="627">
        <f>IF(D110&lt;&gt;0,($C111*(1-$V$1))-$D110,0)</f>
        <v>-2.7800000000000011</v>
      </c>
      <c r="Z110" s="628">
        <f>IFERROR(IF(C110&lt;&gt;"",$Y$1/(D106/100)*(C110/100),""),"")</f>
        <v>98.589045504985748</v>
      </c>
      <c r="AA110" s="629">
        <f>IFERROR($Z$1/(D110/100)*(C106/100),"")</f>
        <v>96461.008455997478</v>
      </c>
      <c r="AB110" s="38"/>
    </row>
    <row r="111" spans="1:29" ht="12.75" customHeight="1">
      <c r="A111" s="675" t="s">
        <v>615</v>
      </c>
      <c r="B111" s="379">
        <v>5</v>
      </c>
      <c r="C111" s="346">
        <v>93.01</v>
      </c>
      <c r="D111" s="374">
        <v>94.75</v>
      </c>
      <c r="E111" s="599">
        <v>360</v>
      </c>
      <c r="F111" s="838">
        <v>94</v>
      </c>
      <c r="G111" s="355">
        <v>2.1600000000000001E-2</v>
      </c>
      <c r="H111" s="347">
        <v>92.5</v>
      </c>
      <c r="I111" s="348">
        <v>96</v>
      </c>
      <c r="J111" s="348">
        <v>92.5</v>
      </c>
      <c r="K111" s="356">
        <v>92.01</v>
      </c>
      <c r="L111" s="343">
        <v>800986</v>
      </c>
      <c r="M111" s="350">
        <v>846960</v>
      </c>
      <c r="N111" s="343">
        <v>173</v>
      </c>
      <c r="O111" s="344">
        <v>45393.693055555559</v>
      </c>
      <c r="P111" s="283">
        <v>110</v>
      </c>
      <c r="Q111" s="345">
        <v>0</v>
      </c>
      <c r="R111" s="652">
        <v>0</v>
      </c>
      <c r="S111" s="668">
        <v>0</v>
      </c>
      <c r="T111" s="351">
        <v>0</v>
      </c>
      <c r="U111" s="482"/>
      <c r="V111" s="359">
        <v>0</v>
      </c>
      <c r="W111" s="399">
        <f>V110*(F110/100)</f>
        <v>0</v>
      </c>
      <c r="X111" s="665"/>
      <c r="Y111" s="492">
        <f>IFERROR(INT($Z$1/(F110/100)),"")</f>
        <v>107</v>
      </c>
      <c r="Z111" s="630">
        <f>IFERROR(IF(C111&lt;&gt;"",$Y$1/(D107/100)*(C111/100),""),"")</f>
        <v>97.487662498362269</v>
      </c>
      <c r="AA111" s="631">
        <f>IFERROR($Z$1/(D111/100)*(C107/100),"")</f>
        <v>99525.065963060682</v>
      </c>
      <c r="AB111" s="38"/>
    </row>
    <row r="112" spans="1:29" ht="12.75" customHeight="1">
      <c r="A112" s="677" t="s">
        <v>547</v>
      </c>
      <c r="B112" s="246">
        <v>482</v>
      </c>
      <c r="C112" s="301">
        <v>51450</v>
      </c>
      <c r="D112" s="253">
        <v>51500</v>
      </c>
      <c r="E112" s="246">
        <v>55</v>
      </c>
      <c r="F112" s="834">
        <v>51450</v>
      </c>
      <c r="G112" s="305">
        <v>-2.8999999999999998E-3</v>
      </c>
      <c r="H112" s="236">
        <v>51450</v>
      </c>
      <c r="I112" s="228">
        <v>51950</v>
      </c>
      <c r="J112" s="228">
        <v>48900</v>
      </c>
      <c r="K112" s="257">
        <v>51600</v>
      </c>
      <c r="L112" s="249">
        <v>258534032</v>
      </c>
      <c r="M112" s="232">
        <v>506255</v>
      </c>
      <c r="N112" s="249">
        <v>630</v>
      </c>
      <c r="O112" s="273">
        <v>45393.6877662037</v>
      </c>
      <c r="P112" s="284">
        <v>111</v>
      </c>
      <c r="Q112" s="262">
        <v>0</v>
      </c>
      <c r="R112" s="645">
        <v>0</v>
      </c>
      <c r="S112" s="667">
        <v>0</v>
      </c>
      <c r="T112" s="244">
        <v>0</v>
      </c>
      <c r="U112" s="483"/>
      <c r="V112" s="361"/>
      <c r="W112" s="398">
        <f t="shared" ref="W112" si="48">(V112*X112)</f>
        <v>0</v>
      </c>
      <c r="X112" s="666"/>
      <c r="Y112" s="614">
        <f>IF(D112&lt;&gt;0,($C113*(1-$V$1))-$D112,0)</f>
        <v>50</v>
      </c>
      <c r="Z112" s="632"/>
      <c r="AA112" s="619"/>
      <c r="AB112" s="38"/>
    </row>
    <row r="113" spans="1:28" ht="12.75" customHeight="1">
      <c r="A113" s="552" t="s">
        <v>183</v>
      </c>
      <c r="B113" s="596">
        <v>5000</v>
      </c>
      <c r="C113" s="237">
        <v>51550</v>
      </c>
      <c r="D113" s="375">
        <v>51600</v>
      </c>
      <c r="E113" s="604">
        <v>4614</v>
      </c>
      <c r="F113" s="835">
        <v>51550</v>
      </c>
      <c r="G113" s="307">
        <v>1.9E-3</v>
      </c>
      <c r="H113" s="235">
        <v>51680</v>
      </c>
      <c r="I113" s="226">
        <v>51990</v>
      </c>
      <c r="J113" s="226">
        <v>50700</v>
      </c>
      <c r="K113" s="255">
        <v>51450</v>
      </c>
      <c r="L113" s="233">
        <v>2369806379</v>
      </c>
      <c r="M113" s="230">
        <v>4598683</v>
      </c>
      <c r="N113" s="233">
        <v>2033</v>
      </c>
      <c r="O113" s="274">
        <v>45393.708379629628</v>
      </c>
      <c r="P113" s="283">
        <v>112</v>
      </c>
      <c r="Q113" s="260">
        <v>0</v>
      </c>
      <c r="R113" s="644">
        <v>0</v>
      </c>
      <c r="S113" s="669">
        <v>0</v>
      </c>
      <c r="T113" s="243">
        <v>0</v>
      </c>
      <c r="U113" s="482"/>
      <c r="V113" s="360">
        <v>0</v>
      </c>
      <c r="W113" s="393">
        <f>V112*(F112/100)</f>
        <v>0</v>
      </c>
      <c r="X113" s="661"/>
      <c r="Y113" s="490">
        <f>IFERROR(INT($Y$1/(F112/100)),"")</f>
        <v>193</v>
      </c>
      <c r="Z113" s="620"/>
      <c r="AA113" s="621"/>
      <c r="AB113" s="38"/>
    </row>
    <row r="114" spans="1:28" ht="12.75" hidden="1" customHeight="1">
      <c r="A114" s="551" t="s">
        <v>548</v>
      </c>
      <c r="B114" s="246"/>
      <c r="C114" s="301"/>
      <c r="D114" s="253"/>
      <c r="E114" s="246"/>
      <c r="F114" s="832"/>
      <c r="G114" s="308"/>
      <c r="H114" s="238"/>
      <c r="I114" s="227"/>
      <c r="J114" s="227"/>
      <c r="K114" s="258">
        <v>38</v>
      </c>
      <c r="L114" s="245"/>
      <c r="M114" s="231"/>
      <c r="N114" s="245"/>
      <c r="O114" s="275"/>
      <c r="P114" s="284">
        <v>113</v>
      </c>
      <c r="Q114" s="261">
        <v>0</v>
      </c>
      <c r="R114" s="654">
        <v>0</v>
      </c>
      <c r="S114" s="670">
        <v>0</v>
      </c>
      <c r="T114" s="242">
        <v>0</v>
      </c>
      <c r="U114" s="483"/>
      <c r="V114" s="298"/>
      <c r="W114" s="394">
        <f t="shared" ref="W114" si="49">(V114*X114)</f>
        <v>0</v>
      </c>
      <c r="X114" s="666"/>
      <c r="Y114" s="622">
        <f>IF(D114&lt;&gt;0,($C115*(1-$V$1))-$D114,0)</f>
        <v>0</v>
      </c>
      <c r="Z114" s="623" t="str">
        <f>IFERROR(IF(C114&lt;&gt;"",$Y$1/(D112/100)*(C114/100),""),"")</f>
        <v/>
      </c>
      <c r="AA114" s="624" t="str">
        <f>IFERROR($AA$1/(D114/100)*(C112/100),"")</f>
        <v/>
      </c>
      <c r="AB114" s="38"/>
    </row>
    <row r="115" spans="1:28" ht="12.75" hidden="1" customHeight="1">
      <c r="A115" s="552" t="s">
        <v>230</v>
      </c>
      <c r="B115" s="596"/>
      <c r="C115" s="237"/>
      <c r="D115" s="375"/>
      <c r="E115" s="604"/>
      <c r="F115" s="833"/>
      <c r="G115" s="307"/>
      <c r="H115" s="235"/>
      <c r="I115" s="226"/>
      <c r="J115" s="226"/>
      <c r="K115" s="255">
        <v>35.875</v>
      </c>
      <c r="L115" s="233"/>
      <c r="M115" s="230"/>
      <c r="N115" s="233"/>
      <c r="O115" s="274"/>
      <c r="P115" s="283">
        <v>114</v>
      </c>
      <c r="Q115" s="260">
        <v>0</v>
      </c>
      <c r="R115" s="644">
        <v>0</v>
      </c>
      <c r="S115" s="669">
        <v>0</v>
      </c>
      <c r="T115" s="243">
        <v>0</v>
      </c>
      <c r="U115" s="482"/>
      <c r="V115" s="297">
        <v>0</v>
      </c>
      <c r="W115" s="395">
        <f>V114*(F114/100)</f>
        <v>0</v>
      </c>
      <c r="X115" s="661"/>
      <c r="Y115" s="491" t="str">
        <f>IFERROR(INT($AA$1/(F114/100)),"")</f>
        <v/>
      </c>
      <c r="Z115" s="625" t="str">
        <f>IFERROR(IF(C115&lt;&gt;"",$Y$1/(D113/100)*(C115/100),""),"")</f>
        <v/>
      </c>
      <c r="AA115" s="626" t="str">
        <f>IFERROR($AA$1/(D115/100)*(C113/100),"")</f>
        <v/>
      </c>
      <c r="AB115" s="38"/>
    </row>
    <row r="116" spans="1:28" ht="12.75" customHeight="1">
      <c r="A116" s="551" t="s">
        <v>549</v>
      </c>
      <c r="B116" s="246">
        <v>56</v>
      </c>
      <c r="C116" s="301">
        <v>51.7</v>
      </c>
      <c r="D116" s="253">
        <v>52.75</v>
      </c>
      <c r="E116" s="246">
        <v>10000</v>
      </c>
      <c r="F116" s="836">
        <v>52.1</v>
      </c>
      <c r="G116" s="308">
        <v>6.7000000000000002E-3</v>
      </c>
      <c r="H116" s="238">
        <v>52</v>
      </c>
      <c r="I116" s="227">
        <v>52.99</v>
      </c>
      <c r="J116" s="227">
        <v>50.5</v>
      </c>
      <c r="K116" s="258">
        <v>51.75</v>
      </c>
      <c r="L116" s="245">
        <v>114486</v>
      </c>
      <c r="M116" s="231">
        <v>221922</v>
      </c>
      <c r="N116" s="245">
        <v>243</v>
      </c>
      <c r="O116" s="275">
        <v>45393.668356481481</v>
      </c>
      <c r="P116" s="284">
        <v>115</v>
      </c>
      <c r="Q116" s="261">
        <v>0</v>
      </c>
      <c r="R116" s="654">
        <v>0</v>
      </c>
      <c r="S116" s="670">
        <v>0</v>
      </c>
      <c r="T116" s="242">
        <v>0</v>
      </c>
      <c r="U116" s="483"/>
      <c r="V116" s="358">
        <v>0</v>
      </c>
      <c r="W116" s="396">
        <f t="shared" ref="W116" si="50">(V116*X116)</f>
        <v>0</v>
      </c>
      <c r="X116" s="663"/>
      <c r="Y116" s="627">
        <f>IF(D116&lt;&gt;0,($C117*(1-$V$1))-$D116,0)</f>
        <v>-1.0499999999999972</v>
      </c>
      <c r="Z116" s="628">
        <f>IFERROR(IF(C116&lt;&gt;"",$Y$1/(D112/100)*(C116/100),""),"")</f>
        <v>99.854936392806664</v>
      </c>
      <c r="AA116" s="629">
        <f>IFERROR($Z$1/(D116/100)*(C112/100),"")</f>
        <v>97535.545023696686</v>
      </c>
      <c r="AB116" s="38"/>
    </row>
    <row r="117" spans="1:28" ht="12.75" customHeight="1">
      <c r="A117" s="675" t="s">
        <v>231</v>
      </c>
      <c r="B117" s="379">
        <v>6707</v>
      </c>
      <c r="C117" s="346">
        <v>51.7</v>
      </c>
      <c r="D117" s="374">
        <v>51.85</v>
      </c>
      <c r="E117" s="599">
        <v>27600</v>
      </c>
      <c r="F117" s="838">
        <v>51.85</v>
      </c>
      <c r="G117" s="355">
        <v>6.7000000000000002E-3</v>
      </c>
      <c r="H117" s="347">
        <v>52</v>
      </c>
      <c r="I117" s="348">
        <v>54</v>
      </c>
      <c r="J117" s="348">
        <v>50.51</v>
      </c>
      <c r="K117" s="356">
        <v>51.5</v>
      </c>
      <c r="L117" s="343">
        <v>429247</v>
      </c>
      <c r="M117" s="350">
        <v>832831</v>
      </c>
      <c r="N117" s="343">
        <v>506</v>
      </c>
      <c r="O117" s="344">
        <v>45393.705590277779</v>
      </c>
      <c r="P117" s="283">
        <v>116</v>
      </c>
      <c r="Q117" s="345">
        <v>0</v>
      </c>
      <c r="R117" s="652">
        <v>0</v>
      </c>
      <c r="S117" s="668">
        <v>0</v>
      </c>
      <c r="T117" s="351">
        <v>0</v>
      </c>
      <c r="U117" s="482"/>
      <c r="V117" s="359">
        <v>0</v>
      </c>
      <c r="W117" s="399">
        <f>V116*(F116/100)</f>
        <v>0</v>
      </c>
      <c r="X117" s="665"/>
      <c r="Y117" s="492">
        <f>IFERROR(INT($Z$1/(F116/100)),"")</f>
        <v>191</v>
      </c>
      <c r="Z117" s="630">
        <f>IFERROR(IF(C117&lt;&gt;"",$Y$1/(D113/100)*(C117/100),""),"")</f>
        <v>99.661419074215942</v>
      </c>
      <c r="AA117" s="631">
        <f>IFERROR($Z$1/(D117/100)*(C113/100),"")</f>
        <v>99421.407907425266</v>
      </c>
      <c r="AB117" s="38"/>
    </row>
    <row r="118" spans="1:28" ht="12.75" customHeight="1">
      <c r="A118" s="677" t="s">
        <v>541</v>
      </c>
      <c r="B118" s="246">
        <v>1382</v>
      </c>
      <c r="C118" s="301">
        <v>57250</v>
      </c>
      <c r="D118" s="253">
        <v>57350</v>
      </c>
      <c r="E118" s="246">
        <v>494</v>
      </c>
      <c r="F118" s="834">
        <v>57350</v>
      </c>
      <c r="G118" s="305">
        <v>9.5999999999999992E-3</v>
      </c>
      <c r="H118" s="236">
        <v>57500</v>
      </c>
      <c r="I118" s="228">
        <v>57600</v>
      </c>
      <c r="J118" s="228">
        <v>55510</v>
      </c>
      <c r="K118" s="257">
        <v>56800</v>
      </c>
      <c r="L118" s="249">
        <v>171158491</v>
      </c>
      <c r="M118" s="232">
        <v>302484</v>
      </c>
      <c r="N118" s="249">
        <v>695</v>
      </c>
      <c r="O118" s="273">
        <v>45393.685347222221</v>
      </c>
      <c r="P118" s="284">
        <v>117</v>
      </c>
      <c r="Q118" s="262">
        <v>0</v>
      </c>
      <c r="R118" s="645">
        <v>0</v>
      </c>
      <c r="S118" s="667">
        <v>0</v>
      </c>
      <c r="T118" s="244">
        <v>0</v>
      </c>
      <c r="U118" s="483"/>
      <c r="V118" s="361"/>
      <c r="W118" s="398">
        <f t="shared" ref="W118" si="51">(V118*X118)</f>
        <v>0</v>
      </c>
      <c r="X118" s="666"/>
      <c r="Y118" s="614">
        <f>IF(D118&lt;&gt;0,($C119*(1-$V$1))-$D118,0)</f>
        <v>290</v>
      </c>
      <c r="Z118" s="632"/>
      <c r="AA118" s="619"/>
      <c r="AB118" s="38"/>
    </row>
    <row r="119" spans="1:28" ht="12.75" customHeight="1">
      <c r="A119" s="552" t="s">
        <v>186</v>
      </c>
      <c r="B119" s="596">
        <v>27</v>
      </c>
      <c r="C119" s="237">
        <v>57640</v>
      </c>
      <c r="D119" s="375">
        <v>57890</v>
      </c>
      <c r="E119" s="604">
        <v>200</v>
      </c>
      <c r="F119" s="835">
        <v>57640</v>
      </c>
      <c r="G119" s="307">
        <v>1.47E-2</v>
      </c>
      <c r="H119" s="235">
        <v>57500</v>
      </c>
      <c r="I119" s="226">
        <v>57880</v>
      </c>
      <c r="J119" s="226">
        <v>56200</v>
      </c>
      <c r="K119" s="255">
        <v>56800</v>
      </c>
      <c r="L119" s="233">
        <v>436524361</v>
      </c>
      <c r="M119" s="230">
        <v>764511</v>
      </c>
      <c r="N119" s="233">
        <v>1353</v>
      </c>
      <c r="O119" s="274">
        <v>45393.708495370367</v>
      </c>
      <c r="P119" s="283">
        <v>118</v>
      </c>
      <c r="Q119" s="260">
        <v>0</v>
      </c>
      <c r="R119" s="644">
        <v>0</v>
      </c>
      <c r="S119" s="669">
        <v>0</v>
      </c>
      <c r="T119" s="243">
        <v>0</v>
      </c>
      <c r="U119" s="482"/>
      <c r="V119" s="360">
        <v>0</v>
      </c>
      <c r="W119" s="393">
        <f>V118*(F118/100)</f>
        <v>0</v>
      </c>
      <c r="X119" s="661"/>
      <c r="Y119" s="490">
        <f>IFERROR(INT($Y$1/(F118/100)),"")</f>
        <v>173</v>
      </c>
      <c r="Z119" s="620"/>
      <c r="AA119" s="621"/>
      <c r="AB119" s="38"/>
    </row>
    <row r="120" spans="1:28" ht="12.75" hidden="1" customHeight="1">
      <c r="A120" s="551" t="s">
        <v>542</v>
      </c>
      <c r="B120" s="246"/>
      <c r="C120" s="301"/>
      <c r="D120" s="253"/>
      <c r="E120" s="246"/>
      <c r="F120" s="832"/>
      <c r="G120" s="308"/>
      <c r="H120" s="238"/>
      <c r="I120" s="227"/>
      <c r="J120" s="227"/>
      <c r="K120" s="258">
        <v>22</v>
      </c>
      <c r="L120" s="245"/>
      <c r="M120" s="231"/>
      <c r="N120" s="245"/>
      <c r="O120" s="275"/>
      <c r="P120" s="284">
        <v>119</v>
      </c>
      <c r="Q120" s="261">
        <v>0</v>
      </c>
      <c r="R120" s="654">
        <v>0</v>
      </c>
      <c r="S120" s="670">
        <v>0</v>
      </c>
      <c r="T120" s="242">
        <v>0</v>
      </c>
      <c r="U120" s="483"/>
      <c r="V120" s="298"/>
      <c r="W120" s="394">
        <f t="shared" ref="W120" si="52">(V120*X120)</f>
        <v>0</v>
      </c>
      <c r="X120" s="666"/>
      <c r="Y120" s="622">
        <f>IF(D120&lt;&gt;0,($C121*(1-$V$1))-$D120,0)</f>
        <v>0</v>
      </c>
      <c r="Z120" s="623" t="str">
        <f>IFERROR(IF(C120&lt;&gt;"",$Y$1/(D118/100)*(C120/100),""),"")</f>
        <v/>
      </c>
      <c r="AA120" s="624" t="str">
        <f>IFERROR($AA$1/(D120/100)*(C118/100),"")</f>
        <v/>
      </c>
      <c r="AB120" s="38"/>
    </row>
    <row r="121" spans="1:28" ht="12.75" hidden="1" customHeight="1">
      <c r="A121" s="552" t="s">
        <v>238</v>
      </c>
      <c r="B121" s="596"/>
      <c r="C121" s="237"/>
      <c r="D121" s="375"/>
      <c r="E121" s="604"/>
      <c r="F121" s="833"/>
      <c r="G121" s="307"/>
      <c r="H121" s="235"/>
      <c r="I121" s="226"/>
      <c r="J121" s="226"/>
      <c r="K121" s="255">
        <v>46.3</v>
      </c>
      <c r="L121" s="233"/>
      <c r="M121" s="230"/>
      <c r="N121" s="233"/>
      <c r="O121" s="274"/>
      <c r="P121" s="283">
        <v>120</v>
      </c>
      <c r="Q121" s="260">
        <v>0</v>
      </c>
      <c r="R121" s="644">
        <v>0</v>
      </c>
      <c r="S121" s="669">
        <v>0</v>
      </c>
      <c r="T121" s="243">
        <v>0</v>
      </c>
      <c r="U121" s="482"/>
      <c r="V121" s="297">
        <v>0</v>
      </c>
      <c r="W121" s="395">
        <f>V120*(F120/100)</f>
        <v>0</v>
      </c>
      <c r="X121" s="661"/>
      <c r="Y121" s="491" t="str">
        <f>IFERROR(INT($AA$1/(F120/100)),"")</f>
        <v/>
      </c>
      <c r="Z121" s="625" t="str">
        <f>IFERROR(IF(C121&lt;&gt;"",$Y$1/(D119/100)*(C121/100),""),"")</f>
        <v/>
      </c>
      <c r="AA121" s="626" t="str">
        <f>IFERROR($AA$1/(D121/100)*(C119/100),"")</f>
        <v/>
      </c>
      <c r="AB121" s="38"/>
    </row>
    <row r="122" spans="1:28" ht="12.75" customHeight="1">
      <c r="A122" s="551" t="s">
        <v>543</v>
      </c>
      <c r="B122" s="246">
        <v>2375</v>
      </c>
      <c r="C122" s="301">
        <v>57.5</v>
      </c>
      <c r="D122" s="253">
        <v>57.85</v>
      </c>
      <c r="E122" s="246">
        <v>150</v>
      </c>
      <c r="F122" s="836">
        <v>57.5</v>
      </c>
      <c r="G122" s="308">
        <v>8.6999999999999994E-3</v>
      </c>
      <c r="H122" s="238">
        <v>57</v>
      </c>
      <c r="I122" s="227">
        <v>58</v>
      </c>
      <c r="J122" s="227">
        <v>55.5</v>
      </c>
      <c r="K122" s="258">
        <v>57</v>
      </c>
      <c r="L122" s="245">
        <v>370022</v>
      </c>
      <c r="M122" s="231">
        <v>654749</v>
      </c>
      <c r="N122" s="245">
        <v>589</v>
      </c>
      <c r="O122" s="275">
        <v>45393.687719907408</v>
      </c>
      <c r="P122" s="284">
        <v>121</v>
      </c>
      <c r="Q122" s="261">
        <v>0</v>
      </c>
      <c r="R122" s="654">
        <v>0</v>
      </c>
      <c r="S122" s="670">
        <v>0</v>
      </c>
      <c r="T122" s="242">
        <v>0</v>
      </c>
      <c r="U122" s="483"/>
      <c r="V122" s="358"/>
      <c r="W122" s="396">
        <f t="shared" ref="W122" si="53">(V122*X122)</f>
        <v>0</v>
      </c>
      <c r="X122" s="663"/>
      <c r="Y122" s="627">
        <f>IF(D122&lt;&gt;0,($C123*(1-$V$1))-$D122,0)</f>
        <v>-0.25</v>
      </c>
      <c r="Z122" s="628">
        <f>IFERROR(IF(C122&lt;&gt;"",$Y$1/(D118/100)*(C122/100),""),"")</f>
        <v>99.72881249148773</v>
      </c>
      <c r="AA122" s="629">
        <f>IFERROR($Z$1/(D122/100)*(C118/100),"")</f>
        <v>98962.834917891101</v>
      </c>
      <c r="AB122" s="38"/>
    </row>
    <row r="123" spans="1:28" ht="12.75" customHeight="1">
      <c r="A123" s="675" t="s">
        <v>239</v>
      </c>
      <c r="B123" s="379">
        <v>4393</v>
      </c>
      <c r="C123" s="346">
        <v>57.6</v>
      </c>
      <c r="D123" s="374">
        <v>57.85</v>
      </c>
      <c r="E123" s="599">
        <v>85337</v>
      </c>
      <c r="F123" s="838">
        <v>57.85</v>
      </c>
      <c r="G123" s="355">
        <v>1.84E-2</v>
      </c>
      <c r="H123" s="347">
        <v>57</v>
      </c>
      <c r="I123" s="348">
        <v>58.98</v>
      </c>
      <c r="J123" s="348">
        <v>55.7</v>
      </c>
      <c r="K123" s="356">
        <v>56.8</v>
      </c>
      <c r="L123" s="343">
        <v>228184</v>
      </c>
      <c r="M123" s="350">
        <v>401810</v>
      </c>
      <c r="N123" s="343">
        <v>513</v>
      </c>
      <c r="O123" s="344">
        <v>45393.704340277778</v>
      </c>
      <c r="P123" s="283">
        <v>122</v>
      </c>
      <c r="Q123" s="345">
        <v>0</v>
      </c>
      <c r="R123" s="652">
        <v>0</v>
      </c>
      <c r="S123" s="668">
        <v>0</v>
      </c>
      <c r="T123" s="351">
        <v>0</v>
      </c>
      <c r="U123" s="482"/>
      <c r="V123" s="359">
        <v>0</v>
      </c>
      <c r="W123" s="400">
        <f>V122*(F122/100)</f>
        <v>0</v>
      </c>
      <c r="X123" s="665"/>
      <c r="Y123" s="492">
        <f>IFERROR(INT($Z$1/(F122/100)),"")</f>
        <v>173</v>
      </c>
      <c r="Z123" s="630">
        <f>IFERROR(IF(C123&lt;&gt;"",$Y$1/(D119/100)*(C123/100),""),"")</f>
        <v>98.970362090585894</v>
      </c>
      <c r="AA123" s="631">
        <f>IFERROR($Z$1/(D123/100)*(C119/100),"")</f>
        <v>99636.992221261884</v>
      </c>
      <c r="AB123" s="38"/>
    </row>
    <row r="124" spans="1:28" ht="12.75" customHeight="1">
      <c r="A124" s="677" t="s">
        <v>544</v>
      </c>
      <c r="B124" s="246">
        <v>921</v>
      </c>
      <c r="C124" s="301">
        <v>47990</v>
      </c>
      <c r="D124" s="253">
        <v>48000</v>
      </c>
      <c r="E124" s="246">
        <v>996</v>
      </c>
      <c r="F124" s="834">
        <v>47990</v>
      </c>
      <c r="G124" s="305">
        <v>6.0000000000000001E-3</v>
      </c>
      <c r="H124" s="236">
        <v>48000</v>
      </c>
      <c r="I124" s="228">
        <v>48600</v>
      </c>
      <c r="J124" s="228">
        <v>45000</v>
      </c>
      <c r="K124" s="257">
        <v>47700</v>
      </c>
      <c r="L124" s="249">
        <v>571492418</v>
      </c>
      <c r="M124" s="232">
        <v>1207197</v>
      </c>
      <c r="N124" s="249">
        <v>1447</v>
      </c>
      <c r="O124" s="273">
        <v>45393.687569444446</v>
      </c>
      <c r="P124" s="284">
        <v>123</v>
      </c>
      <c r="Q124" s="262">
        <v>0</v>
      </c>
      <c r="R124" s="645">
        <v>0</v>
      </c>
      <c r="S124" s="667">
        <v>0</v>
      </c>
      <c r="T124" s="244">
        <v>0</v>
      </c>
      <c r="U124" s="483"/>
      <c r="V124" s="361"/>
      <c r="W124" s="398">
        <f t="shared" ref="W124" si="54">(V124*X124)</f>
        <v>0</v>
      </c>
      <c r="X124" s="666"/>
      <c r="Y124" s="614">
        <f>IF(D124&lt;&gt;0,($C125*(1-$V$1))-$D124,0)</f>
        <v>-200</v>
      </c>
      <c r="Z124" s="632"/>
      <c r="AA124" s="619"/>
      <c r="AB124" s="38"/>
    </row>
    <row r="125" spans="1:28" ht="12.75" customHeight="1">
      <c r="A125" s="552" t="s">
        <v>184</v>
      </c>
      <c r="B125" s="596">
        <v>42536</v>
      </c>
      <c r="C125" s="237">
        <v>47800</v>
      </c>
      <c r="D125" s="375">
        <v>47850</v>
      </c>
      <c r="E125" s="604">
        <v>21386</v>
      </c>
      <c r="F125" s="835">
        <v>47850</v>
      </c>
      <c r="G125" s="307">
        <v>8.6E-3</v>
      </c>
      <c r="H125" s="235">
        <v>47440</v>
      </c>
      <c r="I125" s="226">
        <v>49570</v>
      </c>
      <c r="J125" s="226">
        <v>46695</v>
      </c>
      <c r="K125" s="255">
        <v>47440</v>
      </c>
      <c r="L125" s="233">
        <v>4243149036</v>
      </c>
      <c r="M125" s="230">
        <v>8912552</v>
      </c>
      <c r="N125" s="233">
        <v>4279</v>
      </c>
      <c r="O125" s="274">
        <v>45393.708634259259</v>
      </c>
      <c r="P125" s="283">
        <v>124</v>
      </c>
      <c r="Q125" s="260">
        <v>0</v>
      </c>
      <c r="R125" s="644">
        <v>0</v>
      </c>
      <c r="S125" s="669">
        <v>0</v>
      </c>
      <c r="T125" s="243">
        <v>0</v>
      </c>
      <c r="U125" s="482"/>
      <c r="V125" s="360">
        <v>0</v>
      </c>
      <c r="W125" s="393">
        <f>V124*(F124/100)</f>
        <v>0</v>
      </c>
      <c r="X125" s="661"/>
      <c r="Y125" s="490">
        <f>IFERROR(INT($Y$1/(F124/100)),"")</f>
        <v>207</v>
      </c>
      <c r="Z125" s="620"/>
      <c r="AA125" s="621"/>
      <c r="AB125" s="38"/>
    </row>
    <row r="126" spans="1:28" ht="12.75" hidden="1" customHeight="1">
      <c r="A126" s="551" t="s">
        <v>545</v>
      </c>
      <c r="B126" s="246"/>
      <c r="C126" s="301"/>
      <c r="D126" s="253"/>
      <c r="E126" s="246"/>
      <c r="F126" s="832"/>
      <c r="G126" s="308"/>
      <c r="H126" s="238"/>
      <c r="I126" s="227"/>
      <c r="J126" s="227"/>
      <c r="K126" s="258">
        <v>36</v>
      </c>
      <c r="L126" s="245"/>
      <c r="M126" s="231"/>
      <c r="N126" s="245"/>
      <c r="O126" s="275"/>
      <c r="P126" s="284">
        <v>125</v>
      </c>
      <c r="Q126" s="261">
        <v>0</v>
      </c>
      <c r="R126" s="654">
        <v>0</v>
      </c>
      <c r="S126" s="670">
        <v>0</v>
      </c>
      <c r="T126" s="242">
        <v>0</v>
      </c>
      <c r="U126" s="483"/>
      <c r="V126" s="298"/>
      <c r="W126" s="394">
        <f t="shared" ref="W126" si="55">(V126*X126)</f>
        <v>0</v>
      </c>
      <c r="X126" s="666"/>
      <c r="Y126" s="622">
        <f>IF(D126&lt;&gt;0,($C127*(1-$V$1))-$D126,0)</f>
        <v>0</v>
      </c>
      <c r="Z126" s="623" t="str">
        <f>IFERROR(IF(C126&lt;&gt;"",$Y$1/(D124/100)*(C126/100),""),"")</f>
        <v/>
      </c>
      <c r="AA126" s="624" t="str">
        <f>IFERROR($AA$1/(D126/100)*(C124/100),"")</f>
        <v/>
      </c>
      <c r="AB126" s="38"/>
    </row>
    <row r="127" spans="1:28" ht="12.75" hidden="1" customHeight="1">
      <c r="A127" s="552" t="s">
        <v>240</v>
      </c>
      <c r="B127" s="596"/>
      <c r="C127" s="237"/>
      <c r="D127" s="375"/>
      <c r="E127" s="604"/>
      <c r="F127" s="833"/>
      <c r="G127" s="307"/>
      <c r="H127" s="235"/>
      <c r="I127" s="226"/>
      <c r="J127" s="226"/>
      <c r="K127" s="255">
        <v>32.188000000000002</v>
      </c>
      <c r="L127" s="233"/>
      <c r="M127" s="230"/>
      <c r="N127" s="233"/>
      <c r="O127" s="274"/>
      <c r="P127" s="283">
        <v>126</v>
      </c>
      <c r="Q127" s="260">
        <v>0</v>
      </c>
      <c r="R127" s="644">
        <v>0</v>
      </c>
      <c r="S127" s="669">
        <v>0</v>
      </c>
      <c r="T127" s="243">
        <v>0</v>
      </c>
      <c r="U127" s="482"/>
      <c r="V127" s="297">
        <v>0</v>
      </c>
      <c r="W127" s="395">
        <f>V126*(F126/100)</f>
        <v>0</v>
      </c>
      <c r="X127" s="661"/>
      <c r="Y127" s="491" t="str">
        <f>IFERROR(INT($AA$1/(F126/100)),"")</f>
        <v/>
      </c>
      <c r="Z127" s="625" t="str">
        <f>IFERROR(IF(C127&lt;&gt;"",$Y$1/(D125/100)*(C127/100),""),"")</f>
        <v/>
      </c>
      <c r="AA127" s="626" t="str">
        <f>IFERROR($AA$1/(D127/100)*(C125/100),"")</f>
        <v/>
      </c>
      <c r="AB127" s="38"/>
    </row>
    <row r="128" spans="1:28" ht="12.75" customHeight="1">
      <c r="A128" s="551" t="s">
        <v>546</v>
      </c>
      <c r="B128" s="246">
        <v>2172</v>
      </c>
      <c r="C128" s="301">
        <v>47.68</v>
      </c>
      <c r="D128" s="253">
        <v>48.25</v>
      </c>
      <c r="E128" s="246">
        <v>177901</v>
      </c>
      <c r="F128" s="836">
        <v>48</v>
      </c>
      <c r="G128" s="308">
        <v>-2E-3</v>
      </c>
      <c r="H128" s="238">
        <v>48.999000000000002</v>
      </c>
      <c r="I128" s="227">
        <v>48.999000000000002</v>
      </c>
      <c r="J128" s="227">
        <v>46.5</v>
      </c>
      <c r="K128" s="258">
        <v>48.1</v>
      </c>
      <c r="L128" s="245">
        <v>484013</v>
      </c>
      <c r="M128" s="231">
        <v>1019625</v>
      </c>
      <c r="N128" s="245">
        <v>621</v>
      </c>
      <c r="O128" s="275">
        <v>45393.687569444446</v>
      </c>
      <c r="P128" s="284">
        <v>127</v>
      </c>
      <c r="Q128" s="261">
        <v>0</v>
      </c>
      <c r="R128" s="654">
        <v>0</v>
      </c>
      <c r="S128" s="670">
        <v>0</v>
      </c>
      <c r="T128" s="242">
        <v>0</v>
      </c>
      <c r="U128" s="483"/>
      <c r="V128" s="358">
        <v>0</v>
      </c>
      <c r="W128" s="396">
        <f t="shared" ref="W128" si="56">(V128*X128)</f>
        <v>0</v>
      </c>
      <c r="X128" s="663"/>
      <c r="Y128" s="627">
        <f>IF(D128&lt;&gt;0,($C129*(1-$V$1))-$D128,0)</f>
        <v>-0.39999999999999858</v>
      </c>
      <c r="Z128" s="628">
        <f>IFERROR(IF(C128&lt;&gt;"",$Y$1/(D124/100)*(C128/100),""),"")</f>
        <v>98.805526036131766</v>
      </c>
      <c r="AA128" s="629">
        <f>IFERROR($Z$1/(D128/100)*(C124/100),"")</f>
        <v>99461.139896373046</v>
      </c>
      <c r="AB128" s="38"/>
    </row>
    <row r="129" spans="1:28" ht="12.75" customHeight="1">
      <c r="A129" s="675" t="s">
        <v>241</v>
      </c>
      <c r="B129" s="379">
        <v>2946</v>
      </c>
      <c r="C129" s="346">
        <v>47.85</v>
      </c>
      <c r="D129" s="374">
        <v>47.93</v>
      </c>
      <c r="E129" s="599">
        <v>2500</v>
      </c>
      <c r="F129" s="838">
        <v>47.93</v>
      </c>
      <c r="G129" s="355">
        <v>4.7999999999999996E-3</v>
      </c>
      <c r="H129" s="347">
        <v>48.8</v>
      </c>
      <c r="I129" s="348">
        <v>48.8</v>
      </c>
      <c r="J129" s="348">
        <v>46.51</v>
      </c>
      <c r="K129" s="356">
        <v>47.7</v>
      </c>
      <c r="L129" s="343">
        <v>2172782</v>
      </c>
      <c r="M129" s="350">
        <v>4573254</v>
      </c>
      <c r="N129" s="343">
        <v>1307</v>
      </c>
      <c r="O129" s="344">
        <v>45393.708449074074</v>
      </c>
      <c r="P129" s="283">
        <v>128</v>
      </c>
      <c r="Q129" s="345">
        <v>0</v>
      </c>
      <c r="R129" s="652">
        <v>0</v>
      </c>
      <c r="S129" s="668">
        <v>0</v>
      </c>
      <c r="T129" s="351">
        <v>0</v>
      </c>
      <c r="U129" s="482"/>
      <c r="V129" s="359">
        <v>0</v>
      </c>
      <c r="W129" s="399">
        <f>V128*(F128/100)</f>
        <v>0</v>
      </c>
      <c r="X129" s="665"/>
      <c r="Y129" s="492">
        <f>IFERROR(INT($Z$1/(F128/100)),"")</f>
        <v>208</v>
      </c>
      <c r="Z129" s="630">
        <f>IFERROR(IF(C129&lt;&gt;"",$Y$1/(D125/100)*(C129/100),""),"")</f>
        <v>99.468650371944747</v>
      </c>
      <c r="AA129" s="631">
        <f>IFERROR($Z$1/(D129/100)*(C125/100),"")</f>
        <v>99728.771124556646</v>
      </c>
      <c r="AB129" s="38"/>
    </row>
    <row r="130" spans="1:28" ht="12.75" customHeight="1">
      <c r="A130" s="677" t="s">
        <v>550</v>
      </c>
      <c r="B130" s="246">
        <v>250</v>
      </c>
      <c r="C130" s="301">
        <v>43450</v>
      </c>
      <c r="D130" s="253">
        <v>43490</v>
      </c>
      <c r="E130" s="246">
        <v>25000</v>
      </c>
      <c r="F130" s="834">
        <v>43490</v>
      </c>
      <c r="G130" s="305">
        <v>2.7000000000000001E-3</v>
      </c>
      <c r="H130" s="236">
        <v>43375</v>
      </c>
      <c r="I130" s="228">
        <v>44000</v>
      </c>
      <c r="J130" s="228">
        <v>42000</v>
      </c>
      <c r="K130" s="257">
        <v>43370</v>
      </c>
      <c r="L130" s="249">
        <v>110268614</v>
      </c>
      <c r="M130" s="232">
        <v>254610</v>
      </c>
      <c r="N130" s="249">
        <v>437</v>
      </c>
      <c r="O130" s="273">
        <v>45393.684837962966</v>
      </c>
      <c r="P130" s="284">
        <v>129</v>
      </c>
      <c r="Q130" s="262">
        <v>0</v>
      </c>
      <c r="R130" s="645">
        <v>0</v>
      </c>
      <c r="S130" s="667">
        <v>0</v>
      </c>
      <c r="T130" s="244">
        <v>0</v>
      </c>
      <c r="U130" s="483"/>
      <c r="V130" s="361"/>
      <c r="W130" s="398">
        <f t="shared" ref="W130" si="57">(V130*X130)</f>
        <v>0</v>
      </c>
      <c r="X130" s="666"/>
      <c r="Y130" s="614">
        <f>IF(D130&lt;&gt;0,($C131*(1-$V$1))-$D130,0)</f>
        <v>210</v>
      </c>
      <c r="Z130" s="632"/>
      <c r="AA130" s="619"/>
      <c r="AB130" s="38"/>
    </row>
    <row r="131" spans="1:28" ht="12.75" customHeight="1">
      <c r="A131" s="552" t="s">
        <v>185</v>
      </c>
      <c r="B131" s="596">
        <v>1899</v>
      </c>
      <c r="C131" s="237">
        <v>43700</v>
      </c>
      <c r="D131" s="375">
        <v>43500</v>
      </c>
      <c r="E131" s="604">
        <v>4655</v>
      </c>
      <c r="F131" s="835">
        <v>43500</v>
      </c>
      <c r="G131" s="307">
        <v>4.5999999999999999E-3</v>
      </c>
      <c r="H131" s="235">
        <v>44500</v>
      </c>
      <c r="I131" s="226">
        <v>44500</v>
      </c>
      <c r="J131" s="226">
        <v>42200</v>
      </c>
      <c r="K131" s="255">
        <v>43300</v>
      </c>
      <c r="L131" s="233">
        <v>542596276</v>
      </c>
      <c r="M131" s="230">
        <v>1249110</v>
      </c>
      <c r="N131" s="233">
        <v>1352</v>
      </c>
      <c r="O131" s="274">
        <v>45393.708356481482</v>
      </c>
      <c r="P131" s="283">
        <v>130</v>
      </c>
      <c r="Q131" s="260">
        <v>0</v>
      </c>
      <c r="R131" s="644">
        <v>0</v>
      </c>
      <c r="S131" s="669">
        <v>0</v>
      </c>
      <c r="T131" s="243">
        <v>0</v>
      </c>
      <c r="U131" s="482"/>
      <c r="V131" s="360">
        <v>0</v>
      </c>
      <c r="W131" s="393">
        <f>V130*(F130/100)</f>
        <v>0</v>
      </c>
      <c r="X131" s="661"/>
      <c r="Y131" s="490">
        <f>IFERROR(INT($Y$1/(F130/100)),"")</f>
        <v>228</v>
      </c>
      <c r="Z131" s="620"/>
      <c r="AA131" s="621"/>
      <c r="AB131" s="38"/>
    </row>
    <row r="132" spans="1:28" ht="12.75" hidden="1" customHeight="1">
      <c r="A132" s="551" t="s">
        <v>551</v>
      </c>
      <c r="B132" s="246"/>
      <c r="C132" s="301"/>
      <c r="D132" s="253"/>
      <c r="E132" s="246"/>
      <c r="F132" s="832"/>
      <c r="G132" s="308"/>
      <c r="H132" s="238"/>
      <c r="I132" s="227"/>
      <c r="J132" s="227"/>
      <c r="K132" s="258">
        <v>23.22</v>
      </c>
      <c r="L132" s="245"/>
      <c r="M132" s="231"/>
      <c r="N132" s="245"/>
      <c r="O132" s="275"/>
      <c r="P132" s="284">
        <v>131</v>
      </c>
      <c r="Q132" s="261">
        <v>0</v>
      </c>
      <c r="R132" s="654">
        <v>0</v>
      </c>
      <c r="S132" s="670">
        <v>0</v>
      </c>
      <c r="T132" s="242">
        <v>0</v>
      </c>
      <c r="U132" s="483"/>
      <c r="V132" s="298"/>
      <c r="W132" s="394">
        <f t="shared" ref="W132" si="58">(V132*X132)</f>
        <v>0</v>
      </c>
      <c r="X132" s="666"/>
      <c r="Y132" s="622">
        <f>IF(D132&lt;&gt;0,($C133*(1-$V$1))-$D132,0)</f>
        <v>0</v>
      </c>
      <c r="Z132" s="623" t="str">
        <f>IFERROR(IF(C132&lt;&gt;"",$Y$1/(D130/100)*(C132/100),""),"")</f>
        <v/>
      </c>
      <c r="AA132" s="624" t="str">
        <f>IFERROR($AA$1/(D132/100)*(C130/100),"")</f>
        <v/>
      </c>
      <c r="AB132" s="38"/>
    </row>
    <row r="133" spans="1:28" ht="12.75" hidden="1" customHeight="1">
      <c r="A133" s="552" t="s">
        <v>242</v>
      </c>
      <c r="B133" s="596"/>
      <c r="C133" s="237"/>
      <c r="D133" s="375"/>
      <c r="E133" s="604"/>
      <c r="F133" s="833"/>
      <c r="G133" s="307"/>
      <c r="H133" s="235"/>
      <c r="I133" s="226"/>
      <c r="J133" s="226"/>
      <c r="K133" s="255">
        <v>26</v>
      </c>
      <c r="L133" s="233"/>
      <c r="M133" s="230"/>
      <c r="N133" s="233"/>
      <c r="O133" s="274"/>
      <c r="P133" s="283">
        <v>132</v>
      </c>
      <c r="Q133" s="260">
        <v>0</v>
      </c>
      <c r="R133" s="644">
        <v>0</v>
      </c>
      <c r="S133" s="669">
        <v>0</v>
      </c>
      <c r="T133" s="243">
        <v>0</v>
      </c>
      <c r="U133" s="482"/>
      <c r="V133" s="297">
        <v>0</v>
      </c>
      <c r="W133" s="395">
        <f>V132*(F132/100)</f>
        <v>0</v>
      </c>
      <c r="X133" s="661"/>
      <c r="Y133" s="491" t="str">
        <f>IFERROR(INT($AA$1/(F132/100)),"")</f>
        <v/>
      </c>
      <c r="Z133" s="625" t="str">
        <f>IFERROR(IF(C133&lt;&gt;"",$Y$1/(D131/100)*(C133/100),""),"")</f>
        <v/>
      </c>
      <c r="AA133" s="626" t="str">
        <f>IFERROR($AA$1/(D133/100)*(C131/100),"")</f>
        <v/>
      </c>
      <c r="AB133" s="38"/>
    </row>
    <row r="134" spans="1:28" ht="12.75" customHeight="1">
      <c r="A134" s="551" t="s">
        <v>552</v>
      </c>
      <c r="B134" s="246">
        <v>20000</v>
      </c>
      <c r="C134" s="301">
        <v>43.5</v>
      </c>
      <c r="D134" s="253">
        <v>43.46</v>
      </c>
      <c r="E134" s="246">
        <v>1100</v>
      </c>
      <c r="F134" s="836">
        <v>43.5</v>
      </c>
      <c r="G134" s="308">
        <v>-1.0200000000000001E-2</v>
      </c>
      <c r="H134" s="238">
        <v>43.2</v>
      </c>
      <c r="I134" s="227">
        <v>44</v>
      </c>
      <c r="J134" s="227">
        <v>43</v>
      </c>
      <c r="K134" s="258">
        <v>43.95</v>
      </c>
      <c r="L134" s="245">
        <v>232420</v>
      </c>
      <c r="M134" s="231">
        <v>532498</v>
      </c>
      <c r="N134" s="245">
        <v>477</v>
      </c>
      <c r="O134" s="275">
        <v>45393.687708333331</v>
      </c>
      <c r="P134" s="284">
        <v>133</v>
      </c>
      <c r="Q134" s="261">
        <v>0</v>
      </c>
      <c r="R134" s="654">
        <v>0</v>
      </c>
      <c r="S134" s="670">
        <v>0</v>
      </c>
      <c r="T134" s="242">
        <v>0</v>
      </c>
      <c r="U134" s="483"/>
      <c r="V134" s="358">
        <v>0</v>
      </c>
      <c r="W134" s="396">
        <f t="shared" ref="W134" si="59">(V134*X134)</f>
        <v>0</v>
      </c>
      <c r="X134" s="663"/>
      <c r="Y134" s="627">
        <f>IF(D134&lt;&gt;0,($C135*(1-$V$1))-$D134,0)</f>
        <v>3.9999999999999147E-2</v>
      </c>
      <c r="Z134" s="628">
        <f>IFERROR(IF(C134&lt;&gt;"",$Y$1/(D130/100)*(C134/100),""),"")</f>
        <v>99.491521986194442</v>
      </c>
      <c r="AA134" s="629">
        <f>IFERROR($Z$1/(D134/100)*(C130/100),"")</f>
        <v>99976.990335941096</v>
      </c>
      <c r="AB134" s="38"/>
    </row>
    <row r="135" spans="1:28" ht="12.75" customHeight="1">
      <c r="A135" s="675" t="s">
        <v>243</v>
      </c>
      <c r="B135" s="379">
        <v>20011</v>
      </c>
      <c r="C135" s="346">
        <v>43.5</v>
      </c>
      <c r="D135" s="374">
        <v>43.99</v>
      </c>
      <c r="E135" s="599">
        <v>19200</v>
      </c>
      <c r="F135" s="838">
        <v>43.98</v>
      </c>
      <c r="G135" s="355">
        <v>1.1000000000000001E-2</v>
      </c>
      <c r="H135" s="347">
        <v>43.241</v>
      </c>
      <c r="I135" s="348">
        <v>45.2</v>
      </c>
      <c r="J135" s="348">
        <v>42.75</v>
      </c>
      <c r="K135" s="356">
        <v>43.5</v>
      </c>
      <c r="L135" s="343">
        <v>151867</v>
      </c>
      <c r="M135" s="350">
        <v>349037</v>
      </c>
      <c r="N135" s="343">
        <v>319</v>
      </c>
      <c r="O135" s="344">
        <v>45393.700543981482</v>
      </c>
      <c r="P135" s="283">
        <v>134</v>
      </c>
      <c r="Q135" s="345">
        <v>0</v>
      </c>
      <c r="R135" s="652">
        <v>0</v>
      </c>
      <c r="S135" s="668">
        <v>0</v>
      </c>
      <c r="T135" s="351">
        <v>0</v>
      </c>
      <c r="U135" s="482"/>
      <c r="V135" s="359">
        <v>0</v>
      </c>
      <c r="W135" s="399">
        <f>V134*(F134/100)</f>
        <v>0</v>
      </c>
      <c r="X135" s="665"/>
      <c r="Y135" s="492">
        <f>IFERROR(INT($Z$1/(F134/100)),"")</f>
        <v>229</v>
      </c>
      <c r="Z135" s="630">
        <f>IFERROR(IF(C135&lt;&gt;"",$Y$1/(D131/100)*(C135/100),""),"")</f>
        <v>99.468650371944733</v>
      </c>
      <c r="AA135" s="631">
        <f>IFERROR($Z$1/(D135/100)*(C131/100),"")</f>
        <v>99340.759263468979</v>
      </c>
      <c r="AB135" s="38"/>
    </row>
    <row r="136" spans="1:28" ht="12.75" customHeight="1">
      <c r="A136" s="677" t="s">
        <v>553</v>
      </c>
      <c r="B136" s="246">
        <v>82</v>
      </c>
      <c r="C136" s="301">
        <v>60460</v>
      </c>
      <c r="D136" s="253">
        <v>60490</v>
      </c>
      <c r="E136" s="246">
        <v>300</v>
      </c>
      <c r="F136" s="834">
        <v>60480</v>
      </c>
      <c r="G136" s="305">
        <v>2.8999999999999998E-3</v>
      </c>
      <c r="H136" s="236">
        <v>60000</v>
      </c>
      <c r="I136" s="228">
        <v>61000</v>
      </c>
      <c r="J136" s="228">
        <v>59000</v>
      </c>
      <c r="K136" s="257">
        <v>60300</v>
      </c>
      <c r="L136" s="249">
        <v>13154829</v>
      </c>
      <c r="M136" s="232">
        <v>22069</v>
      </c>
      <c r="N136" s="249">
        <v>73</v>
      </c>
      <c r="O136" s="273">
        <v>45393.678020833337</v>
      </c>
      <c r="P136" s="284">
        <v>135</v>
      </c>
      <c r="Q136" s="262">
        <v>0</v>
      </c>
      <c r="R136" s="645">
        <v>0</v>
      </c>
      <c r="S136" s="667">
        <v>0</v>
      </c>
      <c r="T136" s="244">
        <v>0</v>
      </c>
      <c r="U136" s="483"/>
      <c r="V136" s="361"/>
      <c r="W136" s="398">
        <f t="shared" ref="W136" si="60">(V136*X136)</f>
        <v>0</v>
      </c>
      <c r="X136" s="666"/>
      <c r="Y136" s="614">
        <f>IF(D136&lt;&gt;0,($C137*(1-$V$1))-$D136,0)</f>
        <v>-290</v>
      </c>
      <c r="Z136" s="632"/>
      <c r="AA136" s="619"/>
      <c r="AB136" s="38"/>
    </row>
    <row r="137" spans="1:28" ht="12.75" customHeight="1">
      <c r="A137" s="552" t="s">
        <v>187</v>
      </c>
      <c r="B137" s="596">
        <v>10978</v>
      </c>
      <c r="C137" s="237">
        <v>60200</v>
      </c>
      <c r="D137" s="375">
        <v>60550</v>
      </c>
      <c r="E137" s="604">
        <v>1459</v>
      </c>
      <c r="F137" s="835">
        <v>60200</v>
      </c>
      <c r="G137" s="307"/>
      <c r="H137" s="235">
        <v>61000</v>
      </c>
      <c r="I137" s="226">
        <v>61290</v>
      </c>
      <c r="J137" s="226">
        <v>59540</v>
      </c>
      <c r="K137" s="255">
        <v>60200</v>
      </c>
      <c r="L137" s="233">
        <v>52841876</v>
      </c>
      <c r="M137" s="230">
        <v>87718</v>
      </c>
      <c r="N137" s="233">
        <v>207</v>
      </c>
      <c r="O137" s="274">
        <v>45393.704745370371</v>
      </c>
      <c r="P137" s="283">
        <v>136</v>
      </c>
      <c r="Q137" s="260">
        <v>0</v>
      </c>
      <c r="R137" s="644">
        <v>0</v>
      </c>
      <c r="S137" s="669">
        <v>0</v>
      </c>
      <c r="T137" s="243">
        <v>0</v>
      </c>
      <c r="U137" s="482"/>
      <c r="V137" s="360">
        <v>0</v>
      </c>
      <c r="W137" s="393">
        <f>V136*(F136/100)</f>
        <v>0</v>
      </c>
      <c r="X137" s="661"/>
      <c r="Y137" s="490">
        <f>IFERROR(INT($Y$1/(F136/100)),"")</f>
        <v>164</v>
      </c>
      <c r="Z137" s="620"/>
      <c r="AA137" s="621"/>
      <c r="AB137" s="38"/>
    </row>
    <row r="138" spans="1:28" ht="12.75" hidden="1" customHeight="1">
      <c r="A138" s="551" t="s">
        <v>554</v>
      </c>
      <c r="B138" s="246"/>
      <c r="C138" s="301"/>
      <c r="D138" s="253"/>
      <c r="E138" s="246"/>
      <c r="F138" s="832"/>
      <c r="G138" s="308"/>
      <c r="H138" s="238"/>
      <c r="I138" s="227"/>
      <c r="J138" s="227"/>
      <c r="K138" s="258">
        <v>52</v>
      </c>
      <c r="L138" s="245"/>
      <c r="M138" s="231"/>
      <c r="N138" s="245"/>
      <c r="O138" s="275"/>
      <c r="P138" s="284">
        <v>137</v>
      </c>
      <c r="Q138" s="261">
        <v>0</v>
      </c>
      <c r="R138" s="654">
        <v>0</v>
      </c>
      <c r="S138" s="670">
        <v>0</v>
      </c>
      <c r="T138" s="242">
        <v>0</v>
      </c>
      <c r="U138" s="483"/>
      <c r="V138" s="298"/>
      <c r="W138" s="394">
        <f t="shared" ref="W138" si="61">(V138*X138)</f>
        <v>0</v>
      </c>
      <c r="X138" s="666"/>
      <c r="Y138" s="622">
        <f>IF(D138&lt;&gt;0,($C139*(1-$V$1))-$D138,0)</f>
        <v>0</v>
      </c>
      <c r="Z138" s="623" t="str">
        <f>IFERROR(IF(C138&lt;&gt;"",$Y$1/(D136/100)*(C138/100),""),"")</f>
        <v/>
      </c>
      <c r="AA138" s="624" t="str">
        <f>IFERROR($Z$1/(D138/100)*(C136/100),"")</f>
        <v/>
      </c>
      <c r="AB138" s="38"/>
    </row>
    <row r="139" spans="1:28" ht="12.75" hidden="1" customHeight="1">
      <c r="A139" s="552" t="s">
        <v>232</v>
      </c>
      <c r="B139" s="596"/>
      <c r="C139" s="237"/>
      <c r="D139" s="375"/>
      <c r="E139" s="604"/>
      <c r="F139" s="833"/>
      <c r="G139" s="307"/>
      <c r="H139" s="235"/>
      <c r="I139" s="226"/>
      <c r="J139" s="226"/>
      <c r="K139" s="255">
        <v>40</v>
      </c>
      <c r="L139" s="233"/>
      <c r="M139" s="230"/>
      <c r="N139" s="233"/>
      <c r="O139" s="274"/>
      <c r="P139" s="283">
        <v>138</v>
      </c>
      <c r="Q139" s="260">
        <v>0</v>
      </c>
      <c r="R139" s="644">
        <v>0</v>
      </c>
      <c r="S139" s="669">
        <v>0</v>
      </c>
      <c r="T139" s="243">
        <v>0</v>
      </c>
      <c r="U139" s="482"/>
      <c r="V139" s="297">
        <v>0</v>
      </c>
      <c r="W139" s="395">
        <f>V138*(F138/100)</f>
        <v>0</v>
      </c>
      <c r="X139" s="661"/>
      <c r="Y139" s="491" t="str">
        <f>IFERROR(INT($AA$1/(F138/100)),"")</f>
        <v/>
      </c>
      <c r="Z139" s="625" t="str">
        <f>IFERROR(IF(C139&lt;&gt;"",$Y$1/(D137/100)*(C139/100),""),"")</f>
        <v/>
      </c>
      <c r="AA139" s="626" t="str">
        <f>IFERROR($Z$1/(D139/100)*(C137/100),"")</f>
        <v/>
      </c>
      <c r="AB139" s="38"/>
    </row>
    <row r="140" spans="1:28" ht="12.75" customHeight="1">
      <c r="A140" s="551" t="s">
        <v>555</v>
      </c>
      <c r="B140" s="246">
        <v>1591</v>
      </c>
      <c r="C140" s="301">
        <v>60.49</v>
      </c>
      <c r="D140" s="253">
        <v>60.99</v>
      </c>
      <c r="E140" s="246">
        <v>295</v>
      </c>
      <c r="F140" s="836">
        <v>61</v>
      </c>
      <c r="G140" s="308">
        <v>-4.3099999999999999E-2</v>
      </c>
      <c r="H140" s="238">
        <v>59</v>
      </c>
      <c r="I140" s="227">
        <v>61</v>
      </c>
      <c r="J140" s="227">
        <v>59</v>
      </c>
      <c r="K140" s="258">
        <v>63.75</v>
      </c>
      <c r="L140" s="245">
        <v>12105</v>
      </c>
      <c r="M140" s="231">
        <v>20008</v>
      </c>
      <c r="N140" s="245">
        <v>16</v>
      </c>
      <c r="O140" s="275">
        <v>45393.680625000001</v>
      </c>
      <c r="P140" s="284">
        <v>139</v>
      </c>
      <c r="Q140" s="261">
        <v>0</v>
      </c>
      <c r="R140" s="654">
        <v>0</v>
      </c>
      <c r="S140" s="670">
        <v>0</v>
      </c>
      <c r="T140" s="242">
        <v>0</v>
      </c>
      <c r="U140" s="483"/>
      <c r="V140" s="358">
        <v>0</v>
      </c>
      <c r="W140" s="396">
        <f t="shared" ref="W140" si="62">(V140*X140)</f>
        <v>0</v>
      </c>
      <c r="X140" s="663"/>
      <c r="Y140" s="627">
        <f>IF(D140&lt;&gt;0,($C141*(1-$V$1))-$D140,0)</f>
        <v>-0.78999999999999915</v>
      </c>
      <c r="Z140" s="628">
        <f>IFERROR(IF(C140&lt;&gt;"",$Y$1/(D136/100)*(C140/100),""),"")</f>
        <v>99.468650371944733</v>
      </c>
      <c r="AA140" s="629">
        <f>IFERROR($Z$1/(D140/100)*(C136/100),"")</f>
        <v>99131.005082800475</v>
      </c>
      <c r="AB140" s="38"/>
    </row>
    <row r="141" spans="1:28" ht="12.75" customHeight="1">
      <c r="A141" s="675" t="s">
        <v>233</v>
      </c>
      <c r="B141" s="379">
        <v>1460</v>
      </c>
      <c r="C141" s="346">
        <v>60.2</v>
      </c>
      <c r="D141" s="374">
        <v>60.99</v>
      </c>
      <c r="E141" s="599">
        <v>295</v>
      </c>
      <c r="F141" s="838">
        <v>60</v>
      </c>
      <c r="G141" s="355">
        <v>-9.8999999999999991E-3</v>
      </c>
      <c r="H141" s="347">
        <v>60.6</v>
      </c>
      <c r="I141" s="348">
        <v>61.2</v>
      </c>
      <c r="J141" s="348">
        <v>58</v>
      </c>
      <c r="K141" s="356">
        <v>60.6</v>
      </c>
      <c r="L141" s="343">
        <v>73807</v>
      </c>
      <c r="M141" s="350">
        <v>121794</v>
      </c>
      <c r="N141" s="343">
        <v>103</v>
      </c>
      <c r="O141" s="344">
        <v>45393.687592592592</v>
      </c>
      <c r="P141" s="283">
        <v>140</v>
      </c>
      <c r="Q141" s="345">
        <v>0</v>
      </c>
      <c r="R141" s="652">
        <v>0</v>
      </c>
      <c r="S141" s="668">
        <v>0</v>
      </c>
      <c r="T141" s="351">
        <v>0</v>
      </c>
      <c r="U141" s="482"/>
      <c r="V141" s="359">
        <v>0</v>
      </c>
      <c r="W141" s="399">
        <f>V140*(F140/100)</f>
        <v>0</v>
      </c>
      <c r="X141" s="665"/>
      <c r="Y141" s="492">
        <f>IFERROR(INT($Z$1/(F140/100)),"")</f>
        <v>163</v>
      </c>
      <c r="Z141" s="630">
        <f>IFERROR(IF(C141&lt;&gt;"",$Y$1/(D137/100)*(C141/100),""),"")</f>
        <v>98.893687074997075</v>
      </c>
      <c r="AA141" s="631">
        <f>IFERROR($Z$1/(D141/100)*(C137/100),"")</f>
        <v>98704.705689457303</v>
      </c>
      <c r="AB141" s="38"/>
    </row>
    <row r="142" spans="1:28" ht="12.75" customHeight="1">
      <c r="A142" s="677" t="s">
        <v>556</v>
      </c>
      <c r="B142" s="246">
        <v>2560</v>
      </c>
      <c r="C142" s="301">
        <v>48300</v>
      </c>
      <c r="D142" s="253">
        <v>48400</v>
      </c>
      <c r="E142" s="246">
        <v>900</v>
      </c>
      <c r="F142" s="834">
        <v>48300</v>
      </c>
      <c r="G142" s="305">
        <v>1.04E-2</v>
      </c>
      <c r="H142" s="236">
        <v>47600</v>
      </c>
      <c r="I142" s="228">
        <v>48375</v>
      </c>
      <c r="J142" s="228">
        <v>46800</v>
      </c>
      <c r="K142" s="257">
        <v>47800</v>
      </c>
      <c r="L142" s="249">
        <v>985517077</v>
      </c>
      <c r="M142" s="232">
        <v>2080790</v>
      </c>
      <c r="N142" s="249">
        <v>1667</v>
      </c>
      <c r="O142" s="273">
        <v>45393.687511574077</v>
      </c>
      <c r="P142" s="284">
        <v>141</v>
      </c>
      <c r="Q142" s="262">
        <v>0</v>
      </c>
      <c r="R142" s="645">
        <v>0</v>
      </c>
      <c r="S142" s="667">
        <v>0</v>
      </c>
      <c r="T142" s="244">
        <v>0</v>
      </c>
      <c r="U142" s="483"/>
      <c r="V142" s="361"/>
      <c r="W142" s="398">
        <f t="shared" ref="W142" si="63">(V142*X142)</f>
        <v>0</v>
      </c>
      <c r="X142" s="666"/>
      <c r="Y142" s="614">
        <f>IF(D142&lt;&gt;0,($C143*(1-$V$1))-$D142,0)</f>
        <v>-630</v>
      </c>
      <c r="Z142" s="632"/>
      <c r="AA142" s="619"/>
      <c r="AB142" s="38"/>
    </row>
    <row r="143" spans="1:28" ht="12.75" customHeight="1">
      <c r="A143" s="552" t="s">
        <v>164</v>
      </c>
      <c r="B143" s="596">
        <v>21981</v>
      </c>
      <c r="C143" s="237">
        <v>47770</v>
      </c>
      <c r="D143" s="375">
        <v>47800</v>
      </c>
      <c r="E143" s="604">
        <v>645</v>
      </c>
      <c r="F143" s="835">
        <v>47800</v>
      </c>
      <c r="G143" s="307">
        <v>3.0999999999999999E-3</v>
      </c>
      <c r="H143" s="235">
        <v>47995</v>
      </c>
      <c r="I143" s="226">
        <v>48500</v>
      </c>
      <c r="J143" s="226">
        <v>47100</v>
      </c>
      <c r="K143" s="255">
        <v>47650</v>
      </c>
      <c r="L143" s="233">
        <v>11122529198</v>
      </c>
      <c r="M143" s="230">
        <v>23326349</v>
      </c>
      <c r="N143" s="233">
        <v>5036</v>
      </c>
      <c r="O143" s="274">
        <v>45393.708356481482</v>
      </c>
      <c r="P143" s="283">
        <v>142</v>
      </c>
      <c r="Q143" s="260">
        <v>0</v>
      </c>
      <c r="R143" s="644">
        <v>0</v>
      </c>
      <c r="S143" s="669">
        <v>0</v>
      </c>
      <c r="T143" s="243">
        <v>0</v>
      </c>
      <c r="U143" s="482"/>
      <c r="V143" s="360">
        <v>0</v>
      </c>
      <c r="W143" s="393">
        <f>V142*(F142/100)</f>
        <v>0</v>
      </c>
      <c r="X143" s="661"/>
      <c r="Y143" s="490">
        <f>IFERROR(INT($Y$1/(F142/100)),"")</f>
        <v>205</v>
      </c>
      <c r="Z143" s="620"/>
      <c r="AA143" s="621"/>
      <c r="AB143" s="38"/>
    </row>
    <row r="144" spans="1:28" ht="12.75" hidden="1" customHeight="1">
      <c r="A144" s="551" t="s">
        <v>557</v>
      </c>
      <c r="B144" s="246">
        <v>100</v>
      </c>
      <c r="C144" s="301">
        <v>45.16</v>
      </c>
      <c r="D144" s="253">
        <v>46.25</v>
      </c>
      <c r="E144" s="246">
        <v>100000</v>
      </c>
      <c r="F144" s="832">
        <v>46.097000000000001</v>
      </c>
      <c r="G144" s="308">
        <v>-1.1000000000000001E-3</v>
      </c>
      <c r="H144" s="238">
        <v>46.249000000000002</v>
      </c>
      <c r="I144" s="227">
        <v>46.249000000000002</v>
      </c>
      <c r="J144" s="227">
        <v>45.1</v>
      </c>
      <c r="K144" s="258">
        <v>46.15</v>
      </c>
      <c r="L144" s="245">
        <v>1669</v>
      </c>
      <c r="M144" s="231">
        <v>3621</v>
      </c>
      <c r="N144" s="245">
        <v>5</v>
      </c>
      <c r="O144" s="275">
        <v>45393.592511574076</v>
      </c>
      <c r="P144" s="284">
        <v>143</v>
      </c>
      <c r="Q144" s="261">
        <v>0</v>
      </c>
      <c r="R144" s="654">
        <v>0</v>
      </c>
      <c r="S144" s="670">
        <v>0</v>
      </c>
      <c r="T144" s="242">
        <v>0</v>
      </c>
      <c r="U144" s="483"/>
      <c r="V144" s="298"/>
      <c r="W144" s="394">
        <f t="shared" ref="W144" si="64">(V144*X144)</f>
        <v>0</v>
      </c>
      <c r="X144" s="666"/>
      <c r="Y144" s="622">
        <f>IF(D144&lt;&gt;0,($C145*(1-$V$1))-$D144,0)</f>
        <v>-1</v>
      </c>
      <c r="Z144" s="623">
        <f>IFERROR(IF(C144&lt;&gt;"",$Y$1/(D142/100)*(C144/100),""),"")</f>
        <v>92.810005181756694</v>
      </c>
      <c r="AA144" s="624">
        <f>IFERROR($AA$1/(D144/100)*(C142/100),"")</f>
        <v>104432.43243243243</v>
      </c>
      <c r="AB144" s="38"/>
    </row>
    <row r="145" spans="1:32" ht="12.75" hidden="1" customHeight="1">
      <c r="A145" s="552" t="s">
        <v>220</v>
      </c>
      <c r="B145" s="596">
        <v>100000</v>
      </c>
      <c r="C145" s="237">
        <v>45.25</v>
      </c>
      <c r="D145" s="375">
        <v>46.25</v>
      </c>
      <c r="E145" s="604">
        <v>81780</v>
      </c>
      <c r="F145" s="833">
        <v>46.25</v>
      </c>
      <c r="G145" s="307">
        <v>2.7699999999999999E-2</v>
      </c>
      <c r="H145" s="235">
        <v>45.02</v>
      </c>
      <c r="I145" s="226">
        <v>46.25</v>
      </c>
      <c r="J145" s="226">
        <v>44.85</v>
      </c>
      <c r="K145" s="255">
        <v>45</v>
      </c>
      <c r="L145" s="233">
        <v>11408</v>
      </c>
      <c r="M145" s="230">
        <v>24706</v>
      </c>
      <c r="N145" s="233">
        <v>9</v>
      </c>
      <c r="O145" s="274">
        <v>45393.702060185184</v>
      </c>
      <c r="P145" s="283">
        <v>144</v>
      </c>
      <c r="Q145" s="260">
        <v>0</v>
      </c>
      <c r="R145" s="644">
        <v>0</v>
      </c>
      <c r="S145" s="669">
        <v>0</v>
      </c>
      <c r="T145" s="243">
        <v>0</v>
      </c>
      <c r="U145" s="482"/>
      <c r="V145" s="297">
        <v>0</v>
      </c>
      <c r="W145" s="395">
        <f>V144*(F144/100)</f>
        <v>0</v>
      </c>
      <c r="X145" s="661"/>
      <c r="Y145" s="491">
        <f>IFERROR(INT($AA$1/(F144/100)),"")</f>
        <v>216</v>
      </c>
      <c r="Z145" s="625">
        <f>IFERROR(IF(C145&lt;&gt;"",$Y$1/(D143/100)*(C145/100),""),"")</f>
        <v>94.162268396035543</v>
      </c>
      <c r="AA145" s="626">
        <f>IFERROR($AA$1/(D145/100)*(C143/100),"")</f>
        <v>103286.48648648648</v>
      </c>
      <c r="AB145" s="38"/>
    </row>
    <row r="146" spans="1:32" ht="12.75" customHeight="1">
      <c r="A146" s="551" t="s">
        <v>558</v>
      </c>
      <c r="B146" s="246">
        <v>60000</v>
      </c>
      <c r="C146" s="301">
        <v>48.1</v>
      </c>
      <c r="D146" s="253">
        <v>48.6</v>
      </c>
      <c r="E146" s="246">
        <v>1113</v>
      </c>
      <c r="F146" s="836">
        <v>48.2</v>
      </c>
      <c r="G146" s="308">
        <v>-1E-3</v>
      </c>
      <c r="H146" s="238">
        <v>47.999000000000002</v>
      </c>
      <c r="I146" s="227">
        <v>48.6</v>
      </c>
      <c r="J146" s="227">
        <v>47</v>
      </c>
      <c r="K146" s="258">
        <v>48.249000000000002</v>
      </c>
      <c r="L146" s="245">
        <v>923726</v>
      </c>
      <c r="M146" s="231">
        <v>1940382</v>
      </c>
      <c r="N146" s="245">
        <v>587</v>
      </c>
      <c r="O146" s="275">
        <v>45393.687743055554</v>
      </c>
      <c r="P146" s="284">
        <v>145</v>
      </c>
      <c r="Q146" s="261">
        <v>0</v>
      </c>
      <c r="R146" s="654">
        <v>0</v>
      </c>
      <c r="S146" s="670">
        <v>0</v>
      </c>
      <c r="T146" s="242">
        <v>0</v>
      </c>
      <c r="U146" s="483"/>
      <c r="V146" s="358"/>
      <c r="W146" s="396">
        <f t="shared" ref="W146" si="65">(V146*X146)</f>
        <v>0</v>
      </c>
      <c r="X146" s="663"/>
      <c r="Y146" s="627">
        <f>IF(D146&lt;&gt;0,($C147*(1-$V$1))-$D146,0)</f>
        <v>-0.45000000000000284</v>
      </c>
      <c r="Z146" s="628">
        <f>IFERROR(IF(C146&lt;&gt;"",$Y$1/(D142/100)*(C146/100),""),"")</f>
        <v>98.852109150631037</v>
      </c>
      <c r="AA146" s="629">
        <f>IFERROR($Z$1/(D146/100)*(C142/100),"")</f>
        <v>99382.71604938271</v>
      </c>
      <c r="AB146" s="38"/>
    </row>
    <row r="147" spans="1:32" ht="12.75" customHeight="1">
      <c r="A147" s="675" t="s">
        <v>221</v>
      </c>
      <c r="B147" s="379">
        <v>1100</v>
      </c>
      <c r="C147" s="346">
        <v>48.15</v>
      </c>
      <c r="D147" s="374">
        <v>48.2</v>
      </c>
      <c r="E147" s="599">
        <v>136225</v>
      </c>
      <c r="F147" s="838">
        <v>48.19</v>
      </c>
      <c r="G147" s="355">
        <v>3.9000000000000003E-3</v>
      </c>
      <c r="H147" s="347">
        <v>47.25</v>
      </c>
      <c r="I147" s="348">
        <v>48.5</v>
      </c>
      <c r="J147" s="348">
        <v>46</v>
      </c>
      <c r="K147" s="356">
        <v>48</v>
      </c>
      <c r="L147" s="343">
        <v>2538360</v>
      </c>
      <c r="M147" s="350">
        <v>5325550</v>
      </c>
      <c r="N147" s="343">
        <v>1008</v>
      </c>
      <c r="O147" s="344">
        <v>45393.705949074072</v>
      </c>
      <c r="P147" s="283">
        <v>146</v>
      </c>
      <c r="Q147" s="345">
        <v>0</v>
      </c>
      <c r="R147" s="652">
        <v>0</v>
      </c>
      <c r="S147" s="668">
        <v>0</v>
      </c>
      <c r="T147" s="351">
        <v>0</v>
      </c>
      <c r="U147" s="482"/>
      <c r="V147" s="359">
        <v>0</v>
      </c>
      <c r="W147" s="399">
        <f>V146*(F146/100)</f>
        <v>0</v>
      </c>
      <c r="X147" s="665"/>
      <c r="Y147" s="492">
        <f>IFERROR(INT($Z$1/(F146/100)),"")</f>
        <v>207</v>
      </c>
      <c r="Z147" s="630">
        <f>IFERROR(IF(C147&lt;&gt;"",$Y$1/(D143/100)*(C147/100),""),"")</f>
        <v>100.19697730981461</v>
      </c>
      <c r="AA147" s="631">
        <f>IFERROR($Z$1/(D147/100)*(C143/100),"")</f>
        <v>99107.88381742737</v>
      </c>
      <c r="AB147" s="38"/>
    </row>
    <row r="148" spans="1:32" ht="12.75" customHeight="1">
      <c r="A148" s="677" t="s">
        <v>562</v>
      </c>
      <c r="B148" s="246">
        <v>205</v>
      </c>
      <c r="C148" s="301">
        <v>52380</v>
      </c>
      <c r="D148" s="253">
        <v>53470</v>
      </c>
      <c r="E148" s="246">
        <v>1000</v>
      </c>
      <c r="F148" s="834">
        <v>52440</v>
      </c>
      <c r="G148" s="305">
        <v>-2.2000000000000001E-3</v>
      </c>
      <c r="H148" s="236">
        <v>53000</v>
      </c>
      <c r="I148" s="228">
        <v>53000</v>
      </c>
      <c r="J148" s="228">
        <v>51780</v>
      </c>
      <c r="K148" s="257">
        <v>52560</v>
      </c>
      <c r="L148" s="249">
        <v>64534140</v>
      </c>
      <c r="M148" s="232">
        <v>123114</v>
      </c>
      <c r="N148" s="249">
        <v>281</v>
      </c>
      <c r="O148" s="273">
        <v>45393.682453703703</v>
      </c>
      <c r="P148" s="284">
        <v>147</v>
      </c>
      <c r="Q148" s="262">
        <v>0</v>
      </c>
      <c r="R148" s="645">
        <v>0</v>
      </c>
      <c r="S148" s="667">
        <v>0</v>
      </c>
      <c r="T148" s="244">
        <v>0</v>
      </c>
      <c r="U148" s="483"/>
      <c r="V148" s="361">
        <v>0</v>
      </c>
      <c r="W148" s="398">
        <f t="shared" ref="W148" si="66">(V148*X148)</f>
        <v>0</v>
      </c>
      <c r="X148" s="666"/>
      <c r="Y148" s="614">
        <f>IF(D148&lt;&gt;0,($C149*(1-$V$1))-$D148,0)</f>
        <v>-740</v>
      </c>
      <c r="Z148" s="632"/>
      <c r="AA148" s="619"/>
      <c r="AB148" s="38"/>
    </row>
    <row r="149" spans="1:32" ht="12.75" customHeight="1">
      <c r="A149" s="552" t="s">
        <v>190</v>
      </c>
      <c r="B149" s="596">
        <v>3812</v>
      </c>
      <c r="C149" s="237">
        <v>52730</v>
      </c>
      <c r="D149" s="375">
        <v>53600</v>
      </c>
      <c r="E149" s="604">
        <v>4702</v>
      </c>
      <c r="F149" s="835">
        <v>53600</v>
      </c>
      <c r="G149" s="307">
        <v>2.1700000000000001E-2</v>
      </c>
      <c r="H149" s="235">
        <v>52400</v>
      </c>
      <c r="I149" s="226">
        <v>53760</v>
      </c>
      <c r="J149" s="226">
        <v>52190</v>
      </c>
      <c r="K149" s="255">
        <v>52460</v>
      </c>
      <c r="L149" s="233">
        <v>3917803608</v>
      </c>
      <c r="M149" s="230">
        <v>7447924</v>
      </c>
      <c r="N149" s="233">
        <v>1083</v>
      </c>
      <c r="O149" s="274">
        <v>45393.708668981482</v>
      </c>
      <c r="P149" s="283">
        <v>148</v>
      </c>
      <c r="Q149" s="260">
        <v>0</v>
      </c>
      <c r="R149" s="644">
        <v>0</v>
      </c>
      <c r="S149" s="669">
        <v>0</v>
      </c>
      <c r="T149" s="243">
        <v>0</v>
      </c>
      <c r="U149" s="482"/>
      <c r="V149" s="360">
        <v>0</v>
      </c>
      <c r="W149" s="393">
        <f>V148*(F148/100)</f>
        <v>0</v>
      </c>
      <c r="X149" s="661"/>
      <c r="Y149" s="490">
        <f>IFERROR(INT($Y$1/(F148/100)),"")</f>
        <v>189</v>
      </c>
      <c r="Z149" s="620"/>
      <c r="AA149" s="621"/>
      <c r="AB149" s="38"/>
    </row>
    <row r="150" spans="1:32" ht="12.75" hidden="1" customHeight="1">
      <c r="A150" s="551" t="s">
        <v>563</v>
      </c>
      <c r="B150" s="246"/>
      <c r="C150" s="301"/>
      <c r="D150" s="253"/>
      <c r="E150" s="246"/>
      <c r="F150" s="832"/>
      <c r="G150" s="308"/>
      <c r="H150" s="238"/>
      <c r="I150" s="227"/>
      <c r="J150" s="227"/>
      <c r="K150" s="258">
        <v>48.35</v>
      </c>
      <c r="L150" s="245"/>
      <c r="M150" s="231"/>
      <c r="N150" s="245"/>
      <c r="O150" s="275"/>
      <c r="P150" s="284">
        <v>149</v>
      </c>
      <c r="Q150" s="261">
        <v>0</v>
      </c>
      <c r="R150" s="654">
        <v>0</v>
      </c>
      <c r="S150" s="670">
        <v>0</v>
      </c>
      <c r="T150" s="242">
        <v>0</v>
      </c>
      <c r="U150" s="483"/>
      <c r="V150" s="298"/>
      <c r="W150" s="394">
        <f t="shared" ref="W150" si="67">(V150*X150)</f>
        <v>0</v>
      </c>
      <c r="X150" s="666"/>
      <c r="Y150" s="622">
        <f>IF(D150&lt;&gt;0,($C151*(1-$V$1))-$D150,0)</f>
        <v>0</v>
      </c>
      <c r="Z150" s="623" t="str">
        <f>IFERROR(IF(C150&lt;&gt;"",$Y$1/(D148/100)*(C150/100),""),"")</f>
        <v/>
      </c>
      <c r="AA150" s="624" t="str">
        <f>IFERROR($AA$1/(D150/100)*(C148/100),"")</f>
        <v/>
      </c>
      <c r="AB150" s="38"/>
    </row>
    <row r="151" spans="1:32" ht="12.75" hidden="1" customHeight="1">
      <c r="A151" s="552" t="s">
        <v>234</v>
      </c>
      <c r="B151" s="596">
        <v>100</v>
      </c>
      <c r="C151" s="237">
        <v>48.15</v>
      </c>
      <c r="D151" s="375"/>
      <c r="E151" s="604"/>
      <c r="F151" s="833"/>
      <c r="G151" s="307"/>
      <c r="H151" s="235"/>
      <c r="I151" s="226"/>
      <c r="J151" s="226"/>
      <c r="K151" s="255">
        <v>48</v>
      </c>
      <c r="L151" s="233"/>
      <c r="M151" s="230"/>
      <c r="N151" s="233"/>
      <c r="O151" s="274"/>
      <c r="P151" s="283">
        <v>150</v>
      </c>
      <c r="Q151" s="260">
        <v>0</v>
      </c>
      <c r="R151" s="644">
        <v>0</v>
      </c>
      <c r="S151" s="669">
        <v>0</v>
      </c>
      <c r="T151" s="243">
        <v>0</v>
      </c>
      <c r="U151" s="482"/>
      <c r="V151" s="297">
        <v>0</v>
      </c>
      <c r="W151" s="395">
        <f>V150*(F150/100)</f>
        <v>0</v>
      </c>
      <c r="X151" s="661"/>
      <c r="Y151" s="491" t="str">
        <f>IFERROR(INT($AA$1/(F150/100)),"")</f>
        <v/>
      </c>
      <c r="Z151" s="625">
        <f>IFERROR(IF(C151&lt;&gt;"",$Y$1/(D149/100)*(C151/100),""),"")</f>
        <v>89.35476707852871</v>
      </c>
      <c r="AA151" s="626" t="str">
        <f>IFERROR($AA$1/(D151/100)*(C149/100),"")</f>
        <v/>
      </c>
      <c r="AB151" s="38"/>
    </row>
    <row r="152" spans="1:32" ht="12.75" customHeight="1">
      <c r="A152" s="551" t="s">
        <v>564</v>
      </c>
      <c r="B152" s="246">
        <v>1796</v>
      </c>
      <c r="C152" s="301">
        <v>52.53</v>
      </c>
      <c r="D152" s="253">
        <v>55</v>
      </c>
      <c r="E152" s="246">
        <v>213</v>
      </c>
      <c r="F152" s="836">
        <v>52.53</v>
      </c>
      <c r="G152" s="308">
        <v>-2.1700000000000001E-2</v>
      </c>
      <c r="H152" s="238">
        <v>53</v>
      </c>
      <c r="I152" s="227">
        <v>54.55</v>
      </c>
      <c r="J152" s="227">
        <v>52.16</v>
      </c>
      <c r="K152" s="258">
        <v>53.7</v>
      </c>
      <c r="L152" s="245">
        <v>20179</v>
      </c>
      <c r="M152" s="231">
        <v>37921</v>
      </c>
      <c r="N152" s="245">
        <v>69</v>
      </c>
      <c r="O152" s="275">
        <v>45393.684791666667</v>
      </c>
      <c r="P152" s="284">
        <v>151</v>
      </c>
      <c r="Q152" s="261">
        <v>0</v>
      </c>
      <c r="R152" s="654">
        <v>0</v>
      </c>
      <c r="S152" s="670">
        <v>0</v>
      </c>
      <c r="T152" s="242">
        <v>0</v>
      </c>
      <c r="U152" s="483"/>
      <c r="V152" s="358">
        <v>0</v>
      </c>
      <c r="W152" s="396">
        <f t="shared" ref="W152" si="68">(V152*X152)</f>
        <v>0</v>
      </c>
      <c r="X152" s="663"/>
      <c r="Y152" s="627">
        <f>IF(D152&lt;&gt;0,($C153*(1-$V$1))-$D152,0)</f>
        <v>-2.2000000000000028</v>
      </c>
      <c r="Z152" s="628">
        <f>IFERROR(IF(C152&lt;&gt;"",$Y$1/(D148/100)*(C152/100),""),"")</f>
        <v>97.71999633510859</v>
      </c>
      <c r="AA152" s="629">
        <f>IFERROR($Z$1/(D152/100)*(C148/100),"")</f>
        <v>95236.363636363632</v>
      </c>
      <c r="AB152" s="38"/>
    </row>
    <row r="153" spans="1:32" ht="12.75" customHeight="1">
      <c r="A153" s="675" t="s">
        <v>235</v>
      </c>
      <c r="B153" s="379">
        <v>6226</v>
      </c>
      <c r="C153" s="346">
        <v>52.8</v>
      </c>
      <c r="D153" s="374">
        <v>53</v>
      </c>
      <c r="E153" s="599">
        <v>8303</v>
      </c>
      <c r="F153" s="838">
        <v>53</v>
      </c>
      <c r="G153" s="355">
        <v>-9.300000000000001E-3</v>
      </c>
      <c r="H153" s="347">
        <v>51.9</v>
      </c>
      <c r="I153" s="348">
        <v>54</v>
      </c>
      <c r="J153" s="348">
        <v>50.51</v>
      </c>
      <c r="K153" s="356">
        <v>53.5</v>
      </c>
      <c r="L153" s="343">
        <v>96205</v>
      </c>
      <c r="M153" s="350">
        <v>182893</v>
      </c>
      <c r="N153" s="343">
        <v>176</v>
      </c>
      <c r="O153" s="344">
        <v>45393.705011574071</v>
      </c>
      <c r="P153" s="283">
        <v>152</v>
      </c>
      <c r="Q153" s="345">
        <v>0</v>
      </c>
      <c r="R153" s="652">
        <v>0</v>
      </c>
      <c r="S153" s="668">
        <v>0</v>
      </c>
      <c r="T153" s="351">
        <v>0</v>
      </c>
      <c r="U153" s="482"/>
      <c r="V153" s="359">
        <v>0</v>
      </c>
      <c r="W153" s="399">
        <f>V152*(F152/100)</f>
        <v>0</v>
      </c>
      <c r="X153" s="665"/>
      <c r="Y153" s="492">
        <f>IFERROR(INT($Z$1/(F152/100)),"")</f>
        <v>190</v>
      </c>
      <c r="Z153" s="630">
        <f>IFERROR(IF(C153&lt;&gt;"",$Y$1/(D149/100)*(C153/100),""),"")</f>
        <v>97.984043649975405</v>
      </c>
      <c r="AA153" s="631">
        <f>IFERROR($Z$1/(D153/100)*(C149/100),"")</f>
        <v>99490.566037735844</v>
      </c>
      <c r="AB153" s="38"/>
    </row>
    <row r="154" spans="1:32" ht="12.75" customHeight="1">
      <c r="A154" s="677" t="s">
        <v>559</v>
      </c>
      <c r="B154" s="246">
        <v>20</v>
      </c>
      <c r="C154" s="301">
        <v>45335</v>
      </c>
      <c r="D154" s="253">
        <v>45895</v>
      </c>
      <c r="E154" s="246">
        <v>3</v>
      </c>
      <c r="F154" s="834">
        <v>45450</v>
      </c>
      <c r="G154" s="305">
        <v>-3.2000000000000002E-3</v>
      </c>
      <c r="H154" s="236">
        <v>45405</v>
      </c>
      <c r="I154" s="228">
        <v>46500</v>
      </c>
      <c r="J154" s="228">
        <v>44325</v>
      </c>
      <c r="K154" s="257">
        <v>45600</v>
      </c>
      <c r="L154" s="249">
        <v>81272425</v>
      </c>
      <c r="M154" s="232">
        <v>179083</v>
      </c>
      <c r="N154" s="249">
        <v>179</v>
      </c>
      <c r="O154" s="273">
        <v>45393.675185185188</v>
      </c>
      <c r="P154" s="284">
        <v>153</v>
      </c>
      <c r="Q154" s="262"/>
      <c r="R154" s="645">
        <v>0</v>
      </c>
      <c r="S154" s="667">
        <v>0</v>
      </c>
      <c r="T154" s="244">
        <v>0</v>
      </c>
      <c r="U154" s="483"/>
      <c r="V154" s="361">
        <v>0</v>
      </c>
      <c r="W154" s="398">
        <f t="shared" ref="W154" si="69">(V154*X154)</f>
        <v>0</v>
      </c>
      <c r="X154" s="666"/>
      <c r="Y154" s="614">
        <f>IF(D154&lt;&gt;0,($C155*(1-$V$1))-$D154,0)</f>
        <v>5</v>
      </c>
      <c r="Z154" s="632"/>
      <c r="AA154" s="619"/>
      <c r="AB154" s="38"/>
      <c r="AC154" s="357">
        <v>28</v>
      </c>
      <c r="AE154" s="47">
        <v>440</v>
      </c>
      <c r="AF154" s="47">
        <f>AC154*AE154</f>
        <v>12320</v>
      </c>
    </row>
    <row r="155" spans="1:32" ht="12.75" customHeight="1">
      <c r="A155" s="552" t="s">
        <v>188</v>
      </c>
      <c r="B155" s="596">
        <v>56840</v>
      </c>
      <c r="C155" s="237">
        <v>45900</v>
      </c>
      <c r="D155" s="375">
        <v>45975</v>
      </c>
      <c r="E155" s="604">
        <v>300</v>
      </c>
      <c r="F155" s="835">
        <v>45900</v>
      </c>
      <c r="G155" s="307">
        <v>1.1000000000000001E-2</v>
      </c>
      <c r="H155" s="235">
        <v>45000</v>
      </c>
      <c r="I155" s="226">
        <v>46500</v>
      </c>
      <c r="J155" s="226">
        <v>45000</v>
      </c>
      <c r="K155" s="255">
        <v>45400</v>
      </c>
      <c r="L155" s="233">
        <v>756083858</v>
      </c>
      <c r="M155" s="230">
        <v>1657904</v>
      </c>
      <c r="N155" s="233">
        <v>627</v>
      </c>
      <c r="O155" s="274">
        <v>45393.708449074074</v>
      </c>
      <c r="P155" s="283">
        <v>154</v>
      </c>
      <c r="Q155" s="260"/>
      <c r="R155" s="644">
        <v>0</v>
      </c>
      <c r="S155" s="669">
        <v>0</v>
      </c>
      <c r="T155" s="243">
        <v>0</v>
      </c>
      <c r="U155" s="482"/>
      <c r="V155" s="360">
        <v>0</v>
      </c>
      <c r="W155" s="393">
        <f>V154*(F154/100)</f>
        <v>0</v>
      </c>
      <c r="X155" s="661"/>
      <c r="Y155" s="490">
        <f>IFERROR(INT($Y$1/(F154/100)),"")</f>
        <v>218</v>
      </c>
      <c r="Z155" s="620"/>
      <c r="AA155" s="621"/>
      <c r="AB155" s="38"/>
      <c r="AC155" s="357"/>
      <c r="AF155" s="47">
        <f t="shared" ref="AF155:AF157" si="70">AC155*AE155</f>
        <v>0</v>
      </c>
    </row>
    <row r="156" spans="1:32" ht="12.75" hidden="1" customHeight="1">
      <c r="A156" s="551" t="s">
        <v>560</v>
      </c>
      <c r="B156" s="246"/>
      <c r="C156" s="301"/>
      <c r="D156" s="253"/>
      <c r="E156" s="246"/>
      <c r="F156" s="832"/>
      <c r="G156" s="308"/>
      <c r="H156" s="238"/>
      <c r="I156" s="227"/>
      <c r="J156" s="227"/>
      <c r="K156" s="258">
        <v>36</v>
      </c>
      <c r="L156" s="245"/>
      <c r="M156" s="231"/>
      <c r="N156" s="245"/>
      <c r="O156" s="275"/>
      <c r="P156" s="284">
        <v>155</v>
      </c>
      <c r="Q156" s="261"/>
      <c r="R156" s="654">
        <v>0</v>
      </c>
      <c r="S156" s="670">
        <v>0</v>
      </c>
      <c r="T156" s="242">
        <v>0</v>
      </c>
      <c r="U156" s="483"/>
      <c r="V156" s="298"/>
      <c r="W156" s="394">
        <f t="shared" ref="W156" si="71">(V156*X156)</f>
        <v>0</v>
      </c>
      <c r="X156" s="666"/>
      <c r="Y156" s="622">
        <f>IF(D156&lt;&gt;0,($C157*(1-$V$1))-$D156,0)</f>
        <v>0</v>
      </c>
      <c r="Z156" s="623" t="str">
        <f>IFERROR(IF(C156&lt;&gt;"",$Y$1/(D154/100)*(C156/100),""),"")</f>
        <v/>
      </c>
      <c r="AA156" s="624" t="str">
        <f>IFERROR($AA$1/(D156/100)*(C154/100),"")</f>
        <v/>
      </c>
      <c r="AB156" s="38"/>
      <c r="AC156" s="357"/>
      <c r="AF156" s="47">
        <f t="shared" si="70"/>
        <v>0</v>
      </c>
    </row>
    <row r="157" spans="1:32" ht="12.75" hidden="1" customHeight="1">
      <c r="A157" s="552" t="s">
        <v>236</v>
      </c>
      <c r="B157" s="596"/>
      <c r="C157" s="237"/>
      <c r="D157" s="375"/>
      <c r="E157" s="604"/>
      <c r="F157" s="833"/>
      <c r="G157" s="307"/>
      <c r="H157" s="235"/>
      <c r="I157" s="226"/>
      <c r="J157" s="226"/>
      <c r="K157" s="255">
        <v>42</v>
      </c>
      <c r="L157" s="233"/>
      <c r="M157" s="230"/>
      <c r="N157" s="233"/>
      <c r="O157" s="274"/>
      <c r="P157" s="283">
        <v>156</v>
      </c>
      <c r="Q157" s="260"/>
      <c r="R157" s="644">
        <v>0</v>
      </c>
      <c r="S157" s="669">
        <v>0</v>
      </c>
      <c r="T157" s="243">
        <v>0</v>
      </c>
      <c r="U157" s="482"/>
      <c r="V157" s="297">
        <v>0</v>
      </c>
      <c r="W157" s="395">
        <f>V156*(F156/100)</f>
        <v>0</v>
      </c>
      <c r="X157" s="661"/>
      <c r="Y157" s="491" t="str">
        <f>IFERROR(INT($AA$1/(F156/100)),"")</f>
        <v/>
      </c>
      <c r="Z157" s="625" t="str">
        <f>IFERROR(IF(C157&lt;&gt;"",$Y$1/(D155/100)*(C157/100),""),"")</f>
        <v/>
      </c>
      <c r="AA157" s="626" t="str">
        <f>IFERROR($AA$1/(D157/100)*(C155/100),"")</f>
        <v/>
      </c>
      <c r="AB157" s="38"/>
      <c r="AC157" s="362"/>
      <c r="AD157" s="362"/>
      <c r="AE157" s="362"/>
      <c r="AF157" s="362">
        <f t="shared" si="70"/>
        <v>0</v>
      </c>
    </row>
    <row r="158" spans="1:32" ht="12.75" customHeight="1">
      <c r="A158" s="551" t="s">
        <v>561</v>
      </c>
      <c r="B158" s="246">
        <v>1096</v>
      </c>
      <c r="C158" s="301">
        <v>45.6</v>
      </c>
      <c r="D158" s="253">
        <v>46.2</v>
      </c>
      <c r="E158" s="246">
        <v>11000</v>
      </c>
      <c r="F158" s="836">
        <v>45.500999999999998</v>
      </c>
      <c r="G158" s="308">
        <v>-1.1000000000000001E-2</v>
      </c>
      <c r="H158" s="238">
        <v>44.3</v>
      </c>
      <c r="I158" s="227">
        <v>46</v>
      </c>
      <c r="J158" s="227">
        <v>44.3</v>
      </c>
      <c r="K158" s="258">
        <v>46.01</v>
      </c>
      <c r="L158" s="245">
        <v>21206</v>
      </c>
      <c r="M158" s="231">
        <v>46622</v>
      </c>
      <c r="N158" s="245">
        <v>43</v>
      </c>
      <c r="O158" s="275">
        <v>45393.667986111112</v>
      </c>
      <c r="P158" s="284">
        <v>157</v>
      </c>
      <c r="Q158" s="261"/>
      <c r="R158" s="654">
        <v>0</v>
      </c>
      <c r="S158" s="670">
        <v>0</v>
      </c>
      <c r="T158" s="242">
        <v>0</v>
      </c>
      <c r="U158" s="483"/>
      <c r="V158" s="358"/>
      <c r="W158" s="396">
        <f t="shared" ref="W158" si="72">(V158*X158)</f>
        <v>0</v>
      </c>
      <c r="X158" s="663"/>
      <c r="Y158" s="627">
        <f>IF(D158&lt;&gt;0,($C159*(1-$V$1))-$D158,0)</f>
        <v>-0.67000000000000171</v>
      </c>
      <c r="Z158" s="628">
        <f>IFERROR(IF(C158&lt;&gt;"",$Y$1/(D154/100)*(C158/100),""),"")</f>
        <v>98.829294192410501</v>
      </c>
      <c r="AA158" s="629">
        <f>IFERROR($Z$1/(D158/100)*(C154/100),"")</f>
        <v>98127.705627705625</v>
      </c>
      <c r="AB158" s="38"/>
      <c r="AC158" s="366">
        <f>SUM(AC154:AC157)</f>
        <v>28</v>
      </c>
      <c r="AD158" s="367"/>
      <c r="AE158" s="367" t="s">
        <v>588</v>
      </c>
      <c r="AF158" s="367">
        <f>SUM(AF154:AF157)</f>
        <v>12320</v>
      </c>
    </row>
    <row r="159" spans="1:32" ht="12.75" customHeight="1">
      <c r="A159" s="675" t="s">
        <v>237</v>
      </c>
      <c r="B159" s="379">
        <v>1098</v>
      </c>
      <c r="C159" s="346">
        <v>45.53</v>
      </c>
      <c r="D159" s="374">
        <v>46.2</v>
      </c>
      <c r="E159" s="599">
        <v>32399</v>
      </c>
      <c r="F159" s="838">
        <v>46.2</v>
      </c>
      <c r="G159" s="355">
        <v>4.3E-3</v>
      </c>
      <c r="H159" s="347">
        <v>44.22</v>
      </c>
      <c r="I159" s="348">
        <v>46.46</v>
      </c>
      <c r="J159" s="348">
        <v>44.21</v>
      </c>
      <c r="K159" s="356">
        <v>46</v>
      </c>
      <c r="L159" s="343">
        <v>66662</v>
      </c>
      <c r="M159" s="350">
        <v>146063</v>
      </c>
      <c r="N159" s="343">
        <v>83</v>
      </c>
      <c r="O159" s="344">
        <v>45393.692106481481</v>
      </c>
      <c r="P159" s="283">
        <v>158</v>
      </c>
      <c r="Q159" s="345"/>
      <c r="R159" s="652">
        <v>0</v>
      </c>
      <c r="S159" s="668">
        <v>0</v>
      </c>
      <c r="T159" s="351">
        <v>0</v>
      </c>
      <c r="U159" s="482"/>
      <c r="V159" s="359">
        <v>0</v>
      </c>
      <c r="W159" s="399">
        <f>V158*(F158/100)</f>
        <v>0</v>
      </c>
      <c r="X159" s="665"/>
      <c r="Y159" s="492">
        <f>IFERROR(INT($Z$1/(F158/100)),"")</f>
        <v>219</v>
      </c>
      <c r="Z159" s="630">
        <f>IFERROR(IF(C159&lt;&gt;"",$Y$1/(D155/100)*(C159/100),""),"")</f>
        <v>98.505876050780742</v>
      </c>
      <c r="AA159" s="631">
        <f>IFERROR($Z$1/(D159/100)*(C155/100),"")</f>
        <v>99350.649350649343</v>
      </c>
      <c r="AB159" s="38"/>
      <c r="AC159" s="849">
        <f>AF158/AC158</f>
        <v>440</v>
      </c>
      <c r="AD159" s="849"/>
      <c r="AE159" s="849"/>
      <c r="AF159" s="849"/>
    </row>
    <row r="160" spans="1:32" ht="12.75" customHeight="1">
      <c r="A160" s="677" t="s">
        <v>565</v>
      </c>
      <c r="B160" s="246">
        <v>1100</v>
      </c>
      <c r="C160" s="301">
        <v>50200</v>
      </c>
      <c r="D160" s="253">
        <v>50500</v>
      </c>
      <c r="E160" s="246">
        <v>840</v>
      </c>
      <c r="F160" s="839">
        <v>50500</v>
      </c>
      <c r="G160" s="305">
        <v>-4.5000000000000005E-3</v>
      </c>
      <c r="H160" s="236">
        <v>50360</v>
      </c>
      <c r="I160" s="228">
        <v>50600</v>
      </c>
      <c r="J160" s="228">
        <v>49105</v>
      </c>
      <c r="K160" s="257">
        <v>50730</v>
      </c>
      <c r="L160" s="249">
        <v>2793200</v>
      </c>
      <c r="M160" s="232">
        <v>5555</v>
      </c>
      <c r="N160" s="249">
        <v>37</v>
      </c>
      <c r="O160" s="273">
        <v>45393.663391203707</v>
      </c>
      <c r="P160" s="284">
        <v>159</v>
      </c>
      <c r="Q160" s="262"/>
      <c r="R160" s="645">
        <v>0</v>
      </c>
      <c r="S160" s="667">
        <v>0</v>
      </c>
      <c r="T160" s="244">
        <v>0</v>
      </c>
      <c r="U160" s="483"/>
      <c r="V160" s="361"/>
      <c r="W160" s="398">
        <f t="shared" ref="W160" si="73">(V160*X160)</f>
        <v>0</v>
      </c>
      <c r="X160" s="666"/>
      <c r="Y160" s="614">
        <f>IF(D160&lt;&gt;0,($C161*(1-$V$1))-$D160,0)</f>
        <v>110</v>
      </c>
      <c r="Z160" s="632"/>
      <c r="AA160" s="619"/>
      <c r="AB160" s="38"/>
    </row>
    <row r="161" spans="1:28" ht="12.75" customHeight="1">
      <c r="A161" s="552" t="s">
        <v>189</v>
      </c>
      <c r="B161" s="596">
        <v>677</v>
      </c>
      <c r="C161" s="237">
        <v>50610</v>
      </c>
      <c r="D161" s="375">
        <v>50790</v>
      </c>
      <c r="E161" s="604">
        <v>478</v>
      </c>
      <c r="F161" s="837">
        <v>50610</v>
      </c>
      <c r="G161" s="307">
        <v>4.3E-3</v>
      </c>
      <c r="H161" s="235">
        <v>50500</v>
      </c>
      <c r="I161" s="226">
        <v>51000</v>
      </c>
      <c r="J161" s="226">
        <v>50200</v>
      </c>
      <c r="K161" s="255">
        <v>50390</v>
      </c>
      <c r="L161" s="233">
        <v>35777150</v>
      </c>
      <c r="M161" s="230">
        <v>70829</v>
      </c>
      <c r="N161" s="233">
        <v>163</v>
      </c>
      <c r="O161" s="274">
        <v>45393.702743055554</v>
      </c>
      <c r="P161" s="283">
        <v>160</v>
      </c>
      <c r="Q161" s="260"/>
      <c r="R161" s="644">
        <v>0</v>
      </c>
      <c r="S161" s="669">
        <v>0</v>
      </c>
      <c r="T161" s="243">
        <v>0</v>
      </c>
      <c r="U161" s="482"/>
      <c r="V161" s="360">
        <v>0</v>
      </c>
      <c r="W161" s="393">
        <f>V160*(F160/100)</f>
        <v>0</v>
      </c>
      <c r="X161" s="661"/>
      <c r="Y161" s="490">
        <f>IFERROR(INT($Y$1/(F160/100)),"")</f>
        <v>196</v>
      </c>
      <c r="Z161" s="620"/>
      <c r="AA161" s="621"/>
      <c r="AB161" s="38"/>
    </row>
    <row r="162" spans="1:28" ht="12.75" hidden="1" customHeight="1">
      <c r="A162" s="551" t="s">
        <v>566</v>
      </c>
      <c r="B162" s="246"/>
      <c r="C162" s="301"/>
      <c r="D162" s="253"/>
      <c r="E162" s="246"/>
      <c r="F162" s="836"/>
      <c r="G162" s="308"/>
      <c r="H162" s="238"/>
      <c r="I162" s="227"/>
      <c r="J162" s="227"/>
      <c r="K162" s="258">
        <v>21.007999999999999</v>
      </c>
      <c r="L162" s="245"/>
      <c r="M162" s="231"/>
      <c r="N162" s="245"/>
      <c r="O162" s="275"/>
      <c r="P162" s="284">
        <v>161</v>
      </c>
      <c r="Q162" s="261"/>
      <c r="R162" s="654">
        <v>0</v>
      </c>
      <c r="S162" s="670">
        <v>0</v>
      </c>
      <c r="T162" s="242">
        <v>0</v>
      </c>
      <c r="U162" s="483"/>
      <c r="V162" s="298"/>
      <c r="W162" s="394">
        <f t="shared" ref="W162" si="74">(V162*X162)</f>
        <v>0</v>
      </c>
      <c r="X162" s="666"/>
      <c r="Y162" s="622">
        <f>IF(D162&lt;&gt;0,($C163*(1-$V$1))-$D162,0)</f>
        <v>0</v>
      </c>
      <c r="Z162" s="623" t="str">
        <f>IFERROR(IF(C162&lt;&gt;"",$Y$1/(D160/100)*(C162/100),""),"")</f>
        <v/>
      </c>
      <c r="AA162" s="624" t="str">
        <f>IFERROR($AA$1/(D162/100)*(C160/100),"")</f>
        <v/>
      </c>
      <c r="AB162" s="38"/>
    </row>
    <row r="163" spans="1:28" ht="12.75" hidden="1" customHeight="1">
      <c r="A163" s="552" t="s">
        <v>276</v>
      </c>
      <c r="B163" s="596"/>
      <c r="C163" s="237"/>
      <c r="D163" s="375"/>
      <c r="E163" s="604"/>
      <c r="F163" s="837"/>
      <c r="G163" s="307"/>
      <c r="H163" s="235"/>
      <c r="I163" s="226"/>
      <c r="J163" s="226"/>
      <c r="K163" s="255">
        <v>25.276</v>
      </c>
      <c r="L163" s="233"/>
      <c r="M163" s="230"/>
      <c r="N163" s="233"/>
      <c r="O163" s="274"/>
      <c r="P163" s="283">
        <v>162</v>
      </c>
      <c r="Q163" s="260"/>
      <c r="R163" s="644">
        <v>0</v>
      </c>
      <c r="S163" s="669">
        <v>0</v>
      </c>
      <c r="T163" s="243">
        <v>0</v>
      </c>
      <c r="U163" s="482"/>
      <c r="V163" s="297">
        <v>0</v>
      </c>
      <c r="W163" s="395">
        <f>V162*(F162/100)</f>
        <v>0</v>
      </c>
      <c r="X163" s="661"/>
      <c r="Y163" s="491" t="str">
        <f>IFERROR(INT($AA$1/(F162/100)),"")</f>
        <v/>
      </c>
      <c r="Z163" s="625" t="str">
        <f>IFERROR(IF(C163&lt;&gt;"",$Y$1/(D161/100)*(C163/100),""),"")</f>
        <v/>
      </c>
      <c r="AA163" s="626" t="str">
        <f>IFERROR($AA$1/(D163/100)*(C161/100),"")</f>
        <v/>
      </c>
      <c r="AB163" s="38"/>
    </row>
    <row r="164" spans="1:28" ht="12.75" customHeight="1">
      <c r="A164" s="551" t="s">
        <v>567</v>
      </c>
      <c r="B164" s="246">
        <v>2209</v>
      </c>
      <c r="C164" s="301">
        <v>50.1</v>
      </c>
      <c r="D164" s="253">
        <v>51.8</v>
      </c>
      <c r="E164" s="246">
        <v>4444</v>
      </c>
      <c r="F164" s="836">
        <v>52.59</v>
      </c>
      <c r="G164" s="308">
        <v>3.32E-2</v>
      </c>
      <c r="H164" s="238">
        <v>51.5</v>
      </c>
      <c r="I164" s="227">
        <v>52.9</v>
      </c>
      <c r="J164" s="227">
        <v>50.9</v>
      </c>
      <c r="K164" s="258">
        <v>50.9</v>
      </c>
      <c r="L164" s="245">
        <v>2948</v>
      </c>
      <c r="M164" s="231">
        <v>5686</v>
      </c>
      <c r="N164" s="245">
        <v>10</v>
      </c>
      <c r="O164" s="275">
        <v>45393.585532407407</v>
      </c>
      <c r="P164" s="284">
        <v>163</v>
      </c>
      <c r="Q164" s="261"/>
      <c r="R164" s="654">
        <v>0</v>
      </c>
      <c r="S164" s="670">
        <v>0</v>
      </c>
      <c r="T164" s="242">
        <v>0</v>
      </c>
      <c r="U164" s="483"/>
      <c r="V164" s="358">
        <v>4</v>
      </c>
      <c r="W164" s="396">
        <f t="shared" ref="W164" si="75">(V164*X164)</f>
        <v>1.6</v>
      </c>
      <c r="X164" s="663">
        <v>0.4</v>
      </c>
      <c r="Y164" s="627">
        <f>IF(D164&lt;&gt;0,($C165*(1-$V$1))-$D164,0)</f>
        <v>-1.1999999999999957</v>
      </c>
      <c r="Z164" s="628">
        <f>IFERROR(IF(C164&lt;&gt;"",$Y$1/(D160/100)*(C164/100),""),"")</f>
        <v>98.680779873949135</v>
      </c>
      <c r="AA164" s="629">
        <f>IFERROR($Z$1/(D164/100)*(C160/100),"")</f>
        <v>96911.196911196908</v>
      </c>
      <c r="AB164" s="38"/>
    </row>
    <row r="165" spans="1:28" ht="12.75" customHeight="1">
      <c r="A165" s="679" t="s">
        <v>277</v>
      </c>
      <c r="B165" s="680">
        <v>7999</v>
      </c>
      <c r="C165" s="681">
        <v>50.6</v>
      </c>
      <c r="D165" s="682">
        <v>51.3</v>
      </c>
      <c r="E165" s="683">
        <v>6208</v>
      </c>
      <c r="F165" s="840">
        <v>50.6</v>
      </c>
      <c r="G165" s="684">
        <v>-1.9E-3</v>
      </c>
      <c r="H165" s="685">
        <v>49.18</v>
      </c>
      <c r="I165" s="686">
        <v>51.5</v>
      </c>
      <c r="J165" s="686">
        <v>49.18</v>
      </c>
      <c r="K165" s="687">
        <v>50.7</v>
      </c>
      <c r="L165" s="688">
        <v>6317</v>
      </c>
      <c r="M165" s="689">
        <v>12324</v>
      </c>
      <c r="N165" s="688">
        <v>24</v>
      </c>
      <c r="O165" s="690">
        <v>45393.700335648151</v>
      </c>
      <c r="P165" s="691">
        <v>164</v>
      </c>
      <c r="Q165" s="692"/>
      <c r="R165" s="693">
        <v>0</v>
      </c>
      <c r="S165" s="694">
        <v>0</v>
      </c>
      <c r="T165" s="695">
        <v>0</v>
      </c>
      <c r="U165" s="482"/>
      <c r="V165" s="359">
        <v>0</v>
      </c>
      <c r="W165" s="696">
        <f>V164*(F164/100)</f>
        <v>2.1036000000000001</v>
      </c>
      <c r="X165" s="697"/>
      <c r="Y165" s="698">
        <f>IFERROR(INT($Z$1/(F164/100)),"")</f>
        <v>190</v>
      </c>
      <c r="Z165" s="699">
        <f>IFERROR(IF(C165&lt;&gt;"",$Y$1/(D161/100)*(C165/100),""),"")</f>
        <v>99.096548706839997</v>
      </c>
      <c r="AA165" s="700">
        <f>IFERROR($Z$1/(D165/100)*(C161/100),"")</f>
        <v>98654.970760233919</v>
      </c>
      <c r="AB165" s="38"/>
    </row>
    <row r="166" spans="1:28" ht="12.75" customHeight="1">
      <c r="A166" s="677" t="s">
        <v>635</v>
      </c>
      <c r="B166" s="246">
        <v>5</v>
      </c>
      <c r="C166" s="301">
        <v>9106</v>
      </c>
      <c r="D166" s="253">
        <v>9180</v>
      </c>
      <c r="E166" s="246">
        <v>38</v>
      </c>
      <c r="F166" s="834">
        <v>9180</v>
      </c>
      <c r="G166" s="305">
        <v>5.1399999999999994E-2</v>
      </c>
      <c r="H166" s="236">
        <v>8700</v>
      </c>
      <c r="I166" s="228">
        <v>9194.5</v>
      </c>
      <c r="J166" s="228">
        <v>8700</v>
      </c>
      <c r="K166" s="257">
        <v>8731</v>
      </c>
      <c r="L166" s="249">
        <v>76132467</v>
      </c>
      <c r="M166" s="232">
        <v>8533</v>
      </c>
      <c r="N166" s="249">
        <v>757</v>
      </c>
      <c r="O166" s="273">
        <v>45393.686967592592</v>
      </c>
      <c r="P166" s="284">
        <v>165</v>
      </c>
      <c r="Q166" s="262"/>
      <c r="R166" s="645">
        <v>0</v>
      </c>
      <c r="S166" s="667">
        <v>0</v>
      </c>
      <c r="T166" s="244">
        <v>0</v>
      </c>
      <c r="U166" s="483"/>
      <c r="V166" s="361"/>
      <c r="W166" s="398">
        <f t="shared" ref="W166" si="76">(V166*X166)</f>
        <v>0</v>
      </c>
      <c r="X166" s="662"/>
      <c r="Y166" s="614">
        <f>IF(D166&lt;&gt;0,($C167*(1-$V$1))-$D166,0)</f>
        <v>5</v>
      </c>
      <c r="Z166" s="618"/>
      <c r="AA166" s="619"/>
    </row>
    <row r="167" spans="1:28" ht="12.75" customHeight="1">
      <c r="A167" s="552" t="s">
        <v>636</v>
      </c>
      <c r="B167" s="596">
        <v>30</v>
      </c>
      <c r="C167" s="237">
        <v>9185</v>
      </c>
      <c r="D167" s="375">
        <v>9220</v>
      </c>
      <c r="E167" s="604">
        <v>20</v>
      </c>
      <c r="F167" s="835">
        <v>9195.5</v>
      </c>
      <c r="G167" s="307">
        <v>4.6699999999999998E-2</v>
      </c>
      <c r="H167" s="235">
        <v>8800</v>
      </c>
      <c r="I167" s="226">
        <v>9223.5</v>
      </c>
      <c r="J167" s="226">
        <v>8790</v>
      </c>
      <c r="K167" s="255">
        <v>8784.5</v>
      </c>
      <c r="L167" s="233">
        <v>701931737</v>
      </c>
      <c r="M167" s="230">
        <v>77569</v>
      </c>
      <c r="N167" s="233">
        <v>4193</v>
      </c>
      <c r="O167" s="274">
        <v>45393.708310185182</v>
      </c>
      <c r="P167" s="283">
        <v>166</v>
      </c>
      <c r="Q167" s="260"/>
      <c r="R167" s="644">
        <v>0</v>
      </c>
      <c r="S167" s="669">
        <v>0</v>
      </c>
      <c r="T167" s="243">
        <v>0</v>
      </c>
      <c r="U167" s="482"/>
      <c r="V167" s="360">
        <v>0</v>
      </c>
      <c r="W167" s="393">
        <f>V166*(D166/100)</f>
        <v>0</v>
      </c>
      <c r="X167" s="661"/>
      <c r="Y167" s="490">
        <f>IFERROR(INT($Y$1/(F166)),"")</f>
        <v>10</v>
      </c>
      <c r="Z167" s="620"/>
      <c r="AA167" s="621"/>
    </row>
    <row r="168" spans="1:28" ht="12.75" hidden="1" customHeight="1">
      <c r="A168" s="551" t="s">
        <v>637</v>
      </c>
      <c r="B168" s="246"/>
      <c r="C168" s="301"/>
      <c r="D168" s="253"/>
      <c r="E168" s="246"/>
      <c r="F168" s="832"/>
      <c r="G168" s="308"/>
      <c r="H168" s="238"/>
      <c r="I168" s="227"/>
      <c r="J168" s="227"/>
      <c r="K168" s="258">
        <v>8.6010000000000009</v>
      </c>
      <c r="L168" s="245"/>
      <c r="M168" s="231"/>
      <c r="N168" s="245"/>
      <c r="O168" s="275"/>
      <c r="P168" s="284">
        <v>167</v>
      </c>
      <c r="Q168" s="261"/>
      <c r="R168" s="654">
        <v>0</v>
      </c>
      <c r="S168" s="670">
        <v>0</v>
      </c>
      <c r="T168" s="242">
        <v>0</v>
      </c>
      <c r="U168" s="483"/>
      <c r="V168" s="298"/>
      <c r="W168" s="394">
        <f t="shared" ref="W168" si="77">(V168*X168)</f>
        <v>0</v>
      </c>
      <c r="X168" s="666"/>
      <c r="Y168" s="622">
        <f>IF(D168&lt;&gt;0,($C169*(1-$V$1))-$D168,0)</f>
        <v>0</v>
      </c>
      <c r="Z168" s="623" t="str">
        <f>IFERROR(IF(C168&lt;&gt;"",$Y$1/(D166)*(C168),""),"")</f>
        <v/>
      </c>
      <c r="AA168" s="624" t="str">
        <f>IFERROR($AA$1/(D168)*(C166),"")</f>
        <v/>
      </c>
    </row>
    <row r="169" spans="1:28" ht="12.75" hidden="1" customHeight="1">
      <c r="A169" s="552" t="s">
        <v>638</v>
      </c>
      <c r="B169" s="596"/>
      <c r="C169" s="237"/>
      <c r="D169" s="375"/>
      <c r="E169" s="604"/>
      <c r="F169" s="833"/>
      <c r="G169" s="307"/>
      <c r="H169" s="235"/>
      <c r="I169" s="226"/>
      <c r="J169" s="226"/>
      <c r="K169" s="255">
        <v>8.7260000000000009</v>
      </c>
      <c r="L169" s="233"/>
      <c r="M169" s="230"/>
      <c r="N169" s="233"/>
      <c r="O169" s="274"/>
      <c r="P169" s="283">
        <v>168</v>
      </c>
      <c r="Q169" s="260"/>
      <c r="R169" s="644">
        <v>0</v>
      </c>
      <c r="S169" s="669">
        <v>0</v>
      </c>
      <c r="T169" s="243">
        <v>0</v>
      </c>
      <c r="U169" s="482"/>
      <c r="V169" s="297">
        <v>0</v>
      </c>
      <c r="W169" s="395">
        <f>V168*(F168/100)</f>
        <v>0</v>
      </c>
      <c r="X169" s="661"/>
      <c r="Y169" s="491" t="str">
        <f>IFERROR(INT($AA$1/(F168/100)),"")</f>
        <v/>
      </c>
      <c r="Z169" s="625" t="str">
        <f>IFERROR(IF(C169&lt;&gt;"",$Y$1/(D167)*(C169),""),"")</f>
        <v/>
      </c>
      <c r="AA169" s="626" t="str">
        <f>IFERROR($AA$1/(D169)*(C167),"")</f>
        <v/>
      </c>
    </row>
    <row r="170" spans="1:28" ht="12.75" customHeight="1">
      <c r="A170" s="551" t="s">
        <v>639</v>
      </c>
      <c r="B170" s="246">
        <v>27</v>
      </c>
      <c r="C170" s="301">
        <v>9.16</v>
      </c>
      <c r="D170" s="253">
        <v>9.18</v>
      </c>
      <c r="E170" s="246">
        <v>4</v>
      </c>
      <c r="F170" s="836">
        <v>9.18</v>
      </c>
      <c r="G170" s="308">
        <v>4.4299999999999999E-2</v>
      </c>
      <c r="H170" s="238">
        <v>8.9700000000000006</v>
      </c>
      <c r="I170" s="227">
        <v>9.18</v>
      </c>
      <c r="J170" s="227">
        <v>8.83</v>
      </c>
      <c r="K170" s="258">
        <v>8.7899999999999991</v>
      </c>
      <c r="L170" s="245">
        <v>13643</v>
      </c>
      <c r="M170" s="231">
        <v>1509</v>
      </c>
      <c r="N170" s="245">
        <v>102</v>
      </c>
      <c r="O170" s="275">
        <v>45393.680023148147</v>
      </c>
      <c r="P170" s="284">
        <v>169</v>
      </c>
      <c r="Q170" s="261"/>
      <c r="R170" s="654">
        <v>0</v>
      </c>
      <c r="S170" s="670">
        <v>0</v>
      </c>
      <c r="T170" s="242">
        <v>0</v>
      </c>
      <c r="U170" s="483"/>
      <c r="V170" s="358"/>
      <c r="W170" s="396">
        <f t="shared" ref="W170" si="78">(V170*X170)</f>
        <v>0</v>
      </c>
      <c r="X170" s="663"/>
      <c r="Y170" s="627">
        <f>IF(D170&lt;&gt;0,($C171*(1-$V$1))-$D170,0)</f>
        <v>4.0000000000000924E-2</v>
      </c>
      <c r="Z170" s="628">
        <f>IFERROR(IF(C170&lt;&gt;"",$Y$1/(D166)*(C170),""),"")</f>
        <v>99.251943072659444</v>
      </c>
      <c r="AA170" s="629">
        <f>IFERROR($Z$1/(D170)*(C166),"")</f>
        <v>99193.899782135079</v>
      </c>
    </row>
    <row r="171" spans="1:28" ht="12.75" customHeight="1">
      <c r="A171" s="675" t="s">
        <v>640</v>
      </c>
      <c r="B171" s="379">
        <v>33</v>
      </c>
      <c r="C171" s="346">
        <v>9.2200000000000006</v>
      </c>
      <c r="D171" s="374">
        <v>9.24</v>
      </c>
      <c r="E171" s="599">
        <v>27</v>
      </c>
      <c r="F171" s="838">
        <v>9.24</v>
      </c>
      <c r="G171" s="355">
        <v>4.6399999999999997E-2</v>
      </c>
      <c r="H171" s="347">
        <v>8.99</v>
      </c>
      <c r="I171" s="348">
        <v>9.24</v>
      </c>
      <c r="J171" s="348">
        <v>8.86</v>
      </c>
      <c r="K171" s="356">
        <v>8.83</v>
      </c>
      <c r="L171" s="343">
        <v>140836</v>
      </c>
      <c r="M171" s="350">
        <v>15703</v>
      </c>
      <c r="N171" s="343">
        <v>416</v>
      </c>
      <c r="O171" s="344">
        <v>45393.707511574074</v>
      </c>
      <c r="P171" s="283">
        <v>170</v>
      </c>
      <c r="Q171" s="345"/>
      <c r="R171" s="652">
        <v>0</v>
      </c>
      <c r="S171" s="668">
        <v>0</v>
      </c>
      <c r="T171" s="351">
        <v>0</v>
      </c>
      <c r="U171" s="482"/>
      <c r="V171" s="359">
        <v>0</v>
      </c>
      <c r="W171" s="399">
        <f>V170*(C170/100)</f>
        <v>0</v>
      </c>
      <c r="X171" s="665"/>
      <c r="Y171" s="492">
        <f>IFERROR(INT($Z$1/(F170)),"")</f>
        <v>10</v>
      </c>
      <c r="Z171" s="630">
        <f>IFERROR(IF(C171&lt;&gt;"",$Y$1/(D167)*(C171),""),"")</f>
        <v>99.468650371944747</v>
      </c>
      <c r="AA171" s="631">
        <f>IFERROR($Z$1/(D171)*(C167),"")</f>
        <v>99404.761904761894</v>
      </c>
    </row>
    <row r="172" spans="1:28" ht="12.75" customHeight="1">
      <c r="A172" s="677" t="s">
        <v>641</v>
      </c>
      <c r="B172" s="246">
        <v>100</v>
      </c>
      <c r="C172" s="301">
        <v>1370</v>
      </c>
      <c r="D172" s="253">
        <v>1371</v>
      </c>
      <c r="E172" s="246">
        <v>1118</v>
      </c>
      <c r="F172" s="834">
        <v>1371</v>
      </c>
      <c r="G172" s="305">
        <v>2.69E-2</v>
      </c>
      <c r="H172" s="236">
        <v>1353.5</v>
      </c>
      <c r="I172" s="228">
        <v>1373</v>
      </c>
      <c r="J172" s="228">
        <v>1336.5</v>
      </c>
      <c r="K172" s="257">
        <v>1335</v>
      </c>
      <c r="L172" s="249">
        <v>25877913</v>
      </c>
      <c r="M172" s="232">
        <v>19048</v>
      </c>
      <c r="N172" s="249">
        <v>611</v>
      </c>
      <c r="O172" s="273">
        <v>45393.687245370369</v>
      </c>
      <c r="P172" s="284">
        <v>171</v>
      </c>
      <c r="Q172" s="262"/>
      <c r="R172" s="645">
        <v>0</v>
      </c>
      <c r="S172" s="667">
        <v>0</v>
      </c>
      <c r="T172" s="244">
        <v>0</v>
      </c>
      <c r="U172" s="483"/>
      <c r="V172" s="361"/>
      <c r="W172" s="398">
        <f t="shared" ref="W172" si="79">(V172*X172)</f>
        <v>0</v>
      </c>
      <c r="X172" s="666"/>
      <c r="Y172" s="614">
        <f>IF(D172&lt;&gt;0,($C173*(1-$V$1))-$D172,0)</f>
        <v>7</v>
      </c>
      <c r="Z172" s="632"/>
      <c r="AA172" s="619"/>
    </row>
    <row r="173" spans="1:28" ht="12.75" customHeight="1">
      <c r="A173" s="552" t="s">
        <v>642</v>
      </c>
      <c r="B173" s="596">
        <v>47</v>
      </c>
      <c r="C173" s="237">
        <v>1378</v>
      </c>
      <c r="D173" s="375">
        <v>1384</v>
      </c>
      <c r="E173" s="604">
        <v>649</v>
      </c>
      <c r="F173" s="835">
        <v>1378</v>
      </c>
      <c r="G173" s="307">
        <v>1.6899999999999998E-2</v>
      </c>
      <c r="H173" s="235">
        <v>1355</v>
      </c>
      <c r="I173" s="226">
        <v>1385</v>
      </c>
      <c r="J173" s="226">
        <v>1348.5</v>
      </c>
      <c r="K173" s="255">
        <v>1355</v>
      </c>
      <c r="L173" s="233">
        <v>301823357</v>
      </c>
      <c r="M173" s="230">
        <v>220080</v>
      </c>
      <c r="N173" s="233">
        <v>4560</v>
      </c>
      <c r="O173" s="274">
        <v>45393.708229166667</v>
      </c>
      <c r="P173" s="283">
        <v>172</v>
      </c>
      <c r="Q173" s="260"/>
      <c r="R173" s="644">
        <v>0</v>
      </c>
      <c r="S173" s="669">
        <v>0</v>
      </c>
      <c r="T173" s="243">
        <v>0</v>
      </c>
      <c r="U173" s="482"/>
      <c r="V173" s="360">
        <v>0</v>
      </c>
      <c r="W173" s="393">
        <f t="shared" ref="W173" si="80">V172*(D172/100)</f>
        <v>0</v>
      </c>
      <c r="X173" s="661"/>
      <c r="Y173" s="490">
        <f>IFERROR(INT($Y$1/(F172)),"")</f>
        <v>72</v>
      </c>
      <c r="Z173" s="620"/>
      <c r="AA173" s="621"/>
    </row>
    <row r="174" spans="1:28" ht="12.75" hidden="1" customHeight="1">
      <c r="A174" s="551" t="s">
        <v>643</v>
      </c>
      <c r="B174" s="246"/>
      <c r="C174" s="301"/>
      <c r="D174" s="253"/>
      <c r="E174" s="246"/>
      <c r="F174" s="832"/>
      <c r="G174" s="308"/>
      <c r="H174" s="238"/>
      <c r="I174" s="227"/>
      <c r="J174" s="227"/>
      <c r="K174" s="258">
        <v>1.1000000000000001</v>
      </c>
      <c r="L174" s="245"/>
      <c r="M174" s="231"/>
      <c r="N174" s="245"/>
      <c r="O174" s="275"/>
      <c r="P174" s="284">
        <v>173</v>
      </c>
      <c r="Q174" s="261"/>
      <c r="R174" s="654">
        <v>0</v>
      </c>
      <c r="S174" s="670">
        <v>0</v>
      </c>
      <c r="T174" s="242">
        <v>0</v>
      </c>
      <c r="U174" s="483"/>
      <c r="V174" s="298"/>
      <c r="W174" s="394">
        <f t="shared" ref="W174" si="81">(V174*X174)</f>
        <v>0</v>
      </c>
      <c r="X174" s="666"/>
      <c r="Y174" s="622">
        <f>IF(D174&lt;&gt;0,($C175*(1-$V$1))-$D174,0)</f>
        <v>0</v>
      </c>
      <c r="Z174" s="623" t="str">
        <f>IFERROR(IF(C174&lt;&gt;"",$Y$1/(D172)*(C174),""),"")</f>
        <v/>
      </c>
      <c r="AA174" s="624" t="str">
        <f>IFERROR($AA$1/(D174)*(C172),"")</f>
        <v/>
      </c>
    </row>
    <row r="175" spans="1:28" ht="12.75" hidden="1" customHeight="1">
      <c r="A175" s="552" t="s">
        <v>644</v>
      </c>
      <c r="B175" s="596"/>
      <c r="C175" s="237"/>
      <c r="D175" s="375"/>
      <c r="E175" s="604"/>
      <c r="F175" s="833"/>
      <c r="G175" s="307"/>
      <c r="H175" s="235"/>
      <c r="I175" s="226"/>
      <c r="J175" s="226"/>
      <c r="K175" s="255">
        <v>0.91200000000000003</v>
      </c>
      <c r="L175" s="233"/>
      <c r="M175" s="230"/>
      <c r="N175" s="233"/>
      <c r="O175" s="274"/>
      <c r="P175" s="283">
        <v>174</v>
      </c>
      <c r="Q175" s="260"/>
      <c r="R175" s="644">
        <v>0</v>
      </c>
      <c r="S175" s="669">
        <v>0</v>
      </c>
      <c r="T175" s="243">
        <v>0</v>
      </c>
      <c r="U175" s="482"/>
      <c r="V175" s="297">
        <v>0</v>
      </c>
      <c r="W175" s="395">
        <f t="shared" ref="W175" si="82">V174*(F174/100)</f>
        <v>0</v>
      </c>
      <c r="X175" s="661"/>
      <c r="Y175" s="491" t="str">
        <f>IFERROR(INT($AA$1/(F174/100)),"")</f>
        <v/>
      </c>
      <c r="Z175" s="625" t="str">
        <f>IFERROR(IF(C175&lt;&gt;"",$Y$1/(D173)*(C175),""),"")</f>
        <v/>
      </c>
      <c r="AA175" s="626" t="str">
        <f>IFERROR($AA$1/(D175)*(C173),"")</f>
        <v/>
      </c>
    </row>
    <row r="176" spans="1:28" ht="12.75" customHeight="1">
      <c r="A176" s="551" t="s">
        <v>645</v>
      </c>
      <c r="B176" s="246">
        <v>2383</v>
      </c>
      <c r="C176" s="301">
        <v>1.37</v>
      </c>
      <c r="D176" s="253">
        <v>1.38</v>
      </c>
      <c r="E176" s="246">
        <v>84</v>
      </c>
      <c r="F176" s="836">
        <v>1.37</v>
      </c>
      <c r="G176" s="308">
        <v>7.3000000000000001E-3</v>
      </c>
      <c r="H176" s="238">
        <v>1.35</v>
      </c>
      <c r="I176" s="227">
        <v>1.38</v>
      </c>
      <c r="J176" s="227">
        <v>1.35</v>
      </c>
      <c r="K176" s="258">
        <v>1.36</v>
      </c>
      <c r="L176" s="245">
        <v>5169</v>
      </c>
      <c r="M176" s="231">
        <v>3761</v>
      </c>
      <c r="N176" s="245">
        <v>93</v>
      </c>
      <c r="O176" s="275">
        <v>45393.687199074076</v>
      </c>
      <c r="P176" s="284">
        <v>175</v>
      </c>
      <c r="Q176" s="261"/>
      <c r="R176" s="654">
        <v>0</v>
      </c>
      <c r="S176" s="670">
        <v>0</v>
      </c>
      <c r="T176" s="242">
        <v>0</v>
      </c>
      <c r="U176" s="483"/>
      <c r="V176" s="358"/>
      <c r="W176" s="396">
        <f t="shared" ref="W176" si="83">(V176*X176)</f>
        <v>0</v>
      </c>
      <c r="X176" s="663"/>
      <c r="Y176" s="627">
        <f>IF(D176&lt;&gt;0,($C177*(1-$V$1))-$D176,0)</f>
        <v>-9.9999999999997868E-3</v>
      </c>
      <c r="Z176" s="628">
        <f>IFERROR(IF(C176&lt;&gt;"",$Y$1/(D172)*(C176),""),"")</f>
        <v>99.396098475247484</v>
      </c>
      <c r="AA176" s="629">
        <f>IFERROR($Z$1/(D176)*(C172),"")</f>
        <v>99275.362318840576</v>
      </c>
    </row>
    <row r="177" spans="1:27" ht="12.75" customHeight="1">
      <c r="A177" s="675" t="s">
        <v>646</v>
      </c>
      <c r="B177" s="379">
        <v>657</v>
      </c>
      <c r="C177" s="346">
        <v>1.37</v>
      </c>
      <c r="D177" s="374">
        <v>1.38</v>
      </c>
      <c r="E177" s="599">
        <v>5076</v>
      </c>
      <c r="F177" s="838">
        <v>1.38</v>
      </c>
      <c r="G177" s="355">
        <v>1.47E-2</v>
      </c>
      <c r="H177" s="347">
        <v>1.37</v>
      </c>
      <c r="I177" s="348">
        <v>1.4</v>
      </c>
      <c r="J177" s="348">
        <v>1.34</v>
      </c>
      <c r="K177" s="356">
        <v>1.36</v>
      </c>
      <c r="L177" s="343">
        <v>21557</v>
      </c>
      <c r="M177" s="350">
        <v>15682</v>
      </c>
      <c r="N177" s="343">
        <v>342</v>
      </c>
      <c r="O177" s="344">
        <v>45393.705555555556</v>
      </c>
      <c r="P177" s="283">
        <v>176</v>
      </c>
      <c r="Q177" s="345"/>
      <c r="R177" s="652">
        <v>0</v>
      </c>
      <c r="S177" s="668">
        <v>0</v>
      </c>
      <c r="T177" s="351">
        <v>0</v>
      </c>
      <c r="U177" s="482"/>
      <c r="V177" s="359">
        <v>0</v>
      </c>
      <c r="W177" s="399">
        <f t="shared" ref="W177" si="84">V176*(C176/100)</f>
        <v>0</v>
      </c>
      <c r="X177" s="665"/>
      <c r="Y177" s="492">
        <f>IFERROR(INT($Z$1/(F176)),"")</f>
        <v>72</v>
      </c>
      <c r="Z177" s="630">
        <f>IFERROR(IF(C177&lt;&gt;"",$Y$1/(D173)*(C177),""),"")</f>
        <v>98.462464602286346</v>
      </c>
      <c r="AA177" s="631">
        <f>IFERROR($Z$1/(D177)*(C173),"")</f>
        <v>99855.072463768112</v>
      </c>
    </row>
    <row r="178" spans="1:27" ht="12.75" customHeight="1">
      <c r="A178" s="677" t="s">
        <v>647</v>
      </c>
      <c r="B178" s="246">
        <v>6</v>
      </c>
      <c r="C178" s="301">
        <v>12300</v>
      </c>
      <c r="D178" s="253">
        <v>12440</v>
      </c>
      <c r="E178" s="246">
        <v>39</v>
      </c>
      <c r="F178" s="834">
        <v>12410</v>
      </c>
      <c r="G178" s="305">
        <v>5.8999999999999999E-3</v>
      </c>
      <c r="H178" s="236">
        <v>12338</v>
      </c>
      <c r="I178" s="228">
        <v>12497</v>
      </c>
      <c r="J178" s="228">
        <v>12101</v>
      </c>
      <c r="K178" s="257">
        <v>12337</v>
      </c>
      <c r="L178" s="249">
        <v>1812007484</v>
      </c>
      <c r="M178" s="232">
        <v>148100</v>
      </c>
      <c r="N178" s="249">
        <v>620</v>
      </c>
      <c r="O178" s="273">
        <v>45393.687395833331</v>
      </c>
      <c r="P178" s="284">
        <v>177</v>
      </c>
      <c r="Q178" s="262"/>
      <c r="R178" s="645">
        <v>0</v>
      </c>
      <c r="S178" s="667">
        <v>0</v>
      </c>
      <c r="T178" s="244">
        <v>0</v>
      </c>
      <c r="U178" s="483"/>
      <c r="V178" s="361"/>
      <c r="W178" s="398">
        <f t="shared" ref="W178" si="85">(V178*X178)</f>
        <v>0</v>
      </c>
      <c r="X178" s="666"/>
      <c r="Y178" s="614">
        <f>IF(D178&lt;&gt;0,($C179*(1-$V$1))-$D178,0)</f>
        <v>-85</v>
      </c>
      <c r="Z178" s="632"/>
      <c r="AA178" s="619"/>
    </row>
    <row r="179" spans="1:27" ht="12.75" customHeight="1">
      <c r="A179" s="552" t="s">
        <v>648</v>
      </c>
      <c r="B179" s="596">
        <v>8</v>
      </c>
      <c r="C179" s="237">
        <v>12355</v>
      </c>
      <c r="D179" s="375">
        <v>12360</v>
      </c>
      <c r="E179" s="604">
        <v>20</v>
      </c>
      <c r="F179" s="835">
        <v>12360</v>
      </c>
      <c r="G179" s="307">
        <v>2.3E-3</v>
      </c>
      <c r="H179" s="235">
        <v>12320</v>
      </c>
      <c r="I179" s="226">
        <v>12470</v>
      </c>
      <c r="J179" s="226">
        <v>12301</v>
      </c>
      <c r="K179" s="255">
        <v>12331.5</v>
      </c>
      <c r="L179" s="233">
        <v>1534955616</v>
      </c>
      <c r="M179" s="230">
        <v>123815</v>
      </c>
      <c r="N179" s="233">
        <v>3131</v>
      </c>
      <c r="O179" s="274">
        <v>45393.707858796297</v>
      </c>
      <c r="P179" s="283">
        <v>178</v>
      </c>
      <c r="Q179" s="260"/>
      <c r="R179" s="644">
        <v>0</v>
      </c>
      <c r="S179" s="669">
        <v>0</v>
      </c>
      <c r="T179" s="243">
        <v>0</v>
      </c>
      <c r="U179" s="482"/>
      <c r="V179" s="360">
        <v>0</v>
      </c>
      <c r="W179" s="393">
        <f t="shared" ref="W179" si="86">V178*(D178/100)</f>
        <v>0</v>
      </c>
      <c r="X179" s="661"/>
      <c r="Y179" s="490">
        <f>IFERROR(INT($Y$1/(F178)),"")</f>
        <v>8</v>
      </c>
      <c r="Z179" s="620"/>
      <c r="AA179" s="621"/>
    </row>
    <row r="180" spans="1:27" ht="12.75" hidden="1" customHeight="1">
      <c r="A180" s="551" t="s">
        <v>649</v>
      </c>
      <c r="B180" s="246"/>
      <c r="C180" s="301"/>
      <c r="D180" s="253"/>
      <c r="E180" s="246"/>
      <c r="F180" s="832"/>
      <c r="G180" s="308"/>
      <c r="H180" s="238"/>
      <c r="I180" s="227"/>
      <c r="J180" s="227"/>
      <c r="K180" s="258">
        <v>10.811</v>
      </c>
      <c r="L180" s="245"/>
      <c r="M180" s="231"/>
      <c r="N180" s="245"/>
      <c r="O180" s="275"/>
      <c r="P180" s="284">
        <v>179</v>
      </c>
      <c r="Q180" s="261"/>
      <c r="R180" s="654">
        <v>0</v>
      </c>
      <c r="S180" s="670">
        <v>0</v>
      </c>
      <c r="T180" s="242">
        <v>0</v>
      </c>
      <c r="U180" s="483"/>
      <c r="V180" s="298"/>
      <c r="W180" s="394">
        <f t="shared" ref="W180" si="87">(V180*X180)</f>
        <v>0</v>
      </c>
      <c r="X180" s="666"/>
      <c r="Y180" s="622">
        <f>IF(D180&lt;&gt;0,($C181*(1-$V$1))-$D180,0)</f>
        <v>0</v>
      </c>
      <c r="Z180" s="623" t="str">
        <f>IFERROR(IF(C180&lt;&gt;"",$Y$1/(D178)*(C180),""),"")</f>
        <v/>
      </c>
      <c r="AA180" s="624" t="str">
        <f>IFERROR($AA$1/(D180)*(C178),"")</f>
        <v/>
      </c>
    </row>
    <row r="181" spans="1:27" ht="12.75" hidden="1" customHeight="1">
      <c r="A181" s="552" t="s">
        <v>650</v>
      </c>
      <c r="B181" s="596"/>
      <c r="C181" s="237"/>
      <c r="D181" s="375"/>
      <c r="E181" s="604"/>
      <c r="F181" s="833"/>
      <c r="G181" s="307"/>
      <c r="H181" s="235"/>
      <c r="I181" s="226"/>
      <c r="J181" s="226"/>
      <c r="K181" s="255">
        <v>12.6</v>
      </c>
      <c r="L181" s="233"/>
      <c r="M181" s="230"/>
      <c r="N181" s="233"/>
      <c r="O181" s="274"/>
      <c r="P181" s="283">
        <v>180</v>
      </c>
      <c r="Q181" s="260"/>
      <c r="R181" s="644">
        <v>0</v>
      </c>
      <c r="S181" s="669">
        <v>0</v>
      </c>
      <c r="T181" s="243">
        <v>0</v>
      </c>
      <c r="U181" s="482"/>
      <c r="V181" s="297">
        <v>0</v>
      </c>
      <c r="W181" s="395">
        <f t="shared" ref="W181" si="88">V180*(F180/100)</f>
        <v>0</v>
      </c>
      <c r="X181" s="661"/>
      <c r="Y181" s="491" t="str">
        <f>IFERROR(INT($AA$1/(F180/100)),"")</f>
        <v/>
      </c>
      <c r="Z181" s="625" t="str">
        <f>IFERROR(IF(C181&lt;&gt;"",$Y$1/(D179)*(C181),""),"")</f>
        <v/>
      </c>
      <c r="AA181" s="626" t="str">
        <f>IFERROR($AA$1/(D181)*(C179),"")</f>
        <v/>
      </c>
    </row>
    <row r="182" spans="1:27" ht="12.75" customHeight="1">
      <c r="A182" s="551" t="s">
        <v>651</v>
      </c>
      <c r="B182" s="246">
        <v>15</v>
      </c>
      <c r="C182" s="301">
        <v>12.4</v>
      </c>
      <c r="D182" s="253">
        <v>12.5</v>
      </c>
      <c r="E182" s="246">
        <v>203</v>
      </c>
      <c r="F182" s="836">
        <v>12.5</v>
      </c>
      <c r="G182" s="308">
        <v>8.0000000000000002E-3</v>
      </c>
      <c r="H182" s="238">
        <v>12.25</v>
      </c>
      <c r="I182" s="227">
        <v>12.5</v>
      </c>
      <c r="J182" s="227">
        <v>12.25</v>
      </c>
      <c r="K182" s="258">
        <v>12.4</v>
      </c>
      <c r="L182" s="245">
        <v>42979</v>
      </c>
      <c r="M182" s="231">
        <v>3477</v>
      </c>
      <c r="N182" s="245">
        <v>76</v>
      </c>
      <c r="O182" s="275">
        <v>45393.686111111114</v>
      </c>
      <c r="P182" s="284">
        <v>181</v>
      </c>
      <c r="Q182" s="261"/>
      <c r="R182" s="654">
        <v>0</v>
      </c>
      <c r="S182" s="670">
        <v>0</v>
      </c>
      <c r="T182" s="242">
        <v>0</v>
      </c>
      <c r="U182" s="483"/>
      <c r="V182" s="358"/>
      <c r="W182" s="396">
        <f t="shared" ref="W182" si="89">(V182*X182)</f>
        <v>0</v>
      </c>
      <c r="X182" s="663"/>
      <c r="Y182" s="627">
        <f>IF(D182&lt;&gt;0,($C183*(1-$V$1))-$D182,0)</f>
        <v>-9.9999999999999645E-2</v>
      </c>
      <c r="Z182" s="628">
        <f>IFERROR(IF(C182&lt;&gt;"",$Y$1/(D178)*(C182),""),"")</f>
        <v>99.148815483288971</v>
      </c>
      <c r="AA182" s="629">
        <f>IFERROR($Z$1/(D182)*(C178),"")</f>
        <v>98400</v>
      </c>
    </row>
    <row r="183" spans="1:27" ht="12.75" customHeight="1">
      <c r="A183" s="675" t="s">
        <v>652</v>
      </c>
      <c r="B183" s="379">
        <v>50</v>
      </c>
      <c r="C183" s="346">
        <v>12.4</v>
      </c>
      <c r="D183" s="374">
        <v>12.45</v>
      </c>
      <c r="E183" s="599">
        <v>12</v>
      </c>
      <c r="F183" s="838">
        <v>12.45</v>
      </c>
      <c r="G183" s="355">
        <v>8.0000000000000002E-3</v>
      </c>
      <c r="H183" s="347">
        <v>12.3</v>
      </c>
      <c r="I183" s="348">
        <v>12.6</v>
      </c>
      <c r="J183" s="348">
        <v>12.2</v>
      </c>
      <c r="K183" s="356">
        <v>12.35</v>
      </c>
      <c r="L183" s="343">
        <v>319911</v>
      </c>
      <c r="M183" s="350">
        <v>25958</v>
      </c>
      <c r="N183" s="343">
        <v>419</v>
      </c>
      <c r="O183" s="344">
        <v>45393.707881944443</v>
      </c>
      <c r="P183" s="283">
        <v>182</v>
      </c>
      <c r="Q183" s="345"/>
      <c r="R183" s="652">
        <v>0</v>
      </c>
      <c r="S183" s="668">
        <v>0</v>
      </c>
      <c r="T183" s="351">
        <v>0</v>
      </c>
      <c r="U183" s="482"/>
      <c r="V183" s="359">
        <v>0</v>
      </c>
      <c r="W183" s="399">
        <f t="shared" ref="W183" si="90">V182*(C182/100)</f>
        <v>0</v>
      </c>
      <c r="X183" s="665"/>
      <c r="Y183" s="492">
        <f>IFERROR(INT($Z$1/(F182)),"")</f>
        <v>8</v>
      </c>
      <c r="Z183" s="630">
        <f>IFERROR(IF(C183&lt;&gt;"",$Y$1/(D179)*(C183),""),"")</f>
        <v>99.790555389329683</v>
      </c>
      <c r="AA183" s="631">
        <f>IFERROR($Z$1/(D183)*(C179),"")</f>
        <v>99236.947791164668</v>
      </c>
    </row>
    <row r="184" spans="1:27" ht="12.75" customHeight="1">
      <c r="A184" s="677" t="s">
        <v>653</v>
      </c>
      <c r="B184" s="246">
        <v>4</v>
      </c>
      <c r="C184" s="301">
        <v>2860</v>
      </c>
      <c r="D184" s="253">
        <v>2875</v>
      </c>
      <c r="E184" s="246">
        <v>5</v>
      </c>
      <c r="F184" s="834">
        <v>2870</v>
      </c>
      <c r="G184" s="305">
        <v>2.3700000000000002E-2</v>
      </c>
      <c r="H184" s="236">
        <v>2824</v>
      </c>
      <c r="I184" s="228">
        <v>2870</v>
      </c>
      <c r="J184" s="228">
        <v>2751.5</v>
      </c>
      <c r="K184" s="257">
        <v>2803.5</v>
      </c>
      <c r="L184" s="249">
        <v>35544441</v>
      </c>
      <c r="M184" s="232">
        <v>12537</v>
      </c>
      <c r="N184" s="249">
        <v>611</v>
      </c>
      <c r="O184" s="273">
        <v>45393.686261574076</v>
      </c>
      <c r="P184" s="284">
        <v>183</v>
      </c>
      <c r="Q184" s="262"/>
      <c r="R184" s="645">
        <v>0</v>
      </c>
      <c r="S184" s="667">
        <v>0</v>
      </c>
      <c r="T184" s="244">
        <v>0</v>
      </c>
      <c r="U184" s="483"/>
      <c r="V184" s="361"/>
      <c r="W184" s="398">
        <f t="shared" ref="W184" si="91">(V184*X184)</f>
        <v>0</v>
      </c>
      <c r="X184" s="666"/>
      <c r="Y184" s="614">
        <f>IF(D184&lt;&gt;0,($C185*(1-$V$1))-$D184,0)</f>
        <v>-4.5</v>
      </c>
      <c r="Z184" s="632"/>
      <c r="AA184" s="619"/>
    </row>
    <row r="185" spans="1:27" ht="12.75" customHeight="1">
      <c r="A185" s="552" t="s">
        <v>654</v>
      </c>
      <c r="B185" s="596">
        <v>143</v>
      </c>
      <c r="C185" s="237">
        <v>2870.5</v>
      </c>
      <c r="D185" s="375">
        <v>2890</v>
      </c>
      <c r="E185" s="604">
        <v>55</v>
      </c>
      <c r="F185" s="835">
        <v>2889</v>
      </c>
      <c r="G185" s="307">
        <v>2.53E-2</v>
      </c>
      <c r="H185" s="235">
        <v>2850</v>
      </c>
      <c r="I185" s="226">
        <v>2890</v>
      </c>
      <c r="J185" s="226">
        <v>2821</v>
      </c>
      <c r="K185" s="255">
        <v>2817.5</v>
      </c>
      <c r="L185" s="233">
        <v>408657167</v>
      </c>
      <c r="M185" s="230">
        <v>142764</v>
      </c>
      <c r="N185" s="233">
        <v>3140</v>
      </c>
      <c r="O185" s="274">
        <v>45393.70820601852</v>
      </c>
      <c r="P185" s="283">
        <v>184</v>
      </c>
      <c r="Q185" s="260"/>
      <c r="R185" s="644">
        <v>0</v>
      </c>
      <c r="S185" s="669">
        <v>0</v>
      </c>
      <c r="T185" s="243">
        <v>0</v>
      </c>
      <c r="U185" s="482"/>
      <c r="V185" s="360">
        <v>0</v>
      </c>
      <c r="W185" s="393">
        <f t="shared" ref="W185" si="92">V184*(D184/100)</f>
        <v>0</v>
      </c>
      <c r="X185" s="661"/>
      <c r="Y185" s="490">
        <f>IFERROR(INT($Y$1/(F184)),"")</f>
        <v>34</v>
      </c>
      <c r="Z185" s="620"/>
      <c r="AA185" s="621"/>
    </row>
    <row r="186" spans="1:27" ht="12.75" hidden="1" customHeight="1">
      <c r="A186" s="551" t="s">
        <v>655</v>
      </c>
      <c r="B186" s="246"/>
      <c r="C186" s="301"/>
      <c r="D186" s="253"/>
      <c r="E186" s="246"/>
      <c r="F186" s="832"/>
      <c r="G186" s="308"/>
      <c r="H186" s="238"/>
      <c r="I186" s="227"/>
      <c r="J186" s="227"/>
      <c r="K186" s="258">
        <v>2.23</v>
      </c>
      <c r="L186" s="245"/>
      <c r="M186" s="231"/>
      <c r="N186" s="245"/>
      <c r="O186" s="275"/>
      <c r="P186" s="284">
        <v>185</v>
      </c>
      <c r="Q186" s="261"/>
      <c r="R186" s="654">
        <v>0</v>
      </c>
      <c r="S186" s="670">
        <v>0</v>
      </c>
      <c r="T186" s="242">
        <v>0</v>
      </c>
      <c r="U186" s="483"/>
      <c r="V186" s="298"/>
      <c r="W186" s="394">
        <f t="shared" ref="W186" si="93">(V186*X186)</f>
        <v>0</v>
      </c>
      <c r="X186" s="666"/>
      <c r="Y186" s="622">
        <f>IF(D186&lt;&gt;0,($C187*(1-$V$1))-$D186,0)</f>
        <v>0</v>
      </c>
      <c r="Z186" s="623" t="str">
        <f>IFERROR(IF(C186&lt;&gt;"",$Y$1/(D184)*(C186),""),"")</f>
        <v/>
      </c>
      <c r="AA186" s="624" t="str">
        <f>IFERROR($AA$1/(D186)*(C184),"")</f>
        <v/>
      </c>
    </row>
    <row r="187" spans="1:27" ht="12.75" hidden="1" customHeight="1">
      <c r="A187" s="552" t="s">
        <v>656</v>
      </c>
      <c r="B187" s="596"/>
      <c r="C187" s="237"/>
      <c r="D187" s="375">
        <v>2.7</v>
      </c>
      <c r="E187" s="604">
        <v>395</v>
      </c>
      <c r="F187" s="833"/>
      <c r="G187" s="307"/>
      <c r="H187" s="235"/>
      <c r="I187" s="226"/>
      <c r="J187" s="226"/>
      <c r="K187" s="255">
        <v>1.885</v>
      </c>
      <c r="L187" s="233"/>
      <c r="M187" s="230"/>
      <c r="N187" s="233"/>
      <c r="O187" s="274"/>
      <c r="P187" s="283">
        <v>186</v>
      </c>
      <c r="Q187" s="260"/>
      <c r="R187" s="644">
        <v>0</v>
      </c>
      <c r="S187" s="669">
        <v>0</v>
      </c>
      <c r="T187" s="243">
        <v>0</v>
      </c>
      <c r="U187" s="482"/>
      <c r="V187" s="297">
        <v>0</v>
      </c>
      <c r="W187" s="395">
        <f t="shared" ref="W187" si="94">V186*(F186/100)</f>
        <v>0</v>
      </c>
      <c r="X187" s="661"/>
      <c r="Y187" s="491" t="str">
        <f>IFERROR(INT($AA$1/(F186/100)),"")</f>
        <v/>
      </c>
      <c r="Z187" s="625" t="str">
        <f>IFERROR(IF(C187&lt;&gt;"",$Y$1/(D185)*(C187),""),"")</f>
        <v/>
      </c>
      <c r="AA187" s="626">
        <f>IFERROR($AA$1/(D187)*(C185),"")</f>
        <v>106314.81481481482</v>
      </c>
    </row>
    <row r="188" spans="1:27" ht="12.75" customHeight="1">
      <c r="A188" s="551" t="s">
        <v>657</v>
      </c>
      <c r="B188" s="246">
        <v>1</v>
      </c>
      <c r="C188" s="301">
        <v>2.86</v>
      </c>
      <c r="D188" s="253">
        <v>2.9</v>
      </c>
      <c r="E188" s="246">
        <v>29</v>
      </c>
      <c r="F188" s="836">
        <v>2.89</v>
      </c>
      <c r="G188" s="308">
        <v>2.4799999999999999E-2</v>
      </c>
      <c r="H188" s="238">
        <v>2.79</v>
      </c>
      <c r="I188" s="227">
        <v>2.89</v>
      </c>
      <c r="J188" s="227">
        <v>2.79</v>
      </c>
      <c r="K188" s="258">
        <v>2.82</v>
      </c>
      <c r="L188" s="245">
        <v>4275</v>
      </c>
      <c r="M188" s="231">
        <v>1497</v>
      </c>
      <c r="N188" s="245">
        <v>41</v>
      </c>
      <c r="O188" s="275">
        <v>45393.684918981482</v>
      </c>
      <c r="P188" s="284">
        <v>187</v>
      </c>
      <c r="Q188" s="261"/>
      <c r="R188" s="654">
        <v>0</v>
      </c>
      <c r="S188" s="670">
        <v>0</v>
      </c>
      <c r="T188" s="242">
        <v>0</v>
      </c>
      <c r="U188" s="483"/>
      <c r="V188" s="358"/>
      <c r="W188" s="396">
        <f t="shared" ref="W188" si="95">(V188*X188)</f>
        <v>0</v>
      </c>
      <c r="X188" s="663"/>
      <c r="Y188" s="627">
        <f>IF(D188&lt;&gt;0,($C189*(1-$V$1))-$D188,0)</f>
        <v>-4.0000000000000036E-2</v>
      </c>
      <c r="Z188" s="628">
        <f>IFERROR(IF(C188&lt;&gt;"",$Y$1/(D184)*(C188),""),"")</f>
        <v>98.949683500438923</v>
      </c>
      <c r="AA188" s="629">
        <f>IFERROR($Z$1/(D188)*(C184),"")</f>
        <v>98620.68965517242</v>
      </c>
    </row>
    <row r="189" spans="1:27" ht="12.75" customHeight="1">
      <c r="A189" s="675" t="s">
        <v>658</v>
      </c>
      <c r="B189" s="379">
        <v>320</v>
      </c>
      <c r="C189" s="346">
        <v>2.86</v>
      </c>
      <c r="D189" s="374">
        <v>2.89</v>
      </c>
      <c r="E189" s="599">
        <v>131</v>
      </c>
      <c r="F189" s="838">
        <v>2.86</v>
      </c>
      <c r="G189" s="355">
        <v>1.41E-2</v>
      </c>
      <c r="H189" s="347">
        <v>2.86</v>
      </c>
      <c r="I189" s="348">
        <v>2.89</v>
      </c>
      <c r="J189" s="348">
        <v>2.78</v>
      </c>
      <c r="K189" s="356">
        <v>2.82</v>
      </c>
      <c r="L189" s="343">
        <v>35980</v>
      </c>
      <c r="M189" s="350">
        <v>12616</v>
      </c>
      <c r="N189" s="343">
        <v>248</v>
      </c>
      <c r="O189" s="344">
        <v>45393.706747685188</v>
      </c>
      <c r="P189" s="283">
        <v>188</v>
      </c>
      <c r="Q189" s="345"/>
      <c r="R189" s="652">
        <v>0</v>
      </c>
      <c r="S189" s="668">
        <v>0</v>
      </c>
      <c r="T189" s="351">
        <v>0</v>
      </c>
      <c r="U189" s="482"/>
      <c r="V189" s="359">
        <v>0</v>
      </c>
      <c r="W189" s="399">
        <f t="shared" ref="W189" si="96">V188*(C188/100)</f>
        <v>0</v>
      </c>
      <c r="X189" s="665"/>
      <c r="Y189" s="492">
        <f>IFERROR(INT($Z$1/(F188)),"")</f>
        <v>34</v>
      </c>
      <c r="Z189" s="630">
        <f>IFERROR(IF(C189&lt;&gt;"",$Y$1/(D185)*(C189),""),"")</f>
        <v>98.436103828291323</v>
      </c>
      <c r="AA189" s="631">
        <f>IFERROR($Z$1/(D189)*(C185),"")</f>
        <v>99325.259515570942</v>
      </c>
    </row>
    <row r="190" spans="1:27" ht="12.75" customHeight="1">
      <c r="A190" s="677" t="s">
        <v>659</v>
      </c>
      <c r="B190" s="246">
        <v>78</v>
      </c>
      <c r="C190" s="301">
        <v>13150</v>
      </c>
      <c r="D190" s="253">
        <v>13249</v>
      </c>
      <c r="E190" s="246">
        <v>40</v>
      </c>
      <c r="F190" s="834">
        <v>13249</v>
      </c>
      <c r="G190" s="305">
        <v>3.1300000000000001E-2</v>
      </c>
      <c r="H190" s="236">
        <v>12900</v>
      </c>
      <c r="I190" s="228">
        <v>13250</v>
      </c>
      <c r="J190" s="228">
        <v>12900</v>
      </c>
      <c r="K190" s="257">
        <v>12846</v>
      </c>
      <c r="L190" s="249">
        <v>60751239</v>
      </c>
      <c r="M190" s="232">
        <v>4676</v>
      </c>
      <c r="N190" s="249">
        <v>565</v>
      </c>
      <c r="O190" s="273">
        <v>45393.687291666669</v>
      </c>
      <c r="P190" s="284">
        <v>189</v>
      </c>
      <c r="Q190" s="262"/>
      <c r="R190" s="645">
        <v>0</v>
      </c>
      <c r="S190" s="667">
        <v>0</v>
      </c>
      <c r="T190" s="244">
        <v>0</v>
      </c>
      <c r="U190" s="483"/>
      <c r="V190" s="361"/>
      <c r="W190" s="398">
        <f t="shared" ref="W190" si="97">(V190*X190)</f>
        <v>0</v>
      </c>
      <c r="X190" s="666"/>
      <c r="Y190" s="614">
        <f>IF(D190&lt;&gt;0,($C191*(1-$V$1))-$D190,0)</f>
        <v>-49</v>
      </c>
      <c r="Z190" s="632"/>
      <c r="AA190" s="619"/>
    </row>
    <row r="191" spans="1:27" ht="12.75" customHeight="1">
      <c r="A191" s="552" t="s">
        <v>660</v>
      </c>
      <c r="B191" s="596">
        <v>10</v>
      </c>
      <c r="C191" s="237">
        <v>13200</v>
      </c>
      <c r="D191" s="375">
        <v>13205</v>
      </c>
      <c r="E191" s="604">
        <v>1</v>
      </c>
      <c r="F191" s="835">
        <v>13204</v>
      </c>
      <c r="G191" s="307">
        <v>2.2400000000000003E-2</v>
      </c>
      <c r="H191" s="235">
        <v>13000</v>
      </c>
      <c r="I191" s="226">
        <v>13235</v>
      </c>
      <c r="J191" s="226">
        <v>12965</v>
      </c>
      <c r="K191" s="255">
        <v>12914.5</v>
      </c>
      <c r="L191" s="233">
        <v>516652432</v>
      </c>
      <c r="M191" s="230">
        <v>39399</v>
      </c>
      <c r="N191" s="233">
        <v>2543</v>
      </c>
      <c r="O191" s="274">
        <v>45393.708020833335</v>
      </c>
      <c r="P191" s="283">
        <v>190</v>
      </c>
      <c r="Q191" s="260"/>
      <c r="R191" s="644">
        <v>0</v>
      </c>
      <c r="S191" s="669">
        <v>0</v>
      </c>
      <c r="T191" s="243">
        <v>0</v>
      </c>
      <c r="U191" s="482"/>
      <c r="V191" s="360">
        <v>0</v>
      </c>
      <c r="W191" s="393">
        <f t="shared" ref="W191" si="98">V190*(D190/100)</f>
        <v>0</v>
      </c>
      <c r="X191" s="661"/>
      <c r="Y191" s="490">
        <f>IFERROR(INT($Y$1/(F190)),"")</f>
        <v>7</v>
      </c>
      <c r="Z191" s="620"/>
      <c r="AA191" s="621"/>
    </row>
    <row r="192" spans="1:27" ht="12.75" hidden="1" customHeight="1">
      <c r="A192" s="551" t="s">
        <v>661</v>
      </c>
      <c r="B192" s="246"/>
      <c r="C192" s="301"/>
      <c r="D192" s="253"/>
      <c r="E192" s="246"/>
      <c r="F192" s="832"/>
      <c r="G192" s="308"/>
      <c r="H192" s="238"/>
      <c r="I192" s="227"/>
      <c r="J192" s="227"/>
      <c r="K192" s="258">
        <v>13</v>
      </c>
      <c r="L192" s="245"/>
      <c r="M192" s="231"/>
      <c r="N192" s="245"/>
      <c r="O192" s="275"/>
      <c r="P192" s="284">
        <v>191</v>
      </c>
      <c r="Q192" s="261"/>
      <c r="R192" s="654">
        <v>0</v>
      </c>
      <c r="S192" s="670">
        <v>0</v>
      </c>
      <c r="T192" s="242">
        <v>0</v>
      </c>
      <c r="U192" s="483"/>
      <c r="V192" s="298"/>
      <c r="W192" s="394">
        <f t="shared" ref="W192" si="99">(V192*X192)</f>
        <v>0</v>
      </c>
      <c r="X192" s="666"/>
      <c r="Y192" s="622">
        <f>IF(D192&lt;&gt;0,($C193*(1-$V$1))-$D192,0)</f>
        <v>0</v>
      </c>
      <c r="Z192" s="623" t="str">
        <f>IFERROR(IF(C192&lt;&gt;"",$Y$1/(D190)*(C192),""),"")</f>
        <v/>
      </c>
      <c r="AA192" s="624" t="str">
        <f>IFERROR($AA$1/(D192)*(C190),"")</f>
        <v/>
      </c>
    </row>
    <row r="193" spans="1:27" ht="12.75" hidden="1" customHeight="1">
      <c r="A193" s="552" t="s">
        <v>662</v>
      </c>
      <c r="B193" s="596"/>
      <c r="C193" s="237"/>
      <c r="D193" s="375"/>
      <c r="E193" s="604"/>
      <c r="F193" s="833"/>
      <c r="G193" s="307"/>
      <c r="H193" s="235"/>
      <c r="I193" s="226"/>
      <c r="J193" s="226"/>
      <c r="K193" s="255">
        <v>9</v>
      </c>
      <c r="L193" s="233"/>
      <c r="M193" s="230"/>
      <c r="N193" s="233"/>
      <c r="O193" s="274"/>
      <c r="P193" s="283">
        <v>192</v>
      </c>
      <c r="Q193" s="260"/>
      <c r="R193" s="644">
        <v>0</v>
      </c>
      <c r="S193" s="669">
        <v>0</v>
      </c>
      <c r="T193" s="243">
        <v>0</v>
      </c>
      <c r="U193" s="482"/>
      <c r="V193" s="297">
        <v>0</v>
      </c>
      <c r="W193" s="395">
        <f t="shared" ref="W193" si="100">V192*(F192/100)</f>
        <v>0</v>
      </c>
      <c r="X193" s="661"/>
      <c r="Y193" s="491" t="str">
        <f>IFERROR(INT($AA$1/(F192/100)),"")</f>
        <v/>
      </c>
      <c r="Z193" s="625" t="str">
        <f>IFERROR(IF(C193&lt;&gt;"",$Y$1/(D191)*(C193),""),"")</f>
        <v/>
      </c>
      <c r="AA193" s="626" t="str">
        <f>IFERROR($AA$1/(D193)*(C191),"")</f>
        <v/>
      </c>
    </row>
    <row r="194" spans="1:27" ht="12.75" customHeight="1">
      <c r="A194" s="551" t="s">
        <v>663</v>
      </c>
      <c r="B194" s="246">
        <v>10</v>
      </c>
      <c r="C194" s="301">
        <v>13.2</v>
      </c>
      <c r="D194" s="253">
        <v>13.4</v>
      </c>
      <c r="E194" s="246">
        <v>200</v>
      </c>
      <c r="F194" s="836">
        <v>13.4</v>
      </c>
      <c r="G194" s="308">
        <v>2.6800000000000001E-2</v>
      </c>
      <c r="H194" s="238">
        <v>13</v>
      </c>
      <c r="I194" s="227">
        <v>13.4</v>
      </c>
      <c r="J194" s="227">
        <v>13</v>
      </c>
      <c r="K194" s="258">
        <v>13.05</v>
      </c>
      <c r="L194" s="245">
        <v>11880</v>
      </c>
      <c r="M194" s="231">
        <v>902</v>
      </c>
      <c r="N194" s="245">
        <v>53</v>
      </c>
      <c r="O194" s="275">
        <v>45393.680277777778</v>
      </c>
      <c r="P194" s="284">
        <v>193</v>
      </c>
      <c r="Q194" s="261"/>
      <c r="R194" s="654">
        <v>0</v>
      </c>
      <c r="S194" s="670">
        <v>0</v>
      </c>
      <c r="T194" s="242">
        <v>0</v>
      </c>
      <c r="U194" s="483"/>
      <c r="V194" s="358"/>
      <c r="W194" s="396">
        <f t="shared" ref="W194" si="101">(V194*X194)</f>
        <v>0</v>
      </c>
      <c r="X194" s="663"/>
      <c r="Y194" s="627">
        <f>IF(D194&lt;&gt;0,($C195*(1-$V$1))-$D194,0)</f>
        <v>-5.0000000000000711E-2</v>
      </c>
      <c r="Z194" s="628">
        <f>IFERROR(IF(C194&lt;&gt;"",$Y$1/(D190)*(C194),""),"")</f>
        <v>99.100776278184796</v>
      </c>
      <c r="AA194" s="629">
        <f>IFERROR($Z$1/(D194)*(C190),"")</f>
        <v>98134.328358208964</v>
      </c>
    </row>
    <row r="195" spans="1:27" ht="12.75" customHeight="1">
      <c r="A195" s="675" t="s">
        <v>664</v>
      </c>
      <c r="B195" s="379">
        <v>93</v>
      </c>
      <c r="C195" s="346">
        <v>13.35</v>
      </c>
      <c r="D195" s="374">
        <v>13.4</v>
      </c>
      <c r="E195" s="599">
        <v>29</v>
      </c>
      <c r="F195" s="838">
        <v>13.4</v>
      </c>
      <c r="G195" s="355">
        <v>3.0699999999999998E-2</v>
      </c>
      <c r="H195" s="347">
        <v>12.85</v>
      </c>
      <c r="I195" s="348">
        <v>13.4</v>
      </c>
      <c r="J195" s="348">
        <v>12.85</v>
      </c>
      <c r="K195" s="356">
        <v>13</v>
      </c>
      <c r="L195" s="343">
        <v>99948</v>
      </c>
      <c r="M195" s="350">
        <v>7589</v>
      </c>
      <c r="N195" s="343">
        <v>298</v>
      </c>
      <c r="O195" s="344">
        <v>45393.706562500003</v>
      </c>
      <c r="P195" s="283">
        <v>194</v>
      </c>
      <c r="Q195" s="345"/>
      <c r="R195" s="652">
        <v>0</v>
      </c>
      <c r="S195" s="668">
        <v>0</v>
      </c>
      <c r="T195" s="351">
        <v>0</v>
      </c>
      <c r="U195" s="482"/>
      <c r="V195" s="359">
        <v>0</v>
      </c>
      <c r="W195" s="399">
        <f t="shared" ref="W195" si="102">V194*(C194/100)</f>
        <v>0</v>
      </c>
      <c r="X195" s="665"/>
      <c r="Y195" s="492">
        <f>IFERROR(INT($Z$1/(F194)),"")</f>
        <v>7</v>
      </c>
      <c r="Z195" s="630">
        <f>IFERROR(IF(C195&lt;&gt;"",$Y$1/(D191)*(C195),""),"")</f>
        <v>100.56088470014859</v>
      </c>
      <c r="AA195" s="631">
        <f>IFERROR($Z$1/(D195)*(C191),"")</f>
        <v>98507.462686567174</v>
      </c>
    </row>
    <row r="196" spans="1:27" ht="12.75" customHeight="1">
      <c r="A196" s="677" t="s">
        <v>665</v>
      </c>
      <c r="B196" s="246">
        <v>13</v>
      </c>
      <c r="C196" s="301">
        <v>12174</v>
      </c>
      <c r="D196" s="253">
        <v>12176</v>
      </c>
      <c r="E196" s="246">
        <v>2</v>
      </c>
      <c r="F196" s="834">
        <v>12175</v>
      </c>
      <c r="G196" s="305">
        <v>1.54E-2</v>
      </c>
      <c r="H196" s="236">
        <v>12010</v>
      </c>
      <c r="I196" s="228">
        <v>12197</v>
      </c>
      <c r="J196" s="228">
        <v>11401.5</v>
      </c>
      <c r="K196" s="257">
        <v>11990</v>
      </c>
      <c r="L196" s="249">
        <v>48616747</v>
      </c>
      <c r="M196" s="232">
        <v>4057</v>
      </c>
      <c r="N196" s="249">
        <v>335</v>
      </c>
      <c r="O196" s="273">
        <v>45393.687372685185</v>
      </c>
      <c r="P196" s="284">
        <v>195</v>
      </c>
      <c r="Q196" s="262"/>
      <c r="R196" s="645">
        <v>0</v>
      </c>
      <c r="S196" s="667">
        <v>0</v>
      </c>
      <c r="T196" s="244">
        <v>0</v>
      </c>
      <c r="U196" s="483"/>
      <c r="V196" s="361"/>
      <c r="W196" s="398">
        <f t="shared" ref="W196" si="103">(V196*X196)</f>
        <v>0</v>
      </c>
      <c r="X196" s="666"/>
      <c r="Y196" s="614">
        <f>IF(D196&lt;&gt;0,($C197*(1-$V$1))-$D196,0)</f>
        <v>49</v>
      </c>
      <c r="Z196" s="632"/>
      <c r="AA196" s="619"/>
    </row>
    <row r="197" spans="1:27" ht="12.75" customHeight="1">
      <c r="A197" s="552" t="s">
        <v>666</v>
      </c>
      <c r="B197" s="596">
        <v>12</v>
      </c>
      <c r="C197" s="237">
        <v>12225</v>
      </c>
      <c r="D197" s="375">
        <v>12335</v>
      </c>
      <c r="E197" s="604">
        <v>12</v>
      </c>
      <c r="F197" s="835">
        <v>12235</v>
      </c>
      <c r="G197" s="307">
        <v>2.06E-2</v>
      </c>
      <c r="H197" s="235">
        <v>12000</v>
      </c>
      <c r="I197" s="226">
        <v>12355</v>
      </c>
      <c r="J197" s="226">
        <v>11763</v>
      </c>
      <c r="K197" s="255">
        <v>11987.5</v>
      </c>
      <c r="L197" s="233">
        <v>395656170</v>
      </c>
      <c r="M197" s="230">
        <v>32629</v>
      </c>
      <c r="N197" s="233">
        <v>1649</v>
      </c>
      <c r="O197" s="274">
        <v>45393.708148148151</v>
      </c>
      <c r="P197" s="283">
        <v>196</v>
      </c>
      <c r="Q197" s="260"/>
      <c r="R197" s="644">
        <v>0</v>
      </c>
      <c r="S197" s="669">
        <v>0</v>
      </c>
      <c r="T197" s="243">
        <v>0</v>
      </c>
      <c r="U197" s="482"/>
      <c r="V197" s="360">
        <v>0</v>
      </c>
      <c r="W197" s="393">
        <f t="shared" ref="W197" si="104">V196*(D196/100)</f>
        <v>0</v>
      </c>
      <c r="X197" s="661"/>
      <c r="Y197" s="490">
        <f>IFERROR(INT($Y$1/(F196)),"")</f>
        <v>8</v>
      </c>
      <c r="Z197" s="620"/>
      <c r="AA197" s="621"/>
    </row>
    <row r="198" spans="1:27" ht="12.75" hidden="1" customHeight="1">
      <c r="A198" s="551" t="s">
        <v>669</v>
      </c>
      <c r="B198" s="246"/>
      <c r="C198" s="301"/>
      <c r="D198" s="253"/>
      <c r="E198" s="246"/>
      <c r="F198" s="832"/>
      <c r="G198" s="308"/>
      <c r="H198" s="238"/>
      <c r="I198" s="227"/>
      <c r="J198" s="227"/>
      <c r="K198" s="258">
        <v>24.332999999999998</v>
      </c>
      <c r="L198" s="245"/>
      <c r="M198" s="231"/>
      <c r="N198" s="245"/>
      <c r="O198" s="275"/>
      <c r="P198" s="284">
        <v>197</v>
      </c>
      <c r="Q198" s="261"/>
      <c r="R198" s="654">
        <v>0</v>
      </c>
      <c r="S198" s="670">
        <v>0</v>
      </c>
      <c r="T198" s="242">
        <v>0</v>
      </c>
      <c r="U198" s="483"/>
      <c r="V198" s="298"/>
      <c r="W198" s="394">
        <f t="shared" ref="W198" si="105">(V198*X198)</f>
        <v>0</v>
      </c>
      <c r="X198" s="666"/>
      <c r="Y198" s="622">
        <f>IF(D198&lt;&gt;0,($C199*(1-$V$1))-$D198,0)</f>
        <v>0</v>
      </c>
      <c r="Z198" s="623" t="str">
        <f>IFERROR(IF(C198&lt;&gt;"",$Y$1/(D196)*(C198),""),"")</f>
        <v/>
      </c>
      <c r="AA198" s="624" t="str">
        <f>IFERROR($AA$1/(D198)*(C196),"")</f>
        <v/>
      </c>
    </row>
    <row r="199" spans="1:27" ht="12.75" hidden="1" customHeight="1">
      <c r="A199" s="552" t="s">
        <v>670</v>
      </c>
      <c r="B199" s="596"/>
      <c r="C199" s="237"/>
      <c r="D199" s="375">
        <v>16.2</v>
      </c>
      <c r="E199" s="604">
        <v>43</v>
      </c>
      <c r="F199" s="833"/>
      <c r="G199" s="307"/>
      <c r="H199" s="235"/>
      <c r="I199" s="226"/>
      <c r="J199" s="226"/>
      <c r="K199" s="255">
        <v>16.2</v>
      </c>
      <c r="L199" s="233"/>
      <c r="M199" s="230"/>
      <c r="N199" s="233"/>
      <c r="O199" s="274"/>
      <c r="P199" s="283">
        <v>198</v>
      </c>
      <c r="Q199" s="260"/>
      <c r="R199" s="644">
        <v>0</v>
      </c>
      <c r="S199" s="669">
        <v>0</v>
      </c>
      <c r="T199" s="243">
        <v>0</v>
      </c>
      <c r="U199" s="482"/>
      <c r="V199" s="297">
        <v>0</v>
      </c>
      <c r="W199" s="395">
        <f t="shared" ref="W199" si="106">V198*(F198/100)</f>
        <v>0</v>
      </c>
      <c r="X199" s="661"/>
      <c r="Y199" s="491" t="str">
        <f>IFERROR(INT($AA$1/(F198/100)),"")</f>
        <v/>
      </c>
      <c r="Z199" s="625" t="str">
        <f>IFERROR(IF(C199&lt;&gt;"",$Y$1/(D197)*(C199),""),"")</f>
        <v/>
      </c>
      <c r="AA199" s="626">
        <f>IFERROR($AA$1/(D199)*(C197),"")</f>
        <v>75462.962962962964</v>
      </c>
    </row>
    <row r="200" spans="1:27" ht="12.75" customHeight="1">
      <c r="A200" s="551" t="s">
        <v>667</v>
      </c>
      <c r="B200" s="246">
        <v>109</v>
      </c>
      <c r="C200" s="301">
        <v>12.2</v>
      </c>
      <c r="D200" s="253">
        <v>12.4</v>
      </c>
      <c r="E200" s="246">
        <v>138</v>
      </c>
      <c r="F200" s="836">
        <v>12.2</v>
      </c>
      <c r="G200" s="308">
        <v>1.66E-2</v>
      </c>
      <c r="H200" s="238">
        <v>12.1</v>
      </c>
      <c r="I200" s="227">
        <v>12.5</v>
      </c>
      <c r="J200" s="227">
        <v>11.9</v>
      </c>
      <c r="K200" s="258">
        <v>12</v>
      </c>
      <c r="L200" s="245">
        <v>10802</v>
      </c>
      <c r="M200" s="231">
        <v>891</v>
      </c>
      <c r="N200" s="245">
        <v>58</v>
      </c>
      <c r="O200" s="275">
        <v>45393.68545138889</v>
      </c>
      <c r="P200" s="284">
        <v>199</v>
      </c>
      <c r="Q200" s="261"/>
      <c r="R200" s="654">
        <v>0</v>
      </c>
      <c r="S200" s="670">
        <v>0</v>
      </c>
      <c r="T200" s="242">
        <v>0</v>
      </c>
      <c r="U200" s="483"/>
      <c r="V200" s="358"/>
      <c r="W200" s="396">
        <f t="shared" ref="W200" si="107">(V200*X200)</f>
        <v>0</v>
      </c>
      <c r="X200" s="663"/>
      <c r="Y200" s="627">
        <f>IF(D200&lt;&gt;0,($C201*(1-$V$1))-$D200,0)</f>
        <v>-0.15000000000000036</v>
      </c>
      <c r="Z200" s="628">
        <f>IFERROR(IF(C200&lt;&gt;"",$Y$1/(D196)*(C200),""),"")</f>
        <v>99.664712100667344</v>
      </c>
      <c r="AA200" s="629">
        <f>IFERROR($Z$1/(D200)*(C196),"")</f>
        <v>98177.419354838712</v>
      </c>
    </row>
    <row r="201" spans="1:27" ht="12.75" customHeight="1">
      <c r="A201" s="675" t="s">
        <v>668</v>
      </c>
      <c r="B201" s="379">
        <v>144</v>
      </c>
      <c r="C201" s="346">
        <v>12.25</v>
      </c>
      <c r="D201" s="374">
        <v>12.35</v>
      </c>
      <c r="E201" s="599">
        <v>1</v>
      </c>
      <c r="F201" s="838">
        <v>12.3</v>
      </c>
      <c r="G201" s="355">
        <v>1.23E-2</v>
      </c>
      <c r="H201" s="347">
        <v>12.1</v>
      </c>
      <c r="I201" s="348">
        <v>12.3</v>
      </c>
      <c r="J201" s="348">
        <v>11.6</v>
      </c>
      <c r="K201" s="356">
        <v>12.15</v>
      </c>
      <c r="L201" s="343">
        <v>37872</v>
      </c>
      <c r="M201" s="350">
        <v>3126</v>
      </c>
      <c r="N201" s="343">
        <v>170</v>
      </c>
      <c r="O201" s="344">
        <v>45393.70380787037</v>
      </c>
      <c r="P201" s="283">
        <v>200</v>
      </c>
      <c r="Q201" s="345"/>
      <c r="R201" s="652">
        <v>0</v>
      </c>
      <c r="S201" s="668">
        <v>0</v>
      </c>
      <c r="T201" s="351">
        <v>0</v>
      </c>
      <c r="U201" s="482"/>
      <c r="V201" s="359">
        <v>0</v>
      </c>
      <c r="W201" s="399">
        <f t="shared" ref="W201" si="108">V200*(C200/100)</f>
        <v>0</v>
      </c>
      <c r="X201" s="665"/>
      <c r="Y201" s="492">
        <f>IFERROR(INT($Z$1/(F200)),"")</f>
        <v>8</v>
      </c>
      <c r="Z201" s="630">
        <f>IFERROR(IF(C201&lt;&gt;"",$Y$1/(D197)*(C201),""),"")</f>
        <v>98.783215813240616</v>
      </c>
      <c r="AA201" s="631">
        <f>IFERROR($Z$1/(D201)*(C197),"")</f>
        <v>98987.854251012148</v>
      </c>
    </row>
    <row r="206" spans="1:27" ht="12.75" customHeight="1">
      <c r="A206" s="752"/>
    </row>
    <row r="207" spans="1:27" ht="12.75" customHeight="1">
      <c r="A207" s="753"/>
    </row>
    <row r="208" spans="1:27" ht="12.75" customHeight="1">
      <c r="A208" s="753"/>
    </row>
    <row r="209" spans="1:1" ht="12.75" customHeight="1">
      <c r="A209" s="753"/>
    </row>
  </sheetData>
  <sortState xmlns:xlrd2="http://schemas.microsoft.com/office/spreadsheetml/2017/richdata2" ref="A15">
    <sortCondition descending="1" ref="A14:A15"/>
  </sortState>
  <mergeCells count="18">
    <mergeCell ref="AA16:AA17"/>
    <mergeCell ref="AA18:AA19"/>
    <mergeCell ref="AA20:AA21"/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</mergeCells>
  <phoneticPr fontId="16" type="noConversion"/>
  <conditionalFormatting sqref="G70:G159 G60:G63 G2:G29">
    <cfRule type="cellIs" dxfId="2344" priority="15074" operator="lessThan">
      <formula>0</formula>
    </cfRule>
  </conditionalFormatting>
  <conditionalFormatting sqref="Q60:T159">
    <cfRule type="cellIs" dxfId="2343" priority="14583" operator="equal">
      <formula>0</formula>
    </cfRule>
  </conditionalFormatting>
  <conditionalFormatting sqref="V60:V81 V2:V41">
    <cfRule type="cellIs" dxfId="2342" priority="15076" operator="lessThan">
      <formula>0</formula>
    </cfRule>
    <cfRule type="cellIs" dxfId="2341" priority="15077" operator="equal">
      <formula>0</formula>
    </cfRule>
  </conditionalFormatting>
  <conditionalFormatting sqref="Y66 Y68">
    <cfRule type="cellIs" dxfId="2340" priority="10679" operator="lessThanOrEqual">
      <formula>0</formula>
    </cfRule>
  </conditionalFormatting>
  <conditionalFormatting sqref="Z30:Z34 W62:X63 Z37:Z39">
    <cfRule type="cellIs" dxfId="2339" priority="15326" operator="equal">
      <formula>0</formula>
    </cfRule>
  </conditionalFormatting>
  <conditionalFormatting sqref="W65">
    <cfRule type="cellIs" dxfId="2338" priority="10633" operator="equal">
      <formula>0</formula>
    </cfRule>
  </conditionalFormatting>
  <conditionalFormatting sqref="W64">
    <cfRule type="cellIs" dxfId="2337" priority="5743" operator="equal">
      <formula>0</formula>
    </cfRule>
    <cfRule type="cellIs" dxfId="2336" priority="5745" operator="lessThan">
      <formula>W65</formula>
    </cfRule>
    <cfRule type="cellIs" dxfId="2335" priority="10632" operator="lessThan">
      <formula>0</formula>
    </cfRule>
  </conditionalFormatting>
  <conditionalFormatting sqref="W67">
    <cfRule type="cellIs" dxfId="2334" priority="10631" operator="equal">
      <formula>0</formula>
    </cfRule>
  </conditionalFormatting>
  <conditionalFormatting sqref="W66">
    <cfRule type="cellIs" dxfId="2333" priority="5741" operator="equal">
      <formula>0</formula>
    </cfRule>
    <cfRule type="cellIs" dxfId="2332" priority="5742" operator="lessThan">
      <formula>W67</formula>
    </cfRule>
    <cfRule type="cellIs" dxfId="2331" priority="10630" operator="lessThan">
      <formula>0</formula>
    </cfRule>
  </conditionalFormatting>
  <conditionalFormatting sqref="W68">
    <cfRule type="cellIs" dxfId="2330" priority="5740" operator="equal">
      <formula>0</formula>
    </cfRule>
    <cfRule type="cellIs" dxfId="2329" priority="5746" operator="lessThan">
      <formula>W69</formula>
    </cfRule>
  </conditionalFormatting>
  <conditionalFormatting sqref="Z2 Z6 Z10 Z14 Z18 Z22">
    <cfRule type="cellIs" dxfId="2328" priority="10300" operator="equal">
      <formula>0</formula>
    </cfRule>
  </conditionalFormatting>
  <conditionalFormatting sqref="Z3 Z7 Z11 Z15 Z19 Z23">
    <cfRule type="cellIs" dxfId="2327" priority="10299" operator="equal">
      <formula>0</formula>
    </cfRule>
  </conditionalFormatting>
  <conditionalFormatting sqref="Z4 Z8 Z12 Z16 Z20 Z24">
    <cfRule type="cellIs" dxfId="2326" priority="10298" operator="equal">
      <formula>0</formula>
    </cfRule>
  </conditionalFormatting>
  <conditionalFormatting sqref="Z5 Z9 Z13 Z17 Z21 Z25">
    <cfRule type="cellIs" dxfId="2325" priority="10297" operator="equal">
      <formula>0</formula>
    </cfRule>
  </conditionalFormatting>
  <conditionalFormatting sqref="G64:G69">
    <cfRule type="cellIs" dxfId="2324" priority="9432" operator="lessThan">
      <formula>0</formula>
    </cfRule>
  </conditionalFormatting>
  <conditionalFormatting sqref="G18">
    <cfRule type="cellIs" dxfId="2323" priority="9431" operator="equal">
      <formula>0</formula>
    </cfRule>
  </conditionalFormatting>
  <conditionalFormatting sqref="G19">
    <cfRule type="cellIs" dxfId="2322" priority="9430" operator="equal">
      <formula>0</formula>
    </cfRule>
  </conditionalFormatting>
  <conditionalFormatting sqref="G20">
    <cfRule type="cellIs" dxfId="2321" priority="9429" operator="equal">
      <formula>0</formula>
    </cfRule>
  </conditionalFormatting>
  <conditionalFormatting sqref="G21">
    <cfRule type="cellIs" dxfId="2320" priority="9428" operator="equal">
      <formula>0</formula>
    </cfRule>
  </conditionalFormatting>
  <conditionalFormatting sqref="G22">
    <cfRule type="cellIs" dxfId="2319" priority="9427" operator="equal">
      <formula>0</formula>
    </cfRule>
  </conditionalFormatting>
  <conditionalFormatting sqref="G23">
    <cfRule type="cellIs" dxfId="2318" priority="9426" operator="equal">
      <formula>0</formula>
    </cfRule>
  </conditionalFormatting>
  <conditionalFormatting sqref="G24">
    <cfRule type="cellIs" dxfId="2317" priority="9425" operator="equal">
      <formula>0</formula>
    </cfRule>
  </conditionalFormatting>
  <conditionalFormatting sqref="G25">
    <cfRule type="cellIs" dxfId="2316" priority="9424" operator="equal">
      <formula>0</formula>
    </cfRule>
  </conditionalFormatting>
  <conditionalFormatting sqref="G2">
    <cfRule type="cellIs" dxfId="2315" priority="9423" operator="equal">
      <formula>0</formula>
    </cfRule>
  </conditionalFormatting>
  <conditionalFormatting sqref="G3">
    <cfRule type="cellIs" dxfId="2314" priority="9422" operator="equal">
      <formula>0</formula>
    </cfRule>
  </conditionalFormatting>
  <conditionalFormatting sqref="G4">
    <cfRule type="cellIs" dxfId="2313" priority="9421" operator="equal">
      <formula>0</formula>
    </cfRule>
  </conditionalFormatting>
  <conditionalFormatting sqref="G5">
    <cfRule type="cellIs" dxfId="2312" priority="9420" operator="equal">
      <formula>0</formula>
    </cfRule>
  </conditionalFormatting>
  <conditionalFormatting sqref="G6">
    <cfRule type="cellIs" dxfId="2311" priority="9419" operator="equal">
      <formula>0</formula>
    </cfRule>
  </conditionalFormatting>
  <conditionalFormatting sqref="G7">
    <cfRule type="cellIs" dxfId="2310" priority="9418" operator="equal">
      <formula>0</formula>
    </cfRule>
  </conditionalFormatting>
  <conditionalFormatting sqref="G8">
    <cfRule type="cellIs" dxfId="2309" priority="9417" operator="equal">
      <formula>0</formula>
    </cfRule>
  </conditionalFormatting>
  <conditionalFormatting sqref="G9">
    <cfRule type="cellIs" dxfId="2308" priority="9416" operator="equal">
      <formula>0</formula>
    </cfRule>
  </conditionalFormatting>
  <conditionalFormatting sqref="G10">
    <cfRule type="cellIs" dxfId="2307" priority="9415" operator="equal">
      <formula>0</formula>
    </cfRule>
  </conditionalFormatting>
  <conditionalFormatting sqref="G11">
    <cfRule type="cellIs" dxfId="2306" priority="9414" operator="equal">
      <formula>0</formula>
    </cfRule>
  </conditionalFormatting>
  <conditionalFormatting sqref="G12">
    <cfRule type="cellIs" dxfId="2305" priority="9413" operator="equal">
      <formula>0</formula>
    </cfRule>
  </conditionalFormatting>
  <conditionalFormatting sqref="G13">
    <cfRule type="cellIs" dxfId="2304" priority="9412" operator="equal">
      <formula>0</formula>
    </cfRule>
  </conditionalFormatting>
  <conditionalFormatting sqref="G14 G26">
    <cfRule type="cellIs" dxfId="2303" priority="9411" operator="equal">
      <formula>0</formula>
    </cfRule>
  </conditionalFormatting>
  <conditionalFormatting sqref="G15 G27">
    <cfRule type="cellIs" dxfId="2302" priority="9410" operator="equal">
      <formula>0</formula>
    </cfRule>
  </conditionalFormatting>
  <conditionalFormatting sqref="G16 G28">
    <cfRule type="cellIs" dxfId="2301" priority="9409" operator="equal">
      <formula>0</formula>
    </cfRule>
  </conditionalFormatting>
  <conditionalFormatting sqref="G17:G25 G29">
    <cfRule type="cellIs" dxfId="2300" priority="9408" operator="equal">
      <formula>0</formula>
    </cfRule>
  </conditionalFormatting>
  <conditionalFormatting sqref="Y3">
    <cfRule type="cellIs" dxfId="2299" priority="9353" operator="equal">
      <formula>0</formula>
    </cfRule>
  </conditionalFormatting>
  <conditionalFormatting sqref="Y4">
    <cfRule type="cellIs" dxfId="2298" priority="9352" operator="equal">
      <formula>0</formula>
    </cfRule>
  </conditionalFormatting>
  <conditionalFormatting sqref="Y7">
    <cfRule type="cellIs" dxfId="2297" priority="9347" operator="equal">
      <formula>0</formula>
    </cfRule>
  </conditionalFormatting>
  <conditionalFormatting sqref="Y8">
    <cfRule type="cellIs" dxfId="2296" priority="9346" operator="equal">
      <formula>0</formula>
    </cfRule>
  </conditionalFormatting>
  <conditionalFormatting sqref="Y11 Y15 Y19 Y23">
    <cfRule type="cellIs" dxfId="2295" priority="9341" operator="equal">
      <formula>0</formula>
    </cfRule>
  </conditionalFormatting>
  <conditionalFormatting sqref="Y12 Y16 Y20 Y24">
    <cfRule type="cellIs" dxfId="2294" priority="9340" operator="equal">
      <formula>0</formula>
    </cfRule>
  </conditionalFormatting>
  <conditionalFormatting sqref="B2 B6 B10 B14">
    <cfRule type="expression" dxfId="2293" priority="18538">
      <formula>IF($Y5&gt;$Y2,AND(MID($A2,5,1)=" "))</formula>
    </cfRule>
    <cfRule type="expression" dxfId="2292" priority="18539">
      <formula>IF($Y5&gt;$Y2,AND(MID($A2,5,1)="C"))</formula>
    </cfRule>
    <cfRule type="expression" dxfId="2291" priority="18540">
      <formula>IF($Y5&gt;$Y2,AND(MID($A2,5,1)="D"))</formula>
    </cfRule>
  </conditionalFormatting>
  <conditionalFormatting sqref="E3 E7 E11 E15">
    <cfRule type="expression" dxfId="2290" priority="18553">
      <formula>IF($Y5&gt;$Y2,AND(MID($A3,5,1)=" "))</formula>
    </cfRule>
    <cfRule type="expression" dxfId="2289" priority="18554">
      <formula>IF($Y5&gt;$Y2,AND(MID($A3,5,1)="C"))</formula>
    </cfRule>
    <cfRule type="expression" dxfId="2288" priority="18555">
      <formula>IF($Y5&gt;$Y2,AND(MID($A3,5,1)="D"))</formula>
    </cfRule>
  </conditionalFormatting>
  <conditionalFormatting sqref="B4 B8 B16">
    <cfRule type="expression" dxfId="2287" priority="18568">
      <formula>IF($Y5&gt;$Y2,AND(MID($A4,5,1)=" "))</formula>
    </cfRule>
    <cfRule type="expression" dxfId="2286" priority="18569">
      <formula>IF($Y5&gt;$Y2,AND(MID($A4,5,1)="C"))</formula>
    </cfRule>
    <cfRule type="expression" dxfId="2285" priority="18570">
      <formula>IF($Y5&gt;$Y2,AND(MID($A4,5,1)="D"))</formula>
    </cfRule>
  </conditionalFormatting>
  <conditionalFormatting sqref="E5 E9 E13 E17">
    <cfRule type="expression" dxfId="2284" priority="18583">
      <formula>IF($Y5&gt;$Y2,AND(MID($A5,5,1)=" "))</formula>
    </cfRule>
    <cfRule type="expression" dxfId="2283" priority="18584">
      <formula>IF($Y5&gt;$Y2,AND(MID($A5,5,1)="C"))</formula>
    </cfRule>
    <cfRule type="expression" dxfId="2282" priority="18585">
      <formula>IF($Y5&gt;$Y2,AND(MID($A5,5,1)="D"))</formula>
    </cfRule>
  </conditionalFormatting>
  <conditionalFormatting sqref="C2 C6 C10 C14">
    <cfRule type="expression" dxfId="2281" priority="18598">
      <formula>IF($Y5&gt;$Y2,AND(MID($A2,5,1)=" "))</formula>
    </cfRule>
    <cfRule type="expression" dxfId="2280" priority="18599">
      <formula>IF($Y5&gt;$Y2,AND(MID($A2,5,1)="C"))</formula>
    </cfRule>
    <cfRule type="expression" dxfId="2279" priority="18600">
      <formula>IF($Y5&gt;$Y2,AND(MID($A2,5,1)="D"))</formula>
    </cfRule>
  </conditionalFormatting>
  <conditionalFormatting sqref="D3 D7 D11 D15">
    <cfRule type="expression" dxfId="2278" priority="18613">
      <formula>IF($Y5&gt;$Y2,AND(MID($A3,5,1)=" "))</formula>
    </cfRule>
    <cfRule type="expression" dxfId="2277" priority="18614">
      <formula>IF($Y5&gt;$Y2,AND(MID($A3,5,1)="C"))</formula>
    </cfRule>
    <cfRule type="expression" dxfId="2276" priority="18615">
      <formula>IF($Y5&gt;$Y2,AND(MID($A3,5,1)="D"))</formula>
    </cfRule>
  </conditionalFormatting>
  <conditionalFormatting sqref="D5 D9 D13 D17">
    <cfRule type="expression" dxfId="2275" priority="18628">
      <formula>IF($Y5&gt;$Y2,AND(MID($A5,5,1)=" "))</formula>
    </cfRule>
    <cfRule type="expression" dxfId="2274" priority="18629">
      <formula>IF($Y5&gt;$Y2,AND(MID($A5,5,1)="C"))</formula>
    </cfRule>
    <cfRule type="expression" dxfId="2273" priority="18630">
      <formula>IF($Y5&gt;$Y2,AND(MID($A5,5,1)="D"))</formula>
    </cfRule>
  </conditionalFormatting>
  <conditionalFormatting sqref="C4 C8 C16">
    <cfRule type="expression" dxfId="2272" priority="18643">
      <formula>IF($Y5&gt;$Y2,AND(MID($A4,5,1)=" "))</formula>
    </cfRule>
    <cfRule type="expression" dxfId="2271" priority="18644">
      <formula>IF($Y5&gt;$Y2,AND(MID($A4,5,1)="C"))</formula>
    </cfRule>
    <cfRule type="expression" dxfId="2270" priority="18645">
      <formula>IF($Y5&gt;$Y2,AND(MID($A4,5,1)="D"))</formula>
    </cfRule>
  </conditionalFormatting>
  <conditionalFormatting sqref="G160:G201">
    <cfRule type="cellIs" dxfId="2269" priority="8499" operator="lessThan">
      <formula>0</formula>
    </cfRule>
  </conditionalFormatting>
  <conditionalFormatting sqref="Q160:T201">
    <cfRule type="cellIs" dxfId="2268" priority="8496" operator="equal">
      <formula>0</formula>
    </cfRule>
  </conditionalFormatting>
  <conditionalFormatting sqref="Z66">
    <cfRule type="cellIs" dxfId="2267" priority="8473" operator="equal">
      <formula>0</formula>
    </cfRule>
  </conditionalFormatting>
  <conditionalFormatting sqref="AA66">
    <cfRule type="cellIs" dxfId="2266" priority="8472" operator="equal">
      <formula>0</formula>
    </cfRule>
  </conditionalFormatting>
  <conditionalFormatting sqref="Z67 Z69">
    <cfRule type="cellIs" dxfId="2265" priority="8470" operator="equal">
      <formula>0</formula>
    </cfRule>
  </conditionalFormatting>
  <conditionalFormatting sqref="AA67:AA69">
    <cfRule type="cellIs" dxfId="2264" priority="8469" operator="equal">
      <formula>0</formula>
    </cfRule>
  </conditionalFormatting>
  <conditionalFormatting sqref="Z72">
    <cfRule type="cellIs" dxfId="2263" priority="8468" operator="equal">
      <formula>0</formula>
    </cfRule>
  </conditionalFormatting>
  <conditionalFormatting sqref="AA72">
    <cfRule type="cellIs" dxfId="2262" priority="8467" operator="equal">
      <formula>0</formula>
    </cfRule>
  </conditionalFormatting>
  <conditionalFormatting sqref="Z73:Z75">
    <cfRule type="cellIs" dxfId="2261" priority="8465" operator="equal">
      <formula>0</formula>
    </cfRule>
  </conditionalFormatting>
  <conditionalFormatting sqref="AA73:AA75">
    <cfRule type="cellIs" dxfId="2260" priority="8464" operator="equal">
      <formula>0</formula>
    </cfRule>
  </conditionalFormatting>
  <conditionalFormatting sqref="Z78">
    <cfRule type="cellIs" dxfId="2259" priority="8463" operator="equal">
      <formula>0</formula>
    </cfRule>
  </conditionalFormatting>
  <conditionalFormatting sqref="AA78">
    <cfRule type="cellIs" dxfId="2258" priority="8462" operator="equal">
      <formula>0</formula>
    </cfRule>
  </conditionalFormatting>
  <conditionalFormatting sqref="Z79:Z81">
    <cfRule type="cellIs" dxfId="2257" priority="8460" operator="equal">
      <formula>0</formula>
    </cfRule>
  </conditionalFormatting>
  <conditionalFormatting sqref="AA79:AA81">
    <cfRule type="cellIs" dxfId="2256" priority="8459" operator="equal">
      <formula>0</formula>
    </cfRule>
  </conditionalFormatting>
  <conditionalFormatting sqref="Z84">
    <cfRule type="cellIs" dxfId="2255" priority="8458" operator="equal">
      <formula>0</formula>
    </cfRule>
  </conditionalFormatting>
  <conditionalFormatting sqref="AA84">
    <cfRule type="cellIs" dxfId="2254" priority="8457" operator="equal">
      <formula>0</formula>
    </cfRule>
  </conditionalFormatting>
  <conditionalFormatting sqref="Z85:Z87">
    <cfRule type="cellIs" dxfId="2253" priority="8455" operator="equal">
      <formula>0</formula>
    </cfRule>
  </conditionalFormatting>
  <conditionalFormatting sqref="AA85:AA87">
    <cfRule type="cellIs" dxfId="2252" priority="8454" operator="equal">
      <formula>0</formula>
    </cfRule>
  </conditionalFormatting>
  <conditionalFormatting sqref="Z90">
    <cfRule type="cellIs" dxfId="2251" priority="8453" operator="equal">
      <formula>0</formula>
    </cfRule>
  </conditionalFormatting>
  <conditionalFormatting sqref="AA90">
    <cfRule type="cellIs" dxfId="2250" priority="8452" operator="equal">
      <formula>0</formula>
    </cfRule>
  </conditionalFormatting>
  <conditionalFormatting sqref="Z91:Z93">
    <cfRule type="cellIs" dxfId="2249" priority="8450" operator="equal">
      <formula>0</formula>
    </cfRule>
  </conditionalFormatting>
  <conditionalFormatting sqref="AA91:AA93">
    <cfRule type="cellIs" dxfId="2248" priority="8449" operator="equal">
      <formula>0</formula>
    </cfRule>
  </conditionalFormatting>
  <conditionalFormatting sqref="Z96">
    <cfRule type="cellIs" dxfId="2247" priority="8448" operator="equal">
      <formula>0</formula>
    </cfRule>
  </conditionalFormatting>
  <conditionalFormatting sqref="AA96">
    <cfRule type="cellIs" dxfId="2246" priority="8447" operator="equal">
      <formula>0</formula>
    </cfRule>
  </conditionalFormatting>
  <conditionalFormatting sqref="Z97:Z99">
    <cfRule type="cellIs" dxfId="2245" priority="8445" operator="equal">
      <formula>0</formula>
    </cfRule>
  </conditionalFormatting>
  <conditionalFormatting sqref="AA97:AA99">
    <cfRule type="cellIs" dxfId="2244" priority="8444" operator="equal">
      <formula>0</formula>
    </cfRule>
  </conditionalFormatting>
  <conditionalFormatting sqref="Z102">
    <cfRule type="cellIs" dxfId="2243" priority="8443" operator="equal">
      <formula>0</formula>
    </cfRule>
  </conditionalFormatting>
  <conditionalFormatting sqref="AA102">
    <cfRule type="cellIs" dxfId="2242" priority="8442" operator="equal">
      <formula>0</formula>
    </cfRule>
  </conditionalFormatting>
  <conditionalFormatting sqref="Z103:Z105">
    <cfRule type="cellIs" dxfId="2241" priority="8440" operator="equal">
      <formula>0</formula>
    </cfRule>
  </conditionalFormatting>
  <conditionalFormatting sqref="AA103:AA105">
    <cfRule type="cellIs" dxfId="2240" priority="8439" operator="equal">
      <formula>0</formula>
    </cfRule>
  </conditionalFormatting>
  <conditionalFormatting sqref="Z108">
    <cfRule type="cellIs" dxfId="2239" priority="8438" operator="equal">
      <formula>0</formula>
    </cfRule>
  </conditionalFormatting>
  <conditionalFormatting sqref="AA108">
    <cfRule type="cellIs" dxfId="2238" priority="8437" operator="equal">
      <formula>0</formula>
    </cfRule>
  </conditionalFormatting>
  <conditionalFormatting sqref="Z109:Z111">
    <cfRule type="cellIs" dxfId="2237" priority="8435" operator="equal">
      <formula>0</formula>
    </cfRule>
  </conditionalFormatting>
  <conditionalFormatting sqref="AA109:AA111">
    <cfRule type="cellIs" dxfId="2236" priority="8434" operator="equal">
      <formula>0</formula>
    </cfRule>
  </conditionalFormatting>
  <conditionalFormatting sqref="Z114">
    <cfRule type="cellIs" dxfId="2235" priority="8433" operator="equal">
      <formula>0</formula>
    </cfRule>
  </conditionalFormatting>
  <conditionalFormatting sqref="AA114">
    <cfRule type="cellIs" dxfId="2234" priority="8432" operator="equal">
      <formula>0</formula>
    </cfRule>
  </conditionalFormatting>
  <conditionalFormatting sqref="Z138">
    <cfRule type="cellIs" dxfId="2233" priority="8413" operator="equal">
      <formula>0</formula>
    </cfRule>
  </conditionalFormatting>
  <conditionalFormatting sqref="Z115:Z117">
    <cfRule type="cellIs" dxfId="2232" priority="8430" operator="equal">
      <formula>0</formula>
    </cfRule>
  </conditionalFormatting>
  <conditionalFormatting sqref="AA115:AA117">
    <cfRule type="cellIs" dxfId="2231" priority="8429" operator="equal">
      <formula>0</formula>
    </cfRule>
  </conditionalFormatting>
  <conditionalFormatting sqref="Z120">
    <cfRule type="cellIs" dxfId="2230" priority="8428" operator="equal">
      <formula>0</formula>
    </cfRule>
  </conditionalFormatting>
  <conditionalFormatting sqref="AA120">
    <cfRule type="cellIs" dxfId="2229" priority="8427" operator="equal">
      <formula>0</formula>
    </cfRule>
  </conditionalFormatting>
  <conditionalFormatting sqref="Z139:Z141">
    <cfRule type="cellIs" dxfId="2228" priority="8410" operator="equal">
      <formula>0</formula>
    </cfRule>
  </conditionalFormatting>
  <conditionalFormatting sqref="Z121:Z123">
    <cfRule type="cellIs" dxfId="2227" priority="8425" operator="equal">
      <formula>0</formula>
    </cfRule>
  </conditionalFormatting>
  <conditionalFormatting sqref="AA121:AA123">
    <cfRule type="cellIs" dxfId="2226" priority="8424" operator="equal">
      <formula>0</formula>
    </cfRule>
  </conditionalFormatting>
  <conditionalFormatting sqref="Z126">
    <cfRule type="cellIs" dxfId="2225" priority="8423" operator="equal">
      <formula>0</formula>
    </cfRule>
  </conditionalFormatting>
  <conditionalFormatting sqref="AA126">
    <cfRule type="cellIs" dxfId="2224" priority="8422" operator="equal">
      <formula>0</formula>
    </cfRule>
  </conditionalFormatting>
  <conditionalFormatting sqref="AA144">
    <cfRule type="cellIs" dxfId="2223" priority="8407" operator="equal">
      <formula>0</formula>
    </cfRule>
  </conditionalFormatting>
  <conditionalFormatting sqref="Z127:Z129">
    <cfRule type="cellIs" dxfId="2222" priority="8420" operator="equal">
      <formula>0</formula>
    </cfRule>
  </conditionalFormatting>
  <conditionalFormatting sqref="AA127:AA129">
    <cfRule type="cellIs" dxfId="2221" priority="8419" operator="equal">
      <formula>0</formula>
    </cfRule>
  </conditionalFormatting>
  <conditionalFormatting sqref="Z132">
    <cfRule type="cellIs" dxfId="2220" priority="8418" operator="equal">
      <formula>0</formula>
    </cfRule>
  </conditionalFormatting>
  <conditionalFormatting sqref="AA132">
    <cfRule type="cellIs" dxfId="2219" priority="8417" operator="equal">
      <formula>0</formula>
    </cfRule>
  </conditionalFormatting>
  <conditionalFormatting sqref="AA145:AA147">
    <cfRule type="cellIs" dxfId="2218" priority="8404" operator="equal">
      <formula>0</formula>
    </cfRule>
  </conditionalFormatting>
  <conditionalFormatting sqref="Z133:Z135">
    <cfRule type="cellIs" dxfId="2217" priority="8415" operator="equal">
      <formula>0</formula>
    </cfRule>
  </conditionalFormatting>
  <conditionalFormatting sqref="AA133:AA135">
    <cfRule type="cellIs" dxfId="2216" priority="8414" operator="equal">
      <formula>0</formula>
    </cfRule>
  </conditionalFormatting>
  <conditionalFormatting sqref="AA138">
    <cfRule type="cellIs" dxfId="2215" priority="8412" operator="equal">
      <formula>0</formula>
    </cfRule>
  </conditionalFormatting>
  <conditionalFormatting sqref="AA139:AA141">
    <cfRule type="cellIs" dxfId="2214" priority="8409" operator="equal">
      <formula>0</formula>
    </cfRule>
  </conditionalFormatting>
  <conditionalFormatting sqref="Z144">
    <cfRule type="cellIs" dxfId="2213" priority="8408" operator="equal">
      <formula>0</formula>
    </cfRule>
  </conditionalFormatting>
  <conditionalFormatting sqref="Z156">
    <cfRule type="cellIs" dxfId="2212" priority="8398" operator="equal">
      <formula>0</formula>
    </cfRule>
  </conditionalFormatting>
  <conditionalFormatting sqref="Z145:Z147">
    <cfRule type="cellIs" dxfId="2211" priority="8405" operator="equal">
      <formula>0</formula>
    </cfRule>
  </conditionalFormatting>
  <conditionalFormatting sqref="Z150">
    <cfRule type="cellIs" dxfId="2210" priority="8403" operator="equal">
      <formula>0</formula>
    </cfRule>
  </conditionalFormatting>
  <conditionalFormatting sqref="AA150">
    <cfRule type="cellIs" dxfId="2209" priority="8402" operator="equal">
      <formula>0</formula>
    </cfRule>
  </conditionalFormatting>
  <conditionalFormatting sqref="Z157:Z159">
    <cfRule type="cellIs" dxfId="2208" priority="8395" operator="equal">
      <formula>0</formula>
    </cfRule>
  </conditionalFormatting>
  <conditionalFormatting sqref="Z151:Z153">
    <cfRule type="cellIs" dxfId="2207" priority="8400" operator="equal">
      <formula>0</formula>
    </cfRule>
  </conditionalFormatting>
  <conditionalFormatting sqref="AA151:AA153">
    <cfRule type="cellIs" dxfId="2206" priority="8399" operator="equal">
      <formula>0</formula>
    </cfRule>
  </conditionalFormatting>
  <conditionalFormatting sqref="AA156">
    <cfRule type="cellIs" dxfId="2205" priority="8397" operator="equal">
      <formula>0</formula>
    </cfRule>
  </conditionalFormatting>
  <conditionalFormatting sqref="AA162 AA168 AA174 AA180 AA186 AA192 AA198">
    <cfRule type="cellIs" dxfId="2204" priority="8392" operator="equal">
      <formula>0</formula>
    </cfRule>
  </conditionalFormatting>
  <conditionalFormatting sqref="AA157:AA159">
    <cfRule type="cellIs" dxfId="2203" priority="8394" operator="equal">
      <formula>0</formula>
    </cfRule>
  </conditionalFormatting>
  <conditionalFormatting sqref="Z162 Z168 Z174 Z180 Z186 Z192 Z198">
    <cfRule type="cellIs" dxfId="2202" priority="8393" operator="equal">
      <formula>0</formula>
    </cfRule>
  </conditionalFormatting>
  <conditionalFormatting sqref="AA163:AA165 AA169:AA171 AA175:AA177 AA181:AA183 AA187:AA189 AA193:AA195 AA199:AA201">
    <cfRule type="cellIs" dxfId="2201" priority="8389" operator="equal">
      <formula>0</formula>
    </cfRule>
  </conditionalFormatting>
  <conditionalFormatting sqref="Z163:Z165 Z169:Z171 Z175:Z177 Z181:Z183 Z187:Z189 Z193:Z195 Z199:Z201">
    <cfRule type="cellIs" dxfId="2200" priority="8390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8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199" priority="8383" operator="equal">
      <formula>0</formula>
    </cfRule>
  </conditionalFormatting>
  <conditionalFormatting sqref="Y62">
    <cfRule type="cellIs" dxfId="2198" priority="8160" operator="greaterThan">
      <formula>Z62</formula>
    </cfRule>
    <cfRule type="cellIs" dxfId="2197" priority="8161" operator="lessThanOrEqual">
      <formula>0</formula>
    </cfRule>
  </conditionalFormatting>
  <conditionalFormatting sqref="W69">
    <cfRule type="cellIs" dxfId="2196" priority="5728" operator="equal">
      <formula>0</formula>
    </cfRule>
    <cfRule type="cellIs" dxfId="2195" priority="7205" operator="greaterThan">
      <formula>W68</formula>
    </cfRule>
  </conditionalFormatting>
  <conditionalFormatting sqref="Y67">
    <cfRule type="cellIs" dxfId="2194" priority="5868" operator="equal">
      <formula>0</formula>
    </cfRule>
  </conditionalFormatting>
  <conditionalFormatting sqref="Y69">
    <cfRule type="cellIs" dxfId="2193" priority="5867" operator="equal">
      <formula>0</formula>
    </cfRule>
  </conditionalFormatting>
  <conditionalFormatting sqref="W71">
    <cfRule type="cellIs" dxfId="2192" priority="5289" operator="lessThan">
      <formula>W70</formula>
    </cfRule>
    <cfRule type="cellIs" dxfId="2191" priority="5715" operator="equal">
      <formula>0</formula>
    </cfRule>
  </conditionalFormatting>
  <conditionalFormatting sqref="W70">
    <cfRule type="cellIs" dxfId="2190" priority="5290" operator="lessThan">
      <formula>W71</formula>
    </cfRule>
    <cfRule type="cellIs" dxfId="2189" priority="5708" operator="equal">
      <formula>0</formula>
    </cfRule>
    <cfRule type="cellIs" dxfId="2188" priority="5709" operator="lessThan">
      <formula>W71</formula>
    </cfRule>
    <cfRule type="cellIs" dxfId="2187" priority="5714" operator="lessThan">
      <formula>0</formula>
    </cfRule>
  </conditionalFormatting>
  <conditionalFormatting sqref="W73">
    <cfRule type="cellIs" dxfId="2186" priority="5713" operator="equal">
      <formula>0</formula>
    </cfRule>
  </conditionalFormatting>
  <conditionalFormatting sqref="W72">
    <cfRule type="cellIs" dxfId="2185" priority="5706" operator="equal">
      <formula>0</formula>
    </cfRule>
    <cfRule type="cellIs" dxfId="2184" priority="5707" operator="lessThan">
      <formula>W73</formula>
    </cfRule>
    <cfRule type="cellIs" dxfId="2183" priority="5712" operator="lessThan">
      <formula>0</formula>
    </cfRule>
  </conditionalFormatting>
  <conditionalFormatting sqref="W74">
    <cfRule type="cellIs" dxfId="2182" priority="5705" operator="equal">
      <formula>0</formula>
    </cfRule>
    <cfRule type="cellIs" dxfId="2181" priority="5710" operator="lessThan">
      <formula>W75</formula>
    </cfRule>
  </conditionalFormatting>
  <conditionalFormatting sqref="W79">
    <cfRule type="cellIs" dxfId="2180" priority="5701" operator="equal">
      <formula>0</formula>
    </cfRule>
  </conditionalFormatting>
  <conditionalFormatting sqref="W78">
    <cfRule type="cellIs" dxfId="2179" priority="5694" operator="equal">
      <formula>0</formula>
    </cfRule>
    <cfRule type="cellIs" dxfId="2178" priority="5695" operator="lessThan">
      <formula>W79</formula>
    </cfRule>
    <cfRule type="cellIs" dxfId="2177" priority="5700" operator="lessThan">
      <formula>0</formula>
    </cfRule>
  </conditionalFormatting>
  <conditionalFormatting sqref="W80">
    <cfRule type="cellIs" dxfId="2176" priority="5693" operator="equal">
      <formula>0</formula>
    </cfRule>
    <cfRule type="cellIs" dxfId="2175" priority="5698" operator="lessThan">
      <formula>W81</formula>
    </cfRule>
  </conditionalFormatting>
  <conditionalFormatting sqref="W85">
    <cfRule type="cellIs" dxfId="2174" priority="5689" operator="equal">
      <formula>0</formula>
    </cfRule>
  </conditionalFormatting>
  <conditionalFormatting sqref="W84">
    <cfRule type="cellIs" dxfId="2173" priority="5682" operator="equal">
      <formula>0</formula>
    </cfRule>
    <cfRule type="cellIs" dxfId="2172" priority="5683" operator="lessThan">
      <formula>W85</formula>
    </cfRule>
    <cfRule type="cellIs" dxfId="2171" priority="5688" operator="lessThan">
      <formula>0</formula>
    </cfRule>
  </conditionalFormatting>
  <conditionalFormatting sqref="W86">
    <cfRule type="cellIs" dxfId="2170" priority="5681" operator="equal">
      <formula>0</formula>
    </cfRule>
    <cfRule type="cellIs" dxfId="2169" priority="5686" operator="lessThan">
      <formula>W87</formula>
    </cfRule>
  </conditionalFormatting>
  <conditionalFormatting sqref="W87">
    <cfRule type="cellIs" dxfId="2168" priority="5680" operator="equal">
      <formula>0</formula>
    </cfRule>
    <cfRule type="cellIs" dxfId="2167" priority="5687" operator="greaterThan">
      <formula>W86</formula>
    </cfRule>
  </conditionalFormatting>
  <conditionalFormatting sqref="W91">
    <cfRule type="cellIs" dxfId="2166" priority="5677" operator="equal">
      <formula>0</formula>
    </cfRule>
  </conditionalFormatting>
  <conditionalFormatting sqref="W90">
    <cfRule type="cellIs" dxfId="2165" priority="5670" operator="equal">
      <formula>0</formula>
    </cfRule>
    <cfRule type="cellIs" dxfId="2164" priority="5671" operator="lessThan">
      <formula>W91</formula>
    </cfRule>
    <cfRule type="cellIs" dxfId="2163" priority="5676" operator="lessThan">
      <formula>0</formula>
    </cfRule>
  </conditionalFormatting>
  <conditionalFormatting sqref="W92">
    <cfRule type="cellIs" dxfId="2162" priority="5669" operator="equal">
      <formula>0</formula>
    </cfRule>
    <cfRule type="cellIs" dxfId="2161" priority="5674" operator="lessThan">
      <formula>W93</formula>
    </cfRule>
  </conditionalFormatting>
  <conditionalFormatting sqref="W93">
    <cfRule type="cellIs" dxfId="2160" priority="5668" operator="equal">
      <formula>0</formula>
    </cfRule>
    <cfRule type="cellIs" dxfId="2159" priority="5675" operator="greaterThan">
      <formula>W92</formula>
    </cfRule>
  </conditionalFormatting>
  <conditionalFormatting sqref="W97">
    <cfRule type="cellIs" dxfId="2158" priority="5665" operator="equal">
      <formula>0</formula>
    </cfRule>
  </conditionalFormatting>
  <conditionalFormatting sqref="W96">
    <cfRule type="cellIs" dxfId="2157" priority="5658" operator="equal">
      <formula>0</formula>
    </cfRule>
    <cfRule type="cellIs" dxfId="2156" priority="5659" operator="lessThan">
      <formula>W97</formula>
    </cfRule>
    <cfRule type="cellIs" dxfId="2155" priority="5664" operator="lessThan">
      <formula>0</formula>
    </cfRule>
  </conditionalFormatting>
  <conditionalFormatting sqref="W98">
    <cfRule type="cellIs" dxfId="2154" priority="5657" operator="equal">
      <formula>0</formula>
    </cfRule>
    <cfRule type="cellIs" dxfId="2153" priority="5662" operator="lessThan">
      <formula>W99</formula>
    </cfRule>
  </conditionalFormatting>
  <conditionalFormatting sqref="W99">
    <cfRule type="cellIs" dxfId="2152" priority="5656" operator="equal">
      <formula>0</formula>
    </cfRule>
    <cfRule type="cellIs" dxfId="2151" priority="5663" operator="greaterThan">
      <formula>W98</formula>
    </cfRule>
  </conditionalFormatting>
  <conditionalFormatting sqref="W103">
    <cfRule type="cellIs" dxfId="2150" priority="5653" operator="equal">
      <formula>0</formula>
    </cfRule>
  </conditionalFormatting>
  <conditionalFormatting sqref="W102">
    <cfRule type="cellIs" dxfId="2149" priority="5646" operator="equal">
      <formula>0</formula>
    </cfRule>
    <cfRule type="cellIs" dxfId="2148" priority="5647" operator="lessThan">
      <formula>W103</formula>
    </cfRule>
    <cfRule type="cellIs" dxfId="2147" priority="5652" operator="lessThan">
      <formula>0</formula>
    </cfRule>
  </conditionalFormatting>
  <conditionalFormatting sqref="W104">
    <cfRule type="cellIs" dxfId="2146" priority="5645" operator="equal">
      <formula>0</formula>
    </cfRule>
    <cfRule type="cellIs" dxfId="2145" priority="5650" operator="lessThan">
      <formula>W105</formula>
    </cfRule>
  </conditionalFormatting>
  <conditionalFormatting sqref="W105">
    <cfRule type="cellIs" dxfId="2144" priority="5644" operator="equal">
      <formula>0</formula>
    </cfRule>
    <cfRule type="cellIs" dxfId="2143" priority="5651" operator="greaterThan">
      <formula>W104</formula>
    </cfRule>
  </conditionalFormatting>
  <conditionalFormatting sqref="W109">
    <cfRule type="cellIs" dxfId="2142" priority="5641" operator="equal">
      <formula>0</formula>
    </cfRule>
  </conditionalFormatting>
  <conditionalFormatting sqref="W108">
    <cfRule type="cellIs" dxfId="2141" priority="5634" operator="equal">
      <formula>0</formula>
    </cfRule>
    <cfRule type="cellIs" dxfId="2140" priority="5635" operator="lessThan">
      <formula>W109</formula>
    </cfRule>
    <cfRule type="cellIs" dxfId="2139" priority="5640" operator="lessThan">
      <formula>0</formula>
    </cfRule>
  </conditionalFormatting>
  <conditionalFormatting sqref="W110">
    <cfRule type="cellIs" dxfId="2138" priority="5633" operator="equal">
      <formula>0</formula>
    </cfRule>
    <cfRule type="cellIs" dxfId="2137" priority="5638" operator="lessThan">
      <formula>W111</formula>
    </cfRule>
  </conditionalFormatting>
  <conditionalFormatting sqref="W111">
    <cfRule type="cellIs" dxfId="2136" priority="5632" operator="equal">
      <formula>0</formula>
    </cfRule>
    <cfRule type="cellIs" dxfId="2135" priority="5639" operator="greaterThan">
      <formula>W110</formula>
    </cfRule>
  </conditionalFormatting>
  <conditionalFormatting sqref="W115">
    <cfRule type="cellIs" dxfId="2134" priority="5629" operator="equal">
      <formula>0</formula>
    </cfRule>
  </conditionalFormatting>
  <conditionalFormatting sqref="W114">
    <cfRule type="cellIs" dxfId="2133" priority="5622" operator="equal">
      <formula>0</formula>
    </cfRule>
    <cfRule type="cellIs" dxfId="2132" priority="5623" operator="lessThan">
      <formula>W115</formula>
    </cfRule>
    <cfRule type="cellIs" dxfId="2131" priority="5628" operator="lessThan">
      <formula>0</formula>
    </cfRule>
  </conditionalFormatting>
  <conditionalFormatting sqref="W116">
    <cfRule type="cellIs" dxfId="2130" priority="5621" operator="equal">
      <formula>0</formula>
    </cfRule>
    <cfRule type="cellIs" dxfId="2129" priority="5626" operator="lessThan">
      <formula>W117</formula>
    </cfRule>
  </conditionalFormatting>
  <conditionalFormatting sqref="W117">
    <cfRule type="cellIs" dxfId="2128" priority="5620" operator="equal">
      <formula>0</formula>
    </cfRule>
    <cfRule type="cellIs" dxfId="2127" priority="5627" operator="greaterThan">
      <formula>W116</formula>
    </cfRule>
  </conditionalFormatting>
  <conditionalFormatting sqref="W121">
    <cfRule type="cellIs" dxfId="2126" priority="5617" operator="equal">
      <formula>0</formula>
    </cfRule>
  </conditionalFormatting>
  <conditionalFormatting sqref="W120">
    <cfRule type="cellIs" dxfId="2125" priority="5610" operator="equal">
      <formula>0</formula>
    </cfRule>
    <cfRule type="cellIs" dxfId="2124" priority="5611" operator="lessThan">
      <formula>W121</formula>
    </cfRule>
    <cfRule type="cellIs" dxfId="2123" priority="5616" operator="lessThan">
      <formula>0</formula>
    </cfRule>
  </conditionalFormatting>
  <conditionalFormatting sqref="W122">
    <cfRule type="cellIs" dxfId="2122" priority="5609" operator="equal">
      <formula>0</formula>
    </cfRule>
    <cfRule type="cellIs" dxfId="2121" priority="5614" operator="lessThan">
      <formula>W123</formula>
    </cfRule>
  </conditionalFormatting>
  <conditionalFormatting sqref="W123">
    <cfRule type="cellIs" dxfId="2120" priority="5608" operator="equal">
      <formula>0</formula>
    </cfRule>
    <cfRule type="cellIs" dxfId="2119" priority="5615" operator="greaterThan">
      <formula>W122</formula>
    </cfRule>
  </conditionalFormatting>
  <conditionalFormatting sqref="W127">
    <cfRule type="cellIs" dxfId="2118" priority="5605" operator="equal">
      <formula>0</formula>
    </cfRule>
  </conditionalFormatting>
  <conditionalFormatting sqref="W126">
    <cfRule type="cellIs" dxfId="2117" priority="5598" operator="equal">
      <formula>0</formula>
    </cfRule>
    <cfRule type="cellIs" dxfId="2116" priority="5599" operator="lessThan">
      <formula>W127</formula>
    </cfRule>
    <cfRule type="cellIs" dxfId="2115" priority="5604" operator="lessThan">
      <formula>0</formula>
    </cfRule>
  </conditionalFormatting>
  <conditionalFormatting sqref="W128">
    <cfRule type="cellIs" dxfId="2114" priority="5597" operator="equal">
      <formula>0</formula>
    </cfRule>
    <cfRule type="cellIs" dxfId="2113" priority="5602" operator="lessThan">
      <formula>W129</formula>
    </cfRule>
  </conditionalFormatting>
  <conditionalFormatting sqref="W129">
    <cfRule type="cellIs" dxfId="2112" priority="5596" operator="equal">
      <formula>0</formula>
    </cfRule>
    <cfRule type="cellIs" dxfId="2111" priority="5603" operator="greaterThan">
      <formula>W128</formula>
    </cfRule>
  </conditionalFormatting>
  <conditionalFormatting sqref="W133">
    <cfRule type="cellIs" dxfId="2110" priority="5593" operator="equal">
      <formula>0</formula>
    </cfRule>
  </conditionalFormatting>
  <conditionalFormatting sqref="W132">
    <cfRule type="cellIs" dxfId="2109" priority="5586" operator="equal">
      <formula>0</formula>
    </cfRule>
    <cfRule type="cellIs" dxfId="2108" priority="5587" operator="lessThan">
      <formula>W133</formula>
    </cfRule>
    <cfRule type="cellIs" dxfId="2107" priority="5592" operator="lessThan">
      <formula>0</formula>
    </cfRule>
  </conditionalFormatting>
  <conditionalFormatting sqref="W134">
    <cfRule type="cellIs" dxfId="2106" priority="5585" operator="equal">
      <formula>0</formula>
    </cfRule>
    <cfRule type="cellIs" dxfId="2105" priority="5590" operator="lessThan">
      <formula>W135</formula>
    </cfRule>
  </conditionalFormatting>
  <conditionalFormatting sqref="W135">
    <cfRule type="cellIs" dxfId="2104" priority="5584" operator="equal">
      <formula>0</formula>
    </cfRule>
    <cfRule type="cellIs" dxfId="2103" priority="5591" operator="greaterThan">
      <formula>W134</formula>
    </cfRule>
  </conditionalFormatting>
  <conditionalFormatting sqref="W139">
    <cfRule type="cellIs" dxfId="2102" priority="5581" operator="equal">
      <formula>0</formula>
    </cfRule>
  </conditionalFormatting>
  <conditionalFormatting sqref="W138">
    <cfRule type="cellIs" dxfId="2101" priority="5574" operator="equal">
      <formula>0</formula>
    </cfRule>
    <cfRule type="cellIs" dxfId="2100" priority="5575" operator="lessThan">
      <formula>W139</formula>
    </cfRule>
    <cfRule type="cellIs" dxfId="2099" priority="5580" operator="lessThan">
      <formula>0</formula>
    </cfRule>
  </conditionalFormatting>
  <conditionalFormatting sqref="W140">
    <cfRule type="cellIs" dxfId="2098" priority="5573" operator="equal">
      <formula>0</formula>
    </cfRule>
    <cfRule type="cellIs" dxfId="2097" priority="5578" operator="lessThan">
      <formula>W141</formula>
    </cfRule>
  </conditionalFormatting>
  <conditionalFormatting sqref="W141">
    <cfRule type="cellIs" dxfId="2096" priority="5572" operator="equal">
      <formula>0</formula>
    </cfRule>
    <cfRule type="cellIs" dxfId="2095" priority="5579" operator="greaterThan">
      <formula>W140</formula>
    </cfRule>
  </conditionalFormatting>
  <conditionalFormatting sqref="W145">
    <cfRule type="cellIs" dxfId="2094" priority="5569" operator="equal">
      <formula>0</formula>
    </cfRule>
  </conditionalFormatting>
  <conditionalFormatting sqref="W144">
    <cfRule type="cellIs" dxfId="2093" priority="5562" operator="equal">
      <formula>0</formula>
    </cfRule>
    <cfRule type="cellIs" dxfId="2092" priority="5563" operator="lessThan">
      <formula>W145</formula>
    </cfRule>
    <cfRule type="cellIs" dxfId="2091" priority="5568" operator="lessThan">
      <formula>0</formula>
    </cfRule>
  </conditionalFormatting>
  <conditionalFormatting sqref="W146">
    <cfRule type="cellIs" dxfId="2090" priority="5561" operator="equal">
      <formula>0</formula>
    </cfRule>
    <cfRule type="cellIs" dxfId="2089" priority="5566" operator="lessThan">
      <formula>W147</formula>
    </cfRule>
  </conditionalFormatting>
  <conditionalFormatting sqref="W147">
    <cfRule type="cellIs" dxfId="2088" priority="5560" operator="equal">
      <formula>0</formula>
    </cfRule>
    <cfRule type="cellIs" dxfId="2087" priority="5567" operator="greaterThan">
      <formula>W146</formula>
    </cfRule>
  </conditionalFormatting>
  <conditionalFormatting sqref="W151">
    <cfRule type="cellIs" dxfId="2086" priority="5557" operator="equal">
      <formula>0</formula>
    </cfRule>
  </conditionalFormatting>
  <conditionalFormatting sqref="W150">
    <cfRule type="cellIs" dxfId="2085" priority="5550" operator="equal">
      <formula>0</formula>
    </cfRule>
    <cfRule type="cellIs" dxfId="2084" priority="5551" operator="lessThan">
      <formula>W151</formula>
    </cfRule>
    <cfRule type="cellIs" dxfId="2083" priority="5556" operator="lessThan">
      <formula>0</formula>
    </cfRule>
  </conditionalFormatting>
  <conditionalFormatting sqref="W152">
    <cfRule type="cellIs" dxfId="2082" priority="5549" operator="equal">
      <formula>0</formula>
    </cfRule>
    <cfRule type="cellIs" dxfId="2081" priority="5554" operator="lessThan">
      <formula>W153</formula>
    </cfRule>
  </conditionalFormatting>
  <conditionalFormatting sqref="W153">
    <cfRule type="cellIs" dxfId="2080" priority="5548" operator="equal">
      <formula>0</formula>
    </cfRule>
    <cfRule type="cellIs" dxfId="2079" priority="5555" operator="greaterThan">
      <formula>W152</formula>
    </cfRule>
  </conditionalFormatting>
  <conditionalFormatting sqref="W155">
    <cfRule type="cellIs" dxfId="2078" priority="5547" operator="equal">
      <formula>0</formula>
    </cfRule>
  </conditionalFormatting>
  <conditionalFormatting sqref="W154">
    <cfRule type="cellIs" dxfId="2077" priority="5540" operator="equal">
      <formula>0</formula>
    </cfRule>
    <cfRule type="cellIs" dxfId="2076" priority="5541" operator="lessThan">
      <formula>W155</formula>
    </cfRule>
    <cfRule type="cellIs" dxfId="2075" priority="5546" operator="lessThan">
      <formula>0</formula>
    </cfRule>
  </conditionalFormatting>
  <conditionalFormatting sqref="W157">
    <cfRule type="cellIs" dxfId="2074" priority="5545" operator="equal">
      <formula>0</formula>
    </cfRule>
  </conditionalFormatting>
  <conditionalFormatting sqref="W156">
    <cfRule type="cellIs" dxfId="2073" priority="5538" operator="equal">
      <formula>0</formula>
    </cfRule>
    <cfRule type="cellIs" dxfId="2072" priority="5539" operator="lessThan">
      <formula>W157</formula>
    </cfRule>
    <cfRule type="cellIs" dxfId="2071" priority="5544" operator="lessThan">
      <formula>0</formula>
    </cfRule>
  </conditionalFormatting>
  <conditionalFormatting sqref="W158">
    <cfRule type="cellIs" dxfId="2070" priority="5537" operator="equal">
      <formula>0</formula>
    </cfRule>
    <cfRule type="cellIs" dxfId="2069" priority="5542" operator="lessThan">
      <formula>W159</formula>
    </cfRule>
  </conditionalFormatting>
  <conditionalFormatting sqref="W159">
    <cfRule type="cellIs" dxfId="2068" priority="5536" operator="equal">
      <formula>0</formula>
    </cfRule>
    <cfRule type="cellIs" dxfId="2067" priority="5543" operator="greaterThan">
      <formula>W158</formula>
    </cfRule>
  </conditionalFormatting>
  <conditionalFormatting sqref="W161">
    <cfRule type="cellIs" dxfId="2066" priority="5535" operator="equal">
      <formula>0</formula>
    </cfRule>
  </conditionalFormatting>
  <conditionalFormatting sqref="W160">
    <cfRule type="cellIs" dxfId="2065" priority="5528" operator="equal">
      <formula>0</formula>
    </cfRule>
    <cfRule type="cellIs" dxfId="2064" priority="5529" operator="lessThan">
      <formula>W161</formula>
    </cfRule>
    <cfRule type="cellIs" dxfId="2063" priority="5534" operator="lessThan">
      <formula>0</formula>
    </cfRule>
  </conditionalFormatting>
  <conditionalFormatting sqref="W163">
    <cfRule type="cellIs" dxfId="2062" priority="5533" operator="equal">
      <formula>0</formula>
    </cfRule>
  </conditionalFormatting>
  <conditionalFormatting sqref="W162">
    <cfRule type="cellIs" dxfId="2061" priority="5526" operator="equal">
      <formula>0</formula>
    </cfRule>
    <cfRule type="cellIs" dxfId="2060" priority="5527" operator="lessThan">
      <formula>W163</formula>
    </cfRule>
    <cfRule type="cellIs" dxfId="2059" priority="5532" operator="lessThan">
      <formula>0</formula>
    </cfRule>
  </conditionalFormatting>
  <conditionalFormatting sqref="W164">
    <cfRule type="cellIs" dxfId="2058" priority="5525" operator="equal">
      <formula>0</formula>
    </cfRule>
    <cfRule type="cellIs" dxfId="2057" priority="5530" operator="lessThan">
      <formula>W165</formula>
    </cfRule>
  </conditionalFormatting>
  <conditionalFormatting sqref="W165">
    <cfRule type="cellIs" dxfId="2056" priority="5524" operator="equal">
      <formula>0</formula>
    </cfRule>
    <cfRule type="cellIs" dxfId="2055" priority="5531" operator="greaterThan">
      <formula>W164</formula>
    </cfRule>
  </conditionalFormatting>
  <conditionalFormatting sqref="W167 W173 W179 W185 W191 W197">
    <cfRule type="cellIs" dxfId="2054" priority="5523" operator="equal">
      <formula>0</formula>
    </cfRule>
  </conditionalFormatting>
  <conditionalFormatting sqref="W166 W172 W178 W184 W190 W196">
    <cfRule type="cellIs" dxfId="2053" priority="5516" operator="equal">
      <formula>0</formula>
    </cfRule>
    <cfRule type="cellIs" dxfId="2052" priority="5517" operator="lessThan">
      <formula>W167</formula>
    </cfRule>
    <cfRule type="cellIs" dxfId="2051" priority="5522" operator="lessThan">
      <formula>0</formula>
    </cfRule>
  </conditionalFormatting>
  <conditionalFormatting sqref="W169 W175 W181 W187 W193 W199">
    <cfRule type="cellIs" dxfId="2050" priority="5521" operator="equal">
      <formula>0</formula>
    </cfRule>
  </conditionalFormatting>
  <conditionalFormatting sqref="W168 W174 W180 W186 W192 W198">
    <cfRule type="cellIs" dxfId="2049" priority="5514" operator="equal">
      <formula>0</formula>
    </cfRule>
    <cfRule type="cellIs" dxfId="2048" priority="5515" operator="lessThan">
      <formula>W169</formula>
    </cfRule>
    <cfRule type="cellIs" dxfId="2047" priority="5520" operator="lessThan">
      <formula>0</formula>
    </cfRule>
  </conditionalFormatting>
  <conditionalFormatting sqref="W170 W176 W182 W188 W194 W200">
    <cfRule type="cellIs" dxfId="2046" priority="5513" operator="equal">
      <formula>0</formula>
    </cfRule>
    <cfRule type="cellIs" dxfId="2045" priority="5518" operator="lessThan">
      <formula>W171</formula>
    </cfRule>
  </conditionalFormatting>
  <conditionalFormatting sqref="W171 W177 W183 W189 W195 W201">
    <cfRule type="cellIs" dxfId="2044" priority="5512" operator="equal">
      <formula>0</formula>
    </cfRule>
    <cfRule type="cellIs" dxfId="2043" priority="5519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2042" priority="5283" operator="lessThan">
      <formula>W76</formula>
    </cfRule>
    <cfRule type="cellIs" dxfId="2041" priority="5288" operator="equal">
      <formula>0</formula>
    </cfRule>
  </conditionalFormatting>
  <conditionalFormatting sqref="W76">
    <cfRule type="cellIs" dxfId="2040" priority="5284" operator="lessThan">
      <formula>W77</formula>
    </cfRule>
    <cfRule type="cellIs" dxfId="2039" priority="5285" operator="equal">
      <formula>0</formula>
    </cfRule>
    <cfRule type="cellIs" dxfId="2038" priority="5286" operator="lessThan">
      <formula>W77</formula>
    </cfRule>
    <cfRule type="cellIs" dxfId="2037" priority="5287" operator="lessThan">
      <formula>0</formula>
    </cfRule>
  </conditionalFormatting>
  <conditionalFormatting sqref="W83">
    <cfRule type="cellIs" dxfId="2036" priority="5277" operator="lessThan">
      <formula>W82</formula>
    </cfRule>
    <cfRule type="cellIs" dxfId="2035" priority="5282" operator="equal">
      <formula>0</formula>
    </cfRule>
  </conditionalFormatting>
  <conditionalFormatting sqref="W82">
    <cfRule type="cellIs" dxfId="2034" priority="5278" operator="lessThan">
      <formula>W83</formula>
    </cfRule>
    <cfRule type="cellIs" dxfId="2033" priority="5279" operator="equal">
      <formula>0</formula>
    </cfRule>
    <cfRule type="cellIs" dxfId="2032" priority="5280" operator="lessThan">
      <formula>W83</formula>
    </cfRule>
    <cfRule type="cellIs" dxfId="2031" priority="5281" operator="lessThan">
      <formula>0</formula>
    </cfRule>
  </conditionalFormatting>
  <conditionalFormatting sqref="W89">
    <cfRule type="cellIs" dxfId="2030" priority="5271" operator="lessThan">
      <formula>W88</formula>
    </cfRule>
    <cfRule type="cellIs" dxfId="2029" priority="5276" operator="equal">
      <formula>0</formula>
    </cfRule>
  </conditionalFormatting>
  <conditionalFormatting sqref="W88">
    <cfRule type="cellIs" dxfId="2028" priority="5272" operator="lessThan">
      <formula>W89</formula>
    </cfRule>
    <cfRule type="cellIs" dxfId="2027" priority="5273" operator="equal">
      <formula>0</formula>
    </cfRule>
    <cfRule type="cellIs" dxfId="2026" priority="5274" operator="lessThan">
      <formula>W89</formula>
    </cfRule>
    <cfRule type="cellIs" dxfId="2025" priority="5275" operator="lessThan">
      <formula>0</formula>
    </cfRule>
  </conditionalFormatting>
  <conditionalFormatting sqref="W95">
    <cfRule type="cellIs" dxfId="2024" priority="5265" operator="lessThan">
      <formula>W94</formula>
    </cfRule>
    <cfRule type="cellIs" dxfId="2023" priority="5270" operator="equal">
      <formula>0</formula>
    </cfRule>
  </conditionalFormatting>
  <conditionalFormatting sqref="W94">
    <cfRule type="cellIs" dxfId="2022" priority="5266" operator="lessThan">
      <formula>W95</formula>
    </cfRule>
    <cfRule type="cellIs" dxfId="2021" priority="5267" operator="equal">
      <formula>0</formula>
    </cfRule>
    <cfRule type="cellIs" dxfId="2020" priority="5268" operator="lessThan">
      <formula>W95</formula>
    </cfRule>
    <cfRule type="cellIs" dxfId="2019" priority="5269" operator="lessThan">
      <formula>0</formula>
    </cfRule>
  </conditionalFormatting>
  <conditionalFormatting sqref="W101">
    <cfRule type="cellIs" dxfId="2018" priority="5259" operator="lessThan">
      <formula>W100</formula>
    </cfRule>
    <cfRule type="cellIs" dxfId="2017" priority="5264" operator="equal">
      <formula>0</formula>
    </cfRule>
  </conditionalFormatting>
  <conditionalFormatting sqref="W100">
    <cfRule type="cellIs" dxfId="2016" priority="5260" operator="lessThan">
      <formula>W101</formula>
    </cfRule>
    <cfRule type="cellIs" dxfId="2015" priority="5261" operator="equal">
      <formula>0</formula>
    </cfRule>
    <cfRule type="cellIs" dxfId="2014" priority="5262" operator="lessThan">
      <formula>W101</formula>
    </cfRule>
    <cfRule type="cellIs" dxfId="2013" priority="5263" operator="lessThan">
      <formula>0</formula>
    </cfRule>
  </conditionalFormatting>
  <conditionalFormatting sqref="W107">
    <cfRule type="cellIs" dxfId="2012" priority="5253" operator="lessThan">
      <formula>W106</formula>
    </cfRule>
    <cfRule type="cellIs" dxfId="2011" priority="5258" operator="equal">
      <formula>0</formula>
    </cfRule>
  </conditionalFormatting>
  <conditionalFormatting sqref="W106">
    <cfRule type="cellIs" dxfId="2010" priority="5254" operator="lessThan">
      <formula>W107</formula>
    </cfRule>
    <cfRule type="cellIs" dxfId="2009" priority="5255" operator="equal">
      <formula>0</formula>
    </cfRule>
    <cfRule type="cellIs" dxfId="2008" priority="5256" operator="lessThan">
      <formula>W107</formula>
    </cfRule>
    <cfRule type="cellIs" dxfId="2007" priority="5257" operator="lessThan">
      <formula>0</formula>
    </cfRule>
  </conditionalFormatting>
  <conditionalFormatting sqref="W113">
    <cfRule type="cellIs" dxfId="2006" priority="5247" operator="lessThan">
      <formula>W112</formula>
    </cfRule>
    <cfRule type="cellIs" dxfId="2005" priority="5252" operator="equal">
      <formula>0</formula>
    </cfRule>
  </conditionalFormatting>
  <conditionalFormatting sqref="W112">
    <cfRule type="cellIs" dxfId="2004" priority="5248" operator="lessThan">
      <formula>W113</formula>
    </cfRule>
    <cfRule type="cellIs" dxfId="2003" priority="5249" operator="equal">
      <formula>0</formula>
    </cfRule>
    <cfRule type="cellIs" dxfId="2002" priority="5250" operator="lessThan">
      <formula>W113</formula>
    </cfRule>
    <cfRule type="cellIs" dxfId="2001" priority="5251" operator="lessThan">
      <formula>0</formula>
    </cfRule>
  </conditionalFormatting>
  <conditionalFormatting sqref="W119">
    <cfRule type="cellIs" dxfId="2000" priority="5241" operator="lessThan">
      <formula>W118</formula>
    </cfRule>
    <cfRule type="cellIs" dxfId="1999" priority="5246" operator="equal">
      <formula>0</formula>
    </cfRule>
  </conditionalFormatting>
  <conditionalFormatting sqref="W118">
    <cfRule type="cellIs" dxfId="1998" priority="5242" operator="lessThan">
      <formula>W119</formula>
    </cfRule>
    <cfRule type="cellIs" dxfId="1997" priority="5243" operator="equal">
      <formula>0</formula>
    </cfRule>
    <cfRule type="cellIs" dxfId="1996" priority="5244" operator="lessThan">
      <formula>W119</formula>
    </cfRule>
    <cfRule type="cellIs" dxfId="1995" priority="5245" operator="lessThan">
      <formula>0</formula>
    </cfRule>
  </conditionalFormatting>
  <conditionalFormatting sqref="W125">
    <cfRule type="cellIs" dxfId="1994" priority="5235" operator="lessThan">
      <formula>W124</formula>
    </cfRule>
    <cfRule type="cellIs" dxfId="1993" priority="5240" operator="equal">
      <formula>0</formula>
    </cfRule>
  </conditionalFormatting>
  <conditionalFormatting sqref="W124">
    <cfRule type="cellIs" dxfId="1992" priority="5236" operator="lessThan">
      <formula>W125</formula>
    </cfRule>
    <cfRule type="cellIs" dxfId="1991" priority="5237" operator="equal">
      <formula>0</formula>
    </cfRule>
    <cfRule type="cellIs" dxfId="1990" priority="5238" operator="lessThan">
      <formula>W125</formula>
    </cfRule>
    <cfRule type="cellIs" dxfId="1989" priority="5239" operator="lessThan">
      <formula>0</formula>
    </cfRule>
  </conditionalFormatting>
  <conditionalFormatting sqref="W131">
    <cfRule type="cellIs" dxfId="1988" priority="5229" operator="lessThan">
      <formula>W130</formula>
    </cfRule>
    <cfRule type="cellIs" dxfId="1987" priority="5234" operator="equal">
      <formula>0</formula>
    </cfRule>
  </conditionalFormatting>
  <conditionalFormatting sqref="W130">
    <cfRule type="cellIs" dxfId="1986" priority="5230" operator="lessThan">
      <formula>W131</formula>
    </cfRule>
    <cfRule type="cellIs" dxfId="1985" priority="5231" operator="equal">
      <formula>0</formula>
    </cfRule>
    <cfRule type="cellIs" dxfId="1984" priority="5232" operator="lessThan">
      <formula>W131</formula>
    </cfRule>
    <cfRule type="cellIs" dxfId="1983" priority="5233" operator="lessThan">
      <formula>0</formula>
    </cfRule>
  </conditionalFormatting>
  <conditionalFormatting sqref="W137">
    <cfRule type="cellIs" dxfId="1982" priority="5223" operator="lessThan">
      <formula>W136</formula>
    </cfRule>
    <cfRule type="cellIs" dxfId="1981" priority="5228" operator="equal">
      <formula>0</formula>
    </cfRule>
  </conditionalFormatting>
  <conditionalFormatting sqref="W136">
    <cfRule type="cellIs" dxfId="1980" priority="5224" operator="lessThan">
      <formula>W137</formula>
    </cfRule>
    <cfRule type="cellIs" dxfId="1979" priority="5225" operator="equal">
      <formula>0</formula>
    </cfRule>
    <cfRule type="cellIs" dxfId="1978" priority="5226" operator="lessThan">
      <formula>W137</formula>
    </cfRule>
    <cfRule type="cellIs" dxfId="1977" priority="5227" operator="lessThan">
      <formula>0</formula>
    </cfRule>
  </conditionalFormatting>
  <conditionalFormatting sqref="W143">
    <cfRule type="cellIs" dxfId="1976" priority="5217" operator="lessThan">
      <formula>W142</formula>
    </cfRule>
    <cfRule type="cellIs" dxfId="1975" priority="5222" operator="equal">
      <formula>0</formula>
    </cfRule>
  </conditionalFormatting>
  <conditionalFormatting sqref="W142">
    <cfRule type="cellIs" dxfId="1974" priority="5218" operator="lessThan">
      <formula>W143</formula>
    </cfRule>
    <cfRule type="cellIs" dxfId="1973" priority="5219" operator="equal">
      <formula>0</formula>
    </cfRule>
    <cfRule type="cellIs" dxfId="1972" priority="5220" operator="lessThan">
      <formula>W143</formula>
    </cfRule>
    <cfRule type="cellIs" dxfId="1971" priority="5221" operator="lessThan">
      <formula>0</formula>
    </cfRule>
  </conditionalFormatting>
  <conditionalFormatting sqref="W149">
    <cfRule type="cellIs" dxfId="1970" priority="5211" operator="lessThan">
      <formula>W148</formula>
    </cfRule>
    <cfRule type="cellIs" dxfId="1969" priority="5216" operator="equal">
      <formula>0</formula>
    </cfRule>
  </conditionalFormatting>
  <conditionalFormatting sqref="W148">
    <cfRule type="cellIs" dxfId="1968" priority="5212" operator="lessThan">
      <formula>W149</formula>
    </cfRule>
    <cfRule type="cellIs" dxfId="1967" priority="5213" operator="equal">
      <formula>0</formula>
    </cfRule>
    <cfRule type="cellIs" dxfId="1966" priority="5214" operator="lessThan">
      <formula>W149</formula>
    </cfRule>
    <cfRule type="cellIs" dxfId="1965" priority="5215" operator="lessThan">
      <formula>0</formula>
    </cfRule>
  </conditionalFormatting>
  <conditionalFormatting sqref="V82:V87">
    <cfRule type="cellIs" dxfId="1964" priority="5209" operator="lessThan">
      <formula>0</formula>
    </cfRule>
    <cfRule type="cellIs" dxfId="1963" priority="5210" operator="equal">
      <formula>0</formula>
    </cfRule>
  </conditionalFormatting>
  <conditionalFormatting sqref="V88:V93">
    <cfRule type="cellIs" dxfId="1962" priority="5207" operator="lessThan">
      <formula>0</formula>
    </cfRule>
    <cfRule type="cellIs" dxfId="1961" priority="5208" operator="equal">
      <formula>0</formula>
    </cfRule>
  </conditionalFormatting>
  <conditionalFormatting sqref="V94:V99">
    <cfRule type="cellIs" dxfId="1960" priority="5205" operator="lessThan">
      <formula>0</formula>
    </cfRule>
    <cfRule type="cellIs" dxfId="1959" priority="5206" operator="equal">
      <formula>0</formula>
    </cfRule>
  </conditionalFormatting>
  <conditionalFormatting sqref="V100:V105">
    <cfRule type="cellIs" dxfId="1958" priority="5203" operator="lessThan">
      <formula>0</formula>
    </cfRule>
    <cfRule type="cellIs" dxfId="1957" priority="5204" operator="equal">
      <formula>0</formula>
    </cfRule>
  </conditionalFormatting>
  <conditionalFormatting sqref="V106:V111">
    <cfRule type="cellIs" dxfId="1956" priority="5201" operator="lessThan">
      <formula>0</formula>
    </cfRule>
    <cfRule type="cellIs" dxfId="1955" priority="5202" operator="equal">
      <formula>0</formula>
    </cfRule>
  </conditionalFormatting>
  <conditionalFormatting sqref="V112:V117">
    <cfRule type="cellIs" dxfId="1954" priority="5199" operator="lessThan">
      <formula>0</formula>
    </cfRule>
    <cfRule type="cellIs" dxfId="1953" priority="5200" operator="equal">
      <formula>0</formula>
    </cfRule>
  </conditionalFormatting>
  <conditionalFormatting sqref="V118:V123">
    <cfRule type="cellIs" dxfId="1952" priority="5197" operator="lessThan">
      <formula>0</formula>
    </cfRule>
    <cfRule type="cellIs" dxfId="1951" priority="5198" operator="equal">
      <formula>0</formula>
    </cfRule>
  </conditionalFormatting>
  <conditionalFormatting sqref="V124:V129">
    <cfRule type="cellIs" dxfId="1950" priority="5195" operator="lessThan">
      <formula>0</formula>
    </cfRule>
    <cfRule type="cellIs" dxfId="1949" priority="5196" operator="equal">
      <formula>0</formula>
    </cfRule>
  </conditionalFormatting>
  <conditionalFormatting sqref="V130:V135">
    <cfRule type="cellIs" dxfId="1948" priority="5193" operator="lessThan">
      <formula>0</formula>
    </cfRule>
    <cfRule type="cellIs" dxfId="1947" priority="5194" operator="equal">
      <formula>0</formula>
    </cfRule>
  </conditionalFormatting>
  <conditionalFormatting sqref="V136:V141">
    <cfRule type="cellIs" dxfId="1946" priority="5191" operator="lessThan">
      <formula>0</formula>
    </cfRule>
    <cfRule type="cellIs" dxfId="1945" priority="5192" operator="equal">
      <formula>0</formula>
    </cfRule>
  </conditionalFormatting>
  <conditionalFormatting sqref="V142:V147">
    <cfRule type="cellIs" dxfId="1944" priority="5189" operator="lessThan">
      <formula>0</formula>
    </cfRule>
    <cfRule type="cellIs" dxfId="1943" priority="5190" operator="equal">
      <formula>0</formula>
    </cfRule>
  </conditionalFormatting>
  <conditionalFormatting sqref="V148:V153">
    <cfRule type="cellIs" dxfId="1942" priority="5187" operator="lessThan">
      <formula>0</formula>
    </cfRule>
    <cfRule type="cellIs" dxfId="1941" priority="5188" operator="equal">
      <formula>0</formula>
    </cfRule>
  </conditionalFormatting>
  <conditionalFormatting sqref="V154:V159">
    <cfRule type="cellIs" dxfId="1940" priority="5185" operator="lessThan">
      <formula>0</formula>
    </cfRule>
    <cfRule type="cellIs" dxfId="1939" priority="5186" operator="equal">
      <formula>0</formula>
    </cfRule>
  </conditionalFormatting>
  <conditionalFormatting sqref="V160:V165">
    <cfRule type="cellIs" dxfId="1938" priority="5183" operator="lessThan">
      <formula>0</formula>
    </cfRule>
    <cfRule type="cellIs" dxfId="1937" priority="5184" operator="equal">
      <formula>0</formula>
    </cfRule>
  </conditionalFormatting>
  <conditionalFormatting sqref="V166:V201">
    <cfRule type="cellIs" dxfId="1936" priority="5181" operator="lessThan">
      <formula>0</formula>
    </cfRule>
    <cfRule type="cellIs" dxfId="1935" priority="5182" operator="equal">
      <formula>0</formula>
    </cfRule>
  </conditionalFormatting>
  <conditionalFormatting sqref="W75">
    <cfRule type="cellIs" dxfId="1934" priority="5140" operator="equal">
      <formula>0</formula>
    </cfRule>
    <cfRule type="cellIs" dxfId="1933" priority="5141" operator="greaterThan">
      <formula>W74</formula>
    </cfRule>
  </conditionalFormatting>
  <conditionalFormatting sqref="W81">
    <cfRule type="cellIs" dxfId="1932" priority="5138" operator="equal">
      <formula>0</formula>
    </cfRule>
    <cfRule type="cellIs" dxfId="1931" priority="5139" operator="greaterThan">
      <formula>W80</formula>
    </cfRule>
  </conditionalFormatting>
  <conditionalFormatting sqref="V45:V56">
    <cfRule type="cellIs" dxfId="1930" priority="3459" operator="lessThan">
      <formula>0</formula>
    </cfRule>
    <cfRule type="cellIs" dxfId="1929" priority="3460" operator="equal">
      <formula>0</formula>
    </cfRule>
  </conditionalFormatting>
  <conditionalFormatting sqref="G30">
    <cfRule type="cellIs" dxfId="1928" priority="3440" operator="lessThan">
      <formula>0</formula>
    </cfRule>
  </conditionalFormatting>
  <conditionalFormatting sqref="D30">
    <cfRule type="expression" dxfId="1927" priority="3438">
      <formula>E30&gt;B30</formula>
    </cfRule>
  </conditionalFormatting>
  <conditionalFormatting sqref="C30">
    <cfRule type="expression" dxfId="1926" priority="3437">
      <formula>B30&gt;E30</formula>
    </cfRule>
  </conditionalFormatting>
  <conditionalFormatting sqref="G31">
    <cfRule type="cellIs" dxfId="1925" priority="3431" operator="lessThan">
      <formula>0</formula>
    </cfRule>
  </conditionalFormatting>
  <conditionalFormatting sqref="G32">
    <cfRule type="cellIs" dxfId="1924" priority="3375" operator="lessThan">
      <formula>0</formula>
    </cfRule>
  </conditionalFormatting>
  <conditionalFormatting sqref="G33">
    <cfRule type="cellIs" dxfId="1923" priority="3369" operator="lessThan">
      <formula>0</formula>
    </cfRule>
  </conditionalFormatting>
  <conditionalFormatting sqref="G34 G36 G38 G40 G45 G47 G49 G51 G53 G55">
    <cfRule type="cellIs" dxfId="1922" priority="3361" operator="lessThan">
      <formula>0</formula>
    </cfRule>
  </conditionalFormatting>
  <conditionalFormatting sqref="G35 G37 G39 G41 G46 G48 G50 G52 G54 G56">
    <cfRule type="cellIs" dxfId="1921" priority="3355" operator="lessThan">
      <formula>0</formula>
    </cfRule>
  </conditionalFormatting>
  <conditionalFormatting sqref="D31">
    <cfRule type="expression" dxfId="1920" priority="3231">
      <formula>E31&gt;B31</formula>
    </cfRule>
  </conditionalFormatting>
  <conditionalFormatting sqref="C31">
    <cfRule type="expression" dxfId="1919" priority="3230">
      <formula>B31&gt;E31</formula>
    </cfRule>
  </conditionalFormatting>
  <conditionalFormatting sqref="D32 D34 D36 D38 D40 D45 D47 D49 D51 D53 D55">
    <cfRule type="expression" dxfId="1918" priority="3229">
      <formula>E32&gt;B32</formula>
    </cfRule>
  </conditionalFormatting>
  <conditionalFormatting sqref="C32 C34 C36 C38 C40 C45 C47 C49 C51 C53 C55">
    <cfRule type="expression" dxfId="1917" priority="3228">
      <formula>B32&gt;E32</formula>
    </cfRule>
  </conditionalFormatting>
  <conditionalFormatting sqref="D33 D35 D37 D39 D41 D46 D48 D50 D52 D54 D56">
    <cfRule type="expression" dxfId="1916" priority="3227">
      <formula>E33&gt;B33</formula>
    </cfRule>
  </conditionalFormatting>
  <conditionalFormatting sqref="C33 C35 C37 C39 C41 C46 C48 C50 C52 C54 C56">
    <cfRule type="expression" dxfId="1915" priority="3226">
      <formula>B33&gt;E33</formula>
    </cfRule>
  </conditionalFormatting>
  <conditionalFormatting sqref="Y30:Y34 Y37:Y39">
    <cfRule type="cellIs" dxfId="1914" priority="3183" operator="equal">
      <formula>0</formula>
    </cfRule>
  </conditionalFormatting>
  <conditionalFormatting sqref="W26:W29">
    <cfRule type="cellIs" dxfId="1913" priority="3136" operator="equal">
      <formula>0</formula>
    </cfRule>
  </conditionalFormatting>
  <conditionalFormatting sqref="W27">
    <cfRule type="cellIs" dxfId="1912" priority="2950" operator="equal">
      <formula>"STOP"</formula>
    </cfRule>
    <cfRule type="cellIs" dxfId="1911" priority="2951" operator="equal">
      <formula>"TRAILING"</formula>
    </cfRule>
  </conditionalFormatting>
  <conditionalFormatting sqref="X60">
    <cfRule type="cellIs" dxfId="1910" priority="3071" operator="equal">
      <formula>0</formula>
    </cfRule>
    <cfRule type="expression" dxfId="1909" priority="3072">
      <formula>F60*100&lt;X60</formula>
    </cfRule>
    <cfRule type="expression" dxfId="1908" priority="3073">
      <formula>X60&lt;F60*100</formula>
    </cfRule>
  </conditionalFormatting>
  <conditionalFormatting sqref="X61">
    <cfRule type="cellIs" dxfId="1907" priority="3068" operator="equal">
      <formula>0</formula>
    </cfRule>
    <cfRule type="expression" dxfId="1906" priority="3069">
      <formula>F61*100&lt;X61</formula>
    </cfRule>
    <cfRule type="expression" dxfId="1905" priority="3070">
      <formula>X61&lt;F61*100</formula>
    </cfRule>
  </conditionalFormatting>
  <conditionalFormatting sqref="W60:W61">
    <cfRule type="cellIs" dxfId="1904" priority="3067" operator="equal">
      <formula>0</formula>
    </cfRule>
  </conditionalFormatting>
  <conditionalFormatting sqref="W60">
    <cfRule type="containsText" dxfId="1903" priority="3065" operator="containsText" text="STOP">
      <formula>NOT(ISERROR(SEARCH("STOP",W60)))</formula>
    </cfRule>
    <cfRule type="containsText" dxfId="1902" priority="3066" operator="containsText" text="TRAILING">
      <formula>NOT(ISERROR(SEARCH("TRAILING",W60)))</formula>
    </cfRule>
  </conditionalFormatting>
  <conditionalFormatting sqref="W61">
    <cfRule type="containsText" dxfId="1901" priority="3063" operator="containsText" text="STOP">
      <formula>NOT(ISERROR(SEARCH("STOP",W61)))</formula>
    </cfRule>
    <cfRule type="containsText" dxfId="1900" priority="3064" operator="containsText" text="TRAILING">
      <formula>NOT(ISERROR(SEARCH("TRAILING",W61)))</formula>
    </cfRule>
  </conditionalFormatting>
  <conditionalFormatting sqref="V42:V43">
    <cfRule type="cellIs" dxfId="1899" priority="3060" operator="lessThan">
      <formula>0</formula>
    </cfRule>
    <cfRule type="cellIs" dxfId="1898" priority="3061" operator="equal">
      <formula>0</formula>
    </cfRule>
  </conditionalFormatting>
  <conditionalFormatting sqref="G43">
    <cfRule type="cellIs" dxfId="1897" priority="3057" operator="lessThan">
      <formula>0</formula>
    </cfRule>
  </conditionalFormatting>
  <conditionalFormatting sqref="G42">
    <cfRule type="cellIs" dxfId="1896" priority="3055" operator="lessThan">
      <formula>0</formula>
    </cfRule>
  </conditionalFormatting>
  <conditionalFormatting sqref="D43">
    <cfRule type="expression" dxfId="1895" priority="3053">
      <formula>E43&gt;B43</formula>
    </cfRule>
  </conditionalFormatting>
  <conditionalFormatting sqref="C43">
    <cfRule type="expression" dxfId="1894" priority="3052">
      <formula>B43&gt;E43</formula>
    </cfRule>
  </conditionalFormatting>
  <conditionalFormatting sqref="D42">
    <cfRule type="expression" dxfId="1893" priority="3051">
      <formula>E42&gt;B42</formula>
    </cfRule>
  </conditionalFormatting>
  <conditionalFormatting sqref="C42">
    <cfRule type="expression" dxfId="1892" priority="3050">
      <formula>B42&gt;E42</formula>
    </cfRule>
  </conditionalFormatting>
  <conditionalFormatting sqref="V57:V59">
    <cfRule type="cellIs" dxfId="1891" priority="3031" operator="lessThan">
      <formula>0</formula>
    </cfRule>
    <cfRule type="cellIs" dxfId="1890" priority="3032" operator="equal">
      <formula>0</formula>
    </cfRule>
  </conditionalFormatting>
  <conditionalFormatting sqref="G58">
    <cfRule type="cellIs" dxfId="1889" priority="3028" operator="lessThan">
      <formula>0</formula>
    </cfRule>
  </conditionalFormatting>
  <conditionalFormatting sqref="G57 G59">
    <cfRule type="cellIs" dxfId="1888" priority="3026" operator="lessThan">
      <formula>0</formula>
    </cfRule>
  </conditionalFormatting>
  <conditionalFormatting sqref="D58">
    <cfRule type="expression" dxfId="1887" priority="3024">
      <formula>E58&gt;B58</formula>
    </cfRule>
  </conditionalFormatting>
  <conditionalFormatting sqref="C58">
    <cfRule type="expression" dxfId="1886" priority="3023">
      <formula>B58&gt;E58</formula>
    </cfRule>
  </conditionalFormatting>
  <conditionalFormatting sqref="D57 D59">
    <cfRule type="expression" dxfId="1885" priority="3022">
      <formula>E57&gt;B57</formula>
    </cfRule>
  </conditionalFormatting>
  <conditionalFormatting sqref="C57 C59">
    <cfRule type="expression" dxfId="1884" priority="3021">
      <formula>B57&gt;E57</formula>
    </cfRule>
  </conditionalFormatting>
  <conditionalFormatting sqref="B45">
    <cfRule type="cellIs" dxfId="1883" priority="3002" operator="greaterThan">
      <formula>E45</formula>
    </cfRule>
  </conditionalFormatting>
  <conditionalFormatting sqref="B46">
    <cfRule type="cellIs" dxfId="1882" priority="3001" operator="greaterThan">
      <formula>E46</formula>
    </cfRule>
  </conditionalFormatting>
  <conditionalFormatting sqref="B47 B49 B51 B53 B55 B57 B59">
    <cfRule type="cellIs" dxfId="1881" priority="3000" operator="greaterThan">
      <formula>E47</formula>
    </cfRule>
  </conditionalFormatting>
  <conditionalFormatting sqref="B48 B50 B52 B54 B56 B58">
    <cfRule type="cellIs" dxfId="1880" priority="2999" operator="greaterThan">
      <formula>E48</formula>
    </cfRule>
  </conditionalFormatting>
  <conditionalFormatting sqref="E45">
    <cfRule type="cellIs" dxfId="1879" priority="2998" operator="greaterThan">
      <formula>B45</formula>
    </cfRule>
  </conditionalFormatting>
  <conditionalFormatting sqref="E46">
    <cfRule type="cellIs" dxfId="1878" priority="2997" operator="greaterThan">
      <formula>B46</formula>
    </cfRule>
  </conditionalFormatting>
  <conditionalFormatting sqref="E47 E49 E51 E55 E57 E59">
    <cfRule type="cellIs" dxfId="1877" priority="2996" operator="greaterThan">
      <formula>B47</formula>
    </cfRule>
  </conditionalFormatting>
  <conditionalFormatting sqref="E48 E50 E52 E54 E56 E58">
    <cfRule type="cellIs" dxfId="1876" priority="2995" operator="greaterThan">
      <formula>B48</formula>
    </cfRule>
  </conditionalFormatting>
  <conditionalFormatting sqref="E53">
    <cfRule type="cellIs" dxfId="1875" priority="2994" operator="greaterThan">
      <formula>H53</formula>
    </cfRule>
  </conditionalFormatting>
  <conditionalFormatting sqref="B30">
    <cfRule type="cellIs" dxfId="1874" priority="2993" operator="greaterThan">
      <formula>E30</formula>
    </cfRule>
  </conditionalFormatting>
  <conditionalFormatting sqref="B31">
    <cfRule type="cellIs" dxfId="1873" priority="2992" operator="greaterThan">
      <formula>E31</formula>
    </cfRule>
  </conditionalFormatting>
  <conditionalFormatting sqref="B32 B34 B36 B38 B40 B42">
    <cfRule type="cellIs" dxfId="1872" priority="2991" operator="greaterThan">
      <formula>E32</formula>
    </cfRule>
  </conditionalFormatting>
  <conditionalFormatting sqref="B33 B35 B37 B39 B41 B43">
    <cfRule type="cellIs" dxfId="1871" priority="2990" operator="greaterThan">
      <formula>E33</formula>
    </cfRule>
  </conditionalFormatting>
  <conditionalFormatting sqref="E30">
    <cfRule type="cellIs" dxfId="1870" priority="2989" operator="greaterThan">
      <formula>B30</formula>
    </cfRule>
  </conditionalFormatting>
  <conditionalFormatting sqref="E31">
    <cfRule type="cellIs" dxfId="1869" priority="2988" operator="greaterThan">
      <formula>B31</formula>
    </cfRule>
  </conditionalFormatting>
  <conditionalFormatting sqref="E32 E34 E36 E40 E42">
    <cfRule type="cellIs" dxfId="1868" priority="2987" operator="greaterThan">
      <formula>B32</formula>
    </cfRule>
  </conditionalFormatting>
  <conditionalFormatting sqref="E33 E35 E37 E39 E41 E43">
    <cfRule type="cellIs" dxfId="1867" priority="2986" operator="greaterThan">
      <formula>B33</formula>
    </cfRule>
  </conditionalFormatting>
  <conditionalFormatting sqref="E38">
    <cfRule type="cellIs" dxfId="1866" priority="2985" operator="greaterThan">
      <formula>H38</formula>
    </cfRule>
  </conditionalFormatting>
  <conditionalFormatting sqref="Y35:Z35">
    <cfRule type="cellIs" dxfId="1865" priority="2974" operator="equal">
      <formula>0</formula>
    </cfRule>
  </conditionalFormatting>
  <conditionalFormatting sqref="Y36:Z36">
    <cfRule type="cellIs" dxfId="1864" priority="2968" operator="equal">
      <formula>0</formula>
    </cfRule>
  </conditionalFormatting>
  <conditionalFormatting sqref="W26">
    <cfRule type="cellIs" dxfId="1863" priority="2944" operator="equal">
      <formula>"STOP"</formula>
    </cfRule>
    <cfRule type="cellIs" dxfId="1862" priority="2945" operator="equal">
      <formula>"TRAILING"</formula>
    </cfRule>
  </conditionalFormatting>
  <conditionalFormatting sqref="W29">
    <cfRule type="cellIs" dxfId="1861" priority="2942" operator="equal">
      <formula>"STOP"</formula>
    </cfRule>
    <cfRule type="cellIs" dxfId="1860" priority="2943" operator="equal">
      <formula>"TRAILING"</formula>
    </cfRule>
  </conditionalFormatting>
  <conditionalFormatting sqref="W28">
    <cfRule type="cellIs" dxfId="1859" priority="2940" operator="equal">
      <formula>"STOP"</formula>
    </cfRule>
    <cfRule type="cellIs" dxfId="1858" priority="2941" operator="equal">
      <formula>"TRAILING"</formula>
    </cfRule>
  </conditionalFormatting>
  <conditionalFormatting sqref="W29">
    <cfRule type="cellIs" dxfId="1857" priority="2901" operator="equal">
      <formula>"STOP"</formula>
    </cfRule>
    <cfRule type="cellIs" dxfId="1856" priority="2902" operator="equal">
      <formula>"TRAILING"</formula>
    </cfRule>
  </conditionalFormatting>
  <conditionalFormatting sqref="W28">
    <cfRule type="cellIs" dxfId="1855" priority="2899" operator="equal">
      <formula>"STOP"</formula>
    </cfRule>
    <cfRule type="cellIs" dxfId="1854" priority="2900" operator="equal">
      <formula>"TRAILING"</formula>
    </cfRule>
  </conditionalFormatting>
  <conditionalFormatting sqref="W30:W31">
    <cfRule type="cellIs" dxfId="1853" priority="2882" operator="equal">
      <formula>0</formula>
    </cfRule>
  </conditionalFormatting>
  <conditionalFormatting sqref="W31">
    <cfRule type="cellIs" dxfId="1852" priority="2880" operator="equal">
      <formula>"STOP"</formula>
    </cfRule>
    <cfRule type="cellIs" dxfId="1851" priority="2881" operator="equal">
      <formula>"TRAILING"</formula>
    </cfRule>
  </conditionalFormatting>
  <conditionalFormatting sqref="W30">
    <cfRule type="cellIs" dxfId="1850" priority="2878" operator="equal">
      <formula>"STOP"</formula>
    </cfRule>
    <cfRule type="cellIs" dxfId="1849" priority="2879" operator="equal">
      <formula>"TRAILING"</formula>
    </cfRule>
  </conditionalFormatting>
  <conditionalFormatting sqref="W31">
    <cfRule type="cellIs" dxfId="1848" priority="2876" operator="equal">
      <formula>"STOP"</formula>
    </cfRule>
    <cfRule type="cellIs" dxfId="1847" priority="2877" operator="equal">
      <formula>"TRAILING"</formula>
    </cfRule>
  </conditionalFormatting>
  <conditionalFormatting sqref="W30">
    <cfRule type="cellIs" dxfId="1846" priority="2874" operator="equal">
      <formula>"STOP"</formula>
    </cfRule>
    <cfRule type="cellIs" dxfId="1845" priority="2875" operator="equal">
      <formula>"TRAILING"</formula>
    </cfRule>
  </conditionalFormatting>
  <conditionalFormatting sqref="W32:W33">
    <cfRule type="cellIs" dxfId="1844" priority="2873" operator="equal">
      <formula>0</formula>
    </cfRule>
  </conditionalFormatting>
  <conditionalFormatting sqref="W33">
    <cfRule type="cellIs" dxfId="1843" priority="2871" operator="equal">
      <formula>"STOP"</formula>
    </cfRule>
    <cfRule type="cellIs" dxfId="1842" priority="2872" operator="equal">
      <formula>"TRAILING"</formula>
    </cfRule>
  </conditionalFormatting>
  <conditionalFormatting sqref="W32">
    <cfRule type="cellIs" dxfId="1841" priority="2869" operator="equal">
      <formula>"STOP"</formula>
    </cfRule>
    <cfRule type="cellIs" dxfId="1840" priority="2870" operator="equal">
      <formula>"TRAILING"</formula>
    </cfRule>
  </conditionalFormatting>
  <conditionalFormatting sqref="W33">
    <cfRule type="cellIs" dxfId="1839" priority="2867" operator="equal">
      <formula>"STOP"</formula>
    </cfRule>
    <cfRule type="cellIs" dxfId="1838" priority="2868" operator="equal">
      <formula>"TRAILING"</formula>
    </cfRule>
  </conditionalFormatting>
  <conditionalFormatting sqref="W32">
    <cfRule type="cellIs" dxfId="1837" priority="2865" operator="equal">
      <formula>"STOP"</formula>
    </cfRule>
    <cfRule type="cellIs" dxfId="1836" priority="2866" operator="equal">
      <formula>"TRAILING"</formula>
    </cfRule>
  </conditionalFormatting>
  <conditionalFormatting sqref="W34:W35">
    <cfRule type="cellIs" dxfId="1835" priority="2864" operator="equal">
      <formula>0</formula>
    </cfRule>
  </conditionalFormatting>
  <conditionalFormatting sqref="W35">
    <cfRule type="cellIs" dxfId="1834" priority="2862" operator="equal">
      <formula>"STOP"</formula>
    </cfRule>
    <cfRule type="cellIs" dxfId="1833" priority="2863" operator="equal">
      <formula>"TRAILING"</formula>
    </cfRule>
  </conditionalFormatting>
  <conditionalFormatting sqref="W34">
    <cfRule type="cellIs" dxfId="1832" priority="2860" operator="equal">
      <formula>"STOP"</formula>
    </cfRule>
    <cfRule type="cellIs" dxfId="1831" priority="2861" operator="equal">
      <formula>"TRAILING"</formula>
    </cfRule>
  </conditionalFormatting>
  <conditionalFormatting sqref="W35">
    <cfRule type="cellIs" dxfId="1830" priority="2858" operator="equal">
      <formula>"STOP"</formula>
    </cfRule>
    <cfRule type="cellIs" dxfId="1829" priority="2859" operator="equal">
      <formula>"TRAILING"</formula>
    </cfRule>
  </conditionalFormatting>
  <conditionalFormatting sqref="W34">
    <cfRule type="cellIs" dxfId="1828" priority="2856" operator="equal">
      <formula>"STOP"</formula>
    </cfRule>
    <cfRule type="cellIs" dxfId="1827" priority="2857" operator="equal">
      <formula>"TRAILING"</formula>
    </cfRule>
  </conditionalFormatting>
  <conditionalFormatting sqref="W36:W37">
    <cfRule type="cellIs" dxfId="1826" priority="2855" operator="equal">
      <formula>0</formula>
    </cfRule>
  </conditionalFormatting>
  <conditionalFormatting sqref="W37">
    <cfRule type="cellIs" dxfId="1825" priority="2853" operator="equal">
      <formula>"STOP"</formula>
    </cfRule>
    <cfRule type="cellIs" dxfId="1824" priority="2854" operator="equal">
      <formula>"TRAILING"</formula>
    </cfRule>
  </conditionalFormatting>
  <conditionalFormatting sqref="W36">
    <cfRule type="cellIs" dxfId="1823" priority="2851" operator="equal">
      <formula>"STOP"</formula>
    </cfRule>
    <cfRule type="cellIs" dxfId="1822" priority="2852" operator="equal">
      <formula>"TRAILING"</formula>
    </cfRule>
  </conditionalFormatting>
  <conditionalFormatting sqref="W37">
    <cfRule type="cellIs" dxfId="1821" priority="2849" operator="equal">
      <formula>"STOP"</formula>
    </cfRule>
    <cfRule type="cellIs" dxfId="1820" priority="2850" operator="equal">
      <formula>"TRAILING"</formula>
    </cfRule>
  </conditionalFormatting>
  <conditionalFormatting sqref="W36">
    <cfRule type="cellIs" dxfId="1819" priority="2847" operator="equal">
      <formula>"STOP"</formula>
    </cfRule>
    <cfRule type="cellIs" dxfId="1818" priority="2848" operator="equal">
      <formula>"TRAILING"</formula>
    </cfRule>
  </conditionalFormatting>
  <conditionalFormatting sqref="W38:W39">
    <cfRule type="cellIs" dxfId="1817" priority="2846" operator="equal">
      <formula>0</formula>
    </cfRule>
  </conditionalFormatting>
  <conditionalFormatting sqref="W39">
    <cfRule type="cellIs" dxfId="1816" priority="2844" operator="equal">
      <formula>"STOP"</formula>
    </cfRule>
    <cfRule type="cellIs" dxfId="1815" priority="2845" operator="equal">
      <formula>"TRAILING"</formula>
    </cfRule>
  </conditionalFormatting>
  <conditionalFormatting sqref="W38">
    <cfRule type="cellIs" dxfId="1814" priority="2842" operator="equal">
      <formula>"STOP"</formula>
    </cfRule>
    <cfRule type="cellIs" dxfId="1813" priority="2843" operator="equal">
      <formula>"TRAILING"</formula>
    </cfRule>
  </conditionalFormatting>
  <conditionalFormatting sqref="W39">
    <cfRule type="cellIs" dxfId="1812" priority="2840" operator="equal">
      <formula>"STOP"</formula>
    </cfRule>
    <cfRule type="cellIs" dxfId="1811" priority="2841" operator="equal">
      <formula>"TRAILING"</formula>
    </cfRule>
  </conditionalFormatting>
  <conditionalFormatting sqref="W38">
    <cfRule type="cellIs" dxfId="1810" priority="2838" operator="equal">
      <formula>"STOP"</formula>
    </cfRule>
    <cfRule type="cellIs" dxfId="1809" priority="2839" operator="equal">
      <formula>"TRAILING"</formula>
    </cfRule>
  </conditionalFormatting>
  <conditionalFormatting sqref="W40:W41">
    <cfRule type="cellIs" dxfId="1808" priority="2837" operator="equal">
      <formula>0</formula>
    </cfRule>
  </conditionalFormatting>
  <conditionalFormatting sqref="W41">
    <cfRule type="cellIs" dxfId="1807" priority="2835" operator="equal">
      <formula>"STOP"</formula>
    </cfRule>
    <cfRule type="cellIs" dxfId="1806" priority="2836" operator="equal">
      <formula>"TRAILING"</formula>
    </cfRule>
  </conditionalFormatting>
  <conditionalFormatting sqref="W40">
    <cfRule type="cellIs" dxfId="1805" priority="2833" operator="equal">
      <formula>"STOP"</formula>
    </cfRule>
    <cfRule type="cellIs" dxfId="1804" priority="2834" operator="equal">
      <formula>"TRAILING"</formula>
    </cfRule>
  </conditionalFormatting>
  <conditionalFormatting sqref="W41">
    <cfRule type="cellIs" dxfId="1803" priority="2831" operator="equal">
      <formula>"STOP"</formula>
    </cfRule>
    <cfRule type="cellIs" dxfId="1802" priority="2832" operator="equal">
      <formula>"TRAILING"</formula>
    </cfRule>
  </conditionalFormatting>
  <conditionalFormatting sqref="W40">
    <cfRule type="cellIs" dxfId="1801" priority="2829" operator="equal">
      <formula>"STOP"</formula>
    </cfRule>
    <cfRule type="cellIs" dxfId="1800" priority="2830" operator="equal">
      <formula>"TRAILING"</formula>
    </cfRule>
  </conditionalFormatting>
  <conditionalFormatting sqref="W42:W43">
    <cfRule type="cellIs" dxfId="1799" priority="2828" operator="equal">
      <formula>0</formula>
    </cfRule>
  </conditionalFormatting>
  <conditionalFormatting sqref="W43">
    <cfRule type="cellIs" dxfId="1798" priority="2826" operator="equal">
      <formula>"STOP"</formula>
    </cfRule>
    <cfRule type="cellIs" dxfId="1797" priority="2827" operator="equal">
      <formula>"TRAILING"</formula>
    </cfRule>
  </conditionalFormatting>
  <conditionalFormatting sqref="W42">
    <cfRule type="cellIs" dxfId="1796" priority="2824" operator="equal">
      <formula>"STOP"</formula>
    </cfRule>
    <cfRule type="cellIs" dxfId="1795" priority="2825" operator="equal">
      <formula>"TRAILING"</formula>
    </cfRule>
  </conditionalFormatting>
  <conditionalFormatting sqref="W43">
    <cfRule type="cellIs" dxfId="1794" priority="2822" operator="equal">
      <formula>"STOP"</formula>
    </cfRule>
    <cfRule type="cellIs" dxfId="1793" priority="2823" operator="equal">
      <formula>"TRAILING"</formula>
    </cfRule>
  </conditionalFormatting>
  <conditionalFormatting sqref="W42">
    <cfRule type="cellIs" dxfId="1792" priority="2820" operator="equal">
      <formula>"STOP"</formula>
    </cfRule>
    <cfRule type="cellIs" dxfId="1791" priority="2821" operator="equal">
      <formula>"TRAILING"</formula>
    </cfRule>
  </conditionalFormatting>
  <conditionalFormatting sqref="X26">
    <cfRule type="expression" dxfId="1790" priority="2654">
      <formula>X26*100&lt;C26</formula>
    </cfRule>
    <cfRule type="cellIs" dxfId="1789" priority="2655" operator="equal">
      <formula>0</formula>
    </cfRule>
  </conditionalFormatting>
  <conditionalFormatting sqref="X27">
    <cfRule type="expression" dxfId="1788" priority="2652">
      <formula>X27*100&lt;C27</formula>
    </cfRule>
    <cfRule type="cellIs" dxfId="1787" priority="2653" operator="equal">
      <formula>0</formula>
    </cfRule>
  </conditionalFormatting>
  <conditionalFormatting sqref="X28">
    <cfRule type="expression" dxfId="1786" priority="2650">
      <formula>X28*100&lt;C28</formula>
    </cfRule>
    <cfRule type="cellIs" dxfId="1785" priority="2651" operator="equal">
      <formula>0</formula>
    </cfRule>
  </conditionalFormatting>
  <conditionalFormatting sqref="X29">
    <cfRule type="expression" dxfId="1784" priority="2648">
      <formula>X29*100&lt;C29</formula>
    </cfRule>
    <cfRule type="cellIs" dxfId="1783" priority="2649" operator="equal">
      <formula>0</formula>
    </cfRule>
  </conditionalFormatting>
  <conditionalFormatting sqref="X64">
    <cfRule type="expression" dxfId="1782" priority="2550">
      <formula>X64*100&lt;C64</formula>
    </cfRule>
    <cfRule type="cellIs" dxfId="1781" priority="2551" operator="equal">
      <formula>0</formula>
    </cfRule>
  </conditionalFormatting>
  <conditionalFormatting sqref="X65">
    <cfRule type="expression" dxfId="1780" priority="2548">
      <formula>X65*100&lt;C65</formula>
    </cfRule>
    <cfRule type="cellIs" dxfId="1779" priority="2549" operator="equal">
      <formula>0</formula>
    </cfRule>
  </conditionalFormatting>
  <conditionalFormatting sqref="X66">
    <cfRule type="expression" dxfId="1778" priority="2546">
      <formula>X66*100&lt;C66</formula>
    </cfRule>
    <cfRule type="cellIs" dxfId="1777" priority="2547" operator="equal">
      <formula>0</formula>
    </cfRule>
  </conditionalFormatting>
  <conditionalFormatting sqref="X67">
    <cfRule type="expression" dxfId="1776" priority="2544">
      <formula>X67*100&lt;C67</formula>
    </cfRule>
    <cfRule type="cellIs" dxfId="1775" priority="2545" operator="equal">
      <formula>0</formula>
    </cfRule>
  </conditionalFormatting>
  <conditionalFormatting sqref="X68">
    <cfRule type="expression" dxfId="1774" priority="2542">
      <formula>X68*100&lt;C68</formula>
    </cfRule>
    <cfRule type="cellIs" dxfId="1773" priority="2543" operator="equal">
      <formula>0</formula>
    </cfRule>
  </conditionalFormatting>
  <conditionalFormatting sqref="X69">
    <cfRule type="expression" dxfId="1772" priority="2540">
      <formula>X69*100&lt;C69</formula>
    </cfRule>
    <cfRule type="cellIs" dxfId="1771" priority="2541" operator="equal">
      <formula>0</formula>
    </cfRule>
  </conditionalFormatting>
  <conditionalFormatting sqref="X70">
    <cfRule type="expression" dxfId="1770" priority="2538">
      <formula>X70*100&lt;C70</formula>
    </cfRule>
    <cfRule type="cellIs" dxfId="1769" priority="2539" operator="equal">
      <formula>0</formula>
    </cfRule>
  </conditionalFormatting>
  <conditionalFormatting sqref="X71">
    <cfRule type="expression" dxfId="1768" priority="2536">
      <formula>X71*100&lt;C71</formula>
    </cfRule>
    <cfRule type="cellIs" dxfId="1767" priority="2537" operator="equal">
      <formula>0</formula>
    </cfRule>
  </conditionalFormatting>
  <conditionalFormatting sqref="X72">
    <cfRule type="expression" dxfId="1766" priority="2534">
      <formula>X72*100&lt;C72</formula>
    </cfRule>
    <cfRule type="cellIs" dxfId="1765" priority="2535" operator="equal">
      <formula>0</formula>
    </cfRule>
  </conditionalFormatting>
  <conditionalFormatting sqref="X73">
    <cfRule type="expression" dxfId="1764" priority="2532">
      <formula>X73*100&lt;C73</formula>
    </cfRule>
    <cfRule type="cellIs" dxfId="1763" priority="2533" operator="equal">
      <formula>0</formula>
    </cfRule>
  </conditionalFormatting>
  <conditionalFormatting sqref="X74">
    <cfRule type="expression" dxfId="1762" priority="2530">
      <formula>X74*100&lt;C74</formula>
    </cfRule>
    <cfRule type="cellIs" dxfId="1761" priority="2531" operator="equal">
      <formula>0</formula>
    </cfRule>
  </conditionalFormatting>
  <conditionalFormatting sqref="X75">
    <cfRule type="expression" dxfId="1760" priority="2528">
      <formula>X75*100&lt;C75</formula>
    </cfRule>
    <cfRule type="cellIs" dxfId="1759" priority="2529" operator="equal">
      <formula>0</formula>
    </cfRule>
  </conditionalFormatting>
  <conditionalFormatting sqref="X76">
    <cfRule type="expression" dxfId="1758" priority="2526">
      <formula>X76*100&lt;C76</formula>
    </cfRule>
    <cfRule type="cellIs" dxfId="1757" priority="2527" operator="equal">
      <formula>0</formula>
    </cfRule>
  </conditionalFormatting>
  <conditionalFormatting sqref="X77">
    <cfRule type="expression" dxfId="1756" priority="2524">
      <formula>X77*100&lt;C77</formula>
    </cfRule>
    <cfRule type="cellIs" dxfId="1755" priority="2525" operator="equal">
      <formula>0</formula>
    </cfRule>
  </conditionalFormatting>
  <conditionalFormatting sqref="X78">
    <cfRule type="expression" dxfId="1754" priority="2522">
      <formula>X78*100&lt;C78</formula>
    </cfRule>
    <cfRule type="cellIs" dxfId="1753" priority="2523" operator="equal">
      <formula>0</formula>
    </cfRule>
  </conditionalFormatting>
  <conditionalFormatting sqref="X79">
    <cfRule type="expression" dxfId="1752" priority="2520">
      <formula>X79*100&lt;C79</formula>
    </cfRule>
    <cfRule type="cellIs" dxfId="1751" priority="2521" operator="equal">
      <formula>0</formula>
    </cfRule>
  </conditionalFormatting>
  <conditionalFormatting sqref="X80">
    <cfRule type="expression" dxfId="1750" priority="2518">
      <formula>X80*100&lt;C80</formula>
    </cfRule>
    <cfRule type="cellIs" dxfId="1749" priority="2519" operator="equal">
      <formula>0</formula>
    </cfRule>
  </conditionalFormatting>
  <conditionalFormatting sqref="X81">
    <cfRule type="expression" dxfId="1748" priority="2516">
      <formula>X81*100&lt;C81</formula>
    </cfRule>
    <cfRule type="cellIs" dxfId="1747" priority="2517" operator="equal">
      <formula>0</formula>
    </cfRule>
  </conditionalFormatting>
  <conditionalFormatting sqref="X82">
    <cfRule type="expression" dxfId="1746" priority="2514">
      <formula>X82*100&lt;C82</formula>
    </cfRule>
    <cfRule type="cellIs" dxfId="1745" priority="2515" operator="equal">
      <formula>0</formula>
    </cfRule>
  </conditionalFormatting>
  <conditionalFormatting sqref="X83">
    <cfRule type="expression" dxfId="1744" priority="2512">
      <formula>X83*100&lt;C83</formula>
    </cfRule>
    <cfRule type="cellIs" dxfId="1743" priority="2513" operator="equal">
      <formula>0</formula>
    </cfRule>
  </conditionalFormatting>
  <conditionalFormatting sqref="X84">
    <cfRule type="expression" dxfId="1742" priority="2510">
      <formula>X84*100&lt;C84</formula>
    </cfRule>
    <cfRule type="cellIs" dxfId="1741" priority="2511" operator="equal">
      <formula>0</formula>
    </cfRule>
  </conditionalFormatting>
  <conditionalFormatting sqref="X85">
    <cfRule type="expression" dxfId="1740" priority="2508">
      <formula>X85*100&lt;C85</formula>
    </cfRule>
    <cfRule type="cellIs" dxfId="1739" priority="2509" operator="equal">
      <formula>0</formula>
    </cfRule>
  </conditionalFormatting>
  <conditionalFormatting sqref="X86">
    <cfRule type="expression" dxfId="1738" priority="2506">
      <formula>X86*100&lt;C86</formula>
    </cfRule>
    <cfRule type="cellIs" dxfId="1737" priority="2507" operator="equal">
      <formula>0</formula>
    </cfRule>
  </conditionalFormatting>
  <conditionalFormatting sqref="X87">
    <cfRule type="expression" dxfId="1736" priority="2504">
      <formula>X87*100&lt;C87</formula>
    </cfRule>
    <cfRule type="cellIs" dxfId="1735" priority="2505" operator="equal">
      <formula>0</formula>
    </cfRule>
  </conditionalFormatting>
  <conditionalFormatting sqref="X88">
    <cfRule type="expression" dxfId="1734" priority="2502">
      <formula>X88*100&lt;C88</formula>
    </cfRule>
    <cfRule type="cellIs" dxfId="1733" priority="2503" operator="equal">
      <formula>0</formula>
    </cfRule>
  </conditionalFormatting>
  <conditionalFormatting sqref="X89">
    <cfRule type="expression" dxfId="1732" priority="2500">
      <formula>X89*100&lt;C89</formula>
    </cfRule>
    <cfRule type="cellIs" dxfId="1731" priority="2501" operator="equal">
      <formula>0</formula>
    </cfRule>
  </conditionalFormatting>
  <conditionalFormatting sqref="X90">
    <cfRule type="expression" dxfId="1730" priority="2498">
      <formula>X90*100&lt;C90</formula>
    </cfRule>
    <cfRule type="cellIs" dxfId="1729" priority="2499" operator="equal">
      <formula>0</formula>
    </cfRule>
  </conditionalFormatting>
  <conditionalFormatting sqref="X91">
    <cfRule type="expression" dxfId="1728" priority="2496">
      <formula>X91*100&lt;C91</formula>
    </cfRule>
    <cfRule type="cellIs" dxfId="1727" priority="2497" operator="equal">
      <formula>0</formula>
    </cfRule>
  </conditionalFormatting>
  <conditionalFormatting sqref="X92">
    <cfRule type="expression" dxfId="1726" priority="2494">
      <formula>X92*100&lt;C92</formula>
    </cfRule>
    <cfRule type="cellIs" dxfId="1725" priority="2495" operator="equal">
      <formula>0</formula>
    </cfRule>
  </conditionalFormatting>
  <conditionalFormatting sqref="X93">
    <cfRule type="expression" dxfId="1724" priority="2492">
      <formula>X93*100&lt;C93</formula>
    </cfRule>
    <cfRule type="cellIs" dxfId="1723" priority="2493" operator="equal">
      <formula>0</formula>
    </cfRule>
  </conditionalFormatting>
  <conditionalFormatting sqref="X94">
    <cfRule type="expression" dxfId="1722" priority="2490">
      <formula>X94*100&lt;C94</formula>
    </cfRule>
    <cfRule type="cellIs" dxfId="1721" priority="2491" operator="equal">
      <formula>0</formula>
    </cfRule>
  </conditionalFormatting>
  <conditionalFormatting sqref="X95">
    <cfRule type="expression" dxfId="1720" priority="2488">
      <formula>X95*100&lt;C95</formula>
    </cfRule>
    <cfRule type="cellIs" dxfId="1719" priority="2489" operator="equal">
      <formula>0</formula>
    </cfRule>
  </conditionalFormatting>
  <conditionalFormatting sqref="X96">
    <cfRule type="expression" dxfId="1718" priority="2486">
      <formula>X96*100&lt;C96</formula>
    </cfRule>
    <cfRule type="cellIs" dxfId="1717" priority="2487" operator="equal">
      <formula>0</formula>
    </cfRule>
  </conditionalFormatting>
  <conditionalFormatting sqref="X97">
    <cfRule type="expression" dxfId="1716" priority="2484">
      <formula>X97*100&lt;C97</formula>
    </cfRule>
    <cfRule type="cellIs" dxfId="1715" priority="2485" operator="equal">
      <formula>0</formula>
    </cfRule>
  </conditionalFormatting>
  <conditionalFormatting sqref="X98">
    <cfRule type="expression" dxfId="1714" priority="2482">
      <formula>X98*100&lt;C98</formula>
    </cfRule>
    <cfRule type="cellIs" dxfId="1713" priority="2483" operator="equal">
      <formula>0</formula>
    </cfRule>
  </conditionalFormatting>
  <conditionalFormatting sqref="X99">
    <cfRule type="expression" dxfId="1712" priority="2480">
      <formula>X99*100&lt;C99</formula>
    </cfRule>
    <cfRule type="cellIs" dxfId="1711" priority="2481" operator="equal">
      <formula>0</formula>
    </cfRule>
  </conditionalFormatting>
  <conditionalFormatting sqref="X100">
    <cfRule type="expression" dxfId="1710" priority="2478">
      <formula>X100*100&lt;C100</formula>
    </cfRule>
    <cfRule type="cellIs" dxfId="1709" priority="2479" operator="equal">
      <formula>0</formula>
    </cfRule>
  </conditionalFormatting>
  <conditionalFormatting sqref="X101">
    <cfRule type="expression" dxfId="1708" priority="2476">
      <formula>X101*100&lt;C101</formula>
    </cfRule>
    <cfRule type="cellIs" dxfId="1707" priority="2477" operator="equal">
      <formula>0</formula>
    </cfRule>
  </conditionalFormatting>
  <conditionalFormatting sqref="X102">
    <cfRule type="expression" dxfId="1706" priority="2474">
      <formula>X102*100&lt;C102</formula>
    </cfRule>
    <cfRule type="cellIs" dxfId="1705" priority="2475" operator="equal">
      <formula>0</formula>
    </cfRule>
  </conditionalFormatting>
  <conditionalFormatting sqref="X103">
    <cfRule type="expression" dxfId="1704" priority="2472">
      <formula>X103*100&lt;C103</formula>
    </cfRule>
    <cfRule type="cellIs" dxfId="1703" priority="2473" operator="equal">
      <formula>0</formula>
    </cfRule>
  </conditionalFormatting>
  <conditionalFormatting sqref="X104">
    <cfRule type="expression" dxfId="1702" priority="2470">
      <formula>X104*100&lt;C104</formula>
    </cfRule>
    <cfRule type="cellIs" dxfId="1701" priority="2471" operator="equal">
      <formula>0</formula>
    </cfRule>
  </conditionalFormatting>
  <conditionalFormatting sqref="X105">
    <cfRule type="expression" dxfId="1700" priority="2468">
      <formula>X105*100&lt;C105</formula>
    </cfRule>
    <cfRule type="cellIs" dxfId="1699" priority="2469" operator="equal">
      <formula>0</formula>
    </cfRule>
  </conditionalFormatting>
  <conditionalFormatting sqref="X106">
    <cfRule type="expression" dxfId="1698" priority="2466">
      <formula>X106*100&lt;C106</formula>
    </cfRule>
    <cfRule type="cellIs" dxfId="1697" priority="2467" operator="equal">
      <formula>0</formula>
    </cfRule>
  </conditionalFormatting>
  <conditionalFormatting sqref="X107">
    <cfRule type="expression" dxfId="1696" priority="2464">
      <formula>X107*100&lt;C107</formula>
    </cfRule>
    <cfRule type="cellIs" dxfId="1695" priority="2465" operator="equal">
      <formula>0</formula>
    </cfRule>
  </conditionalFormatting>
  <conditionalFormatting sqref="X108">
    <cfRule type="expression" dxfId="1694" priority="2462">
      <formula>X108*100&lt;C108</formula>
    </cfRule>
    <cfRule type="cellIs" dxfId="1693" priority="2463" operator="equal">
      <formula>0</formula>
    </cfRule>
  </conditionalFormatting>
  <conditionalFormatting sqref="X109">
    <cfRule type="expression" dxfId="1692" priority="2460">
      <formula>X109*100&lt;C109</formula>
    </cfRule>
    <cfRule type="cellIs" dxfId="1691" priority="2461" operator="equal">
      <formula>0</formula>
    </cfRule>
  </conditionalFormatting>
  <conditionalFormatting sqref="X110">
    <cfRule type="expression" dxfId="1690" priority="2458">
      <formula>X110*100&lt;C110</formula>
    </cfRule>
    <cfRule type="cellIs" dxfId="1689" priority="2459" operator="equal">
      <formula>0</formula>
    </cfRule>
  </conditionalFormatting>
  <conditionalFormatting sqref="X111">
    <cfRule type="expression" dxfId="1688" priority="2456">
      <formula>X111*100&lt;C111</formula>
    </cfRule>
    <cfRule type="cellIs" dxfId="1687" priority="2457" operator="equal">
      <formula>0</formula>
    </cfRule>
  </conditionalFormatting>
  <conditionalFormatting sqref="X112">
    <cfRule type="expression" dxfId="1686" priority="2454">
      <formula>X112*100&lt;C112</formula>
    </cfRule>
    <cfRule type="cellIs" dxfId="1685" priority="2455" operator="equal">
      <formula>0</formula>
    </cfRule>
  </conditionalFormatting>
  <conditionalFormatting sqref="X113">
    <cfRule type="expression" dxfId="1684" priority="2452">
      <formula>X113*100&lt;C113</formula>
    </cfRule>
    <cfRule type="cellIs" dxfId="1683" priority="2453" operator="equal">
      <formula>0</formula>
    </cfRule>
  </conditionalFormatting>
  <conditionalFormatting sqref="X114">
    <cfRule type="expression" dxfId="1682" priority="2450">
      <formula>X114*100&lt;C114</formula>
    </cfRule>
    <cfRule type="cellIs" dxfId="1681" priority="2451" operator="equal">
      <formula>0</formula>
    </cfRule>
  </conditionalFormatting>
  <conditionalFormatting sqref="X115">
    <cfRule type="expression" dxfId="1680" priority="2448">
      <formula>X115*100&lt;C115</formula>
    </cfRule>
    <cfRule type="cellIs" dxfId="1679" priority="2449" operator="equal">
      <formula>0</formula>
    </cfRule>
  </conditionalFormatting>
  <conditionalFormatting sqref="X116">
    <cfRule type="expression" dxfId="1678" priority="2446">
      <formula>X116*100&lt;C116</formula>
    </cfRule>
    <cfRule type="cellIs" dxfId="1677" priority="2447" operator="equal">
      <formula>0</formula>
    </cfRule>
  </conditionalFormatting>
  <conditionalFormatting sqref="X117">
    <cfRule type="expression" dxfId="1676" priority="2444">
      <formula>X117*100&lt;C117</formula>
    </cfRule>
    <cfRule type="cellIs" dxfId="1675" priority="2445" operator="equal">
      <formula>0</formula>
    </cfRule>
  </conditionalFormatting>
  <conditionalFormatting sqref="X118">
    <cfRule type="expression" dxfId="1674" priority="2442">
      <formula>X118*100&lt;C118</formula>
    </cfRule>
    <cfRule type="cellIs" dxfId="1673" priority="2443" operator="equal">
      <formula>0</formula>
    </cfRule>
  </conditionalFormatting>
  <conditionalFormatting sqref="X119">
    <cfRule type="expression" dxfId="1672" priority="2440">
      <formula>X119*100&lt;C119</formula>
    </cfRule>
    <cfRule type="cellIs" dxfId="1671" priority="2441" operator="equal">
      <formula>0</formula>
    </cfRule>
  </conditionalFormatting>
  <conditionalFormatting sqref="X120">
    <cfRule type="expression" dxfId="1670" priority="2438">
      <formula>X120*100&lt;C120</formula>
    </cfRule>
    <cfRule type="cellIs" dxfId="1669" priority="2439" operator="equal">
      <formula>0</formula>
    </cfRule>
  </conditionalFormatting>
  <conditionalFormatting sqref="X121">
    <cfRule type="expression" dxfId="1668" priority="2436">
      <formula>X121*100&lt;C121</formula>
    </cfRule>
    <cfRule type="cellIs" dxfId="1667" priority="2437" operator="equal">
      <formula>0</formula>
    </cfRule>
  </conditionalFormatting>
  <conditionalFormatting sqref="X122">
    <cfRule type="expression" dxfId="1666" priority="2434">
      <formula>X122*100&lt;C122</formula>
    </cfRule>
    <cfRule type="cellIs" dxfId="1665" priority="2435" operator="equal">
      <formula>0</formula>
    </cfRule>
  </conditionalFormatting>
  <conditionalFormatting sqref="X123">
    <cfRule type="expression" dxfId="1664" priority="2432">
      <formula>X123*100&lt;C123</formula>
    </cfRule>
    <cfRule type="cellIs" dxfId="1663" priority="2433" operator="equal">
      <formula>0</formula>
    </cfRule>
  </conditionalFormatting>
  <conditionalFormatting sqref="X124">
    <cfRule type="expression" dxfId="1662" priority="2430">
      <formula>X124*100&lt;C124</formula>
    </cfRule>
    <cfRule type="cellIs" dxfId="1661" priority="2431" operator="equal">
      <formula>0</formula>
    </cfRule>
  </conditionalFormatting>
  <conditionalFormatting sqref="X125">
    <cfRule type="expression" dxfId="1660" priority="2428">
      <formula>X125*100&lt;C125</formula>
    </cfRule>
    <cfRule type="cellIs" dxfId="1659" priority="2429" operator="equal">
      <formula>0</formula>
    </cfRule>
  </conditionalFormatting>
  <conditionalFormatting sqref="X126">
    <cfRule type="expression" dxfId="1658" priority="2426">
      <formula>X126*100&lt;C126</formula>
    </cfRule>
    <cfRule type="cellIs" dxfId="1657" priority="2427" operator="equal">
      <formula>0</formula>
    </cfRule>
  </conditionalFormatting>
  <conditionalFormatting sqref="X127">
    <cfRule type="expression" dxfId="1656" priority="2424">
      <formula>X127*100&lt;C127</formula>
    </cfRule>
    <cfRule type="cellIs" dxfId="1655" priority="2425" operator="equal">
      <formula>0</formula>
    </cfRule>
  </conditionalFormatting>
  <conditionalFormatting sqref="X128">
    <cfRule type="expression" dxfId="1654" priority="2422">
      <formula>X128*100&lt;C128</formula>
    </cfRule>
    <cfRule type="cellIs" dxfId="1653" priority="2423" operator="equal">
      <formula>0</formula>
    </cfRule>
  </conditionalFormatting>
  <conditionalFormatting sqref="X129">
    <cfRule type="expression" dxfId="1652" priority="2420">
      <formula>X129*100&lt;C129</formula>
    </cfRule>
    <cfRule type="cellIs" dxfId="1651" priority="2421" operator="equal">
      <formula>0</formula>
    </cfRule>
  </conditionalFormatting>
  <conditionalFormatting sqref="X130">
    <cfRule type="expression" dxfId="1650" priority="2418">
      <formula>X130*100&lt;C130</formula>
    </cfRule>
    <cfRule type="cellIs" dxfId="1649" priority="2419" operator="equal">
      <formula>0</formula>
    </cfRule>
  </conditionalFormatting>
  <conditionalFormatting sqref="X131">
    <cfRule type="expression" dxfId="1648" priority="2416">
      <formula>X131*100&lt;C131</formula>
    </cfRule>
    <cfRule type="cellIs" dxfId="1647" priority="2417" operator="equal">
      <formula>0</formula>
    </cfRule>
  </conditionalFormatting>
  <conditionalFormatting sqref="X132">
    <cfRule type="expression" dxfId="1646" priority="2414">
      <formula>X132*100&lt;C132</formula>
    </cfRule>
    <cfRule type="cellIs" dxfId="1645" priority="2415" operator="equal">
      <formula>0</formula>
    </cfRule>
  </conditionalFormatting>
  <conditionalFormatting sqref="X133">
    <cfRule type="expression" dxfId="1644" priority="2412">
      <formula>X133*100&lt;C133</formula>
    </cfRule>
    <cfRule type="cellIs" dxfId="1643" priority="2413" operator="equal">
      <formula>0</formula>
    </cfRule>
  </conditionalFormatting>
  <conditionalFormatting sqref="X134">
    <cfRule type="expression" dxfId="1642" priority="2410">
      <formula>X134*100&lt;C134</formula>
    </cfRule>
    <cfRule type="cellIs" dxfId="1641" priority="2411" operator="equal">
      <formula>0</formula>
    </cfRule>
  </conditionalFormatting>
  <conditionalFormatting sqref="X135">
    <cfRule type="expression" dxfId="1640" priority="2408">
      <formula>X135*100&lt;C135</formula>
    </cfRule>
    <cfRule type="cellIs" dxfId="1639" priority="2409" operator="equal">
      <formula>0</formula>
    </cfRule>
  </conditionalFormatting>
  <conditionalFormatting sqref="X136">
    <cfRule type="expression" dxfId="1638" priority="2406">
      <formula>X136*100&lt;C136</formula>
    </cfRule>
    <cfRule type="cellIs" dxfId="1637" priority="2407" operator="equal">
      <formula>0</formula>
    </cfRule>
  </conditionalFormatting>
  <conditionalFormatting sqref="X137">
    <cfRule type="expression" dxfId="1636" priority="2404">
      <formula>X137*100&lt;C137</formula>
    </cfRule>
    <cfRule type="cellIs" dxfId="1635" priority="2405" operator="equal">
      <formula>0</formula>
    </cfRule>
  </conditionalFormatting>
  <conditionalFormatting sqref="X138">
    <cfRule type="expression" dxfId="1634" priority="2402">
      <formula>X138*100&lt;C138</formula>
    </cfRule>
    <cfRule type="cellIs" dxfId="1633" priority="2403" operator="equal">
      <formula>0</formula>
    </cfRule>
  </conditionalFormatting>
  <conditionalFormatting sqref="X139">
    <cfRule type="expression" dxfId="1632" priority="2400">
      <formula>X139*100&lt;C139</formula>
    </cfRule>
    <cfRule type="cellIs" dxfId="1631" priority="2401" operator="equal">
      <formula>0</formula>
    </cfRule>
  </conditionalFormatting>
  <conditionalFormatting sqref="X140">
    <cfRule type="expression" dxfId="1630" priority="2398">
      <formula>X140*100&lt;C140</formula>
    </cfRule>
    <cfRule type="cellIs" dxfId="1629" priority="2399" operator="equal">
      <formula>0</formula>
    </cfRule>
  </conditionalFormatting>
  <conditionalFormatting sqref="X141">
    <cfRule type="expression" dxfId="1628" priority="2396">
      <formula>X141*100&lt;C141</formula>
    </cfRule>
    <cfRule type="cellIs" dxfId="1627" priority="2397" operator="equal">
      <formula>0</formula>
    </cfRule>
  </conditionalFormatting>
  <conditionalFormatting sqref="X142">
    <cfRule type="expression" dxfId="1626" priority="2394">
      <formula>X142*100&lt;C142</formula>
    </cfRule>
    <cfRule type="cellIs" dxfId="1625" priority="2395" operator="equal">
      <formula>0</formula>
    </cfRule>
  </conditionalFormatting>
  <conditionalFormatting sqref="X143">
    <cfRule type="expression" dxfId="1624" priority="2392">
      <formula>X143*100&lt;C143</formula>
    </cfRule>
    <cfRule type="cellIs" dxfId="1623" priority="2393" operator="equal">
      <formula>0</formula>
    </cfRule>
  </conditionalFormatting>
  <conditionalFormatting sqref="X144">
    <cfRule type="expression" dxfId="1622" priority="2390">
      <formula>X144*100&lt;C144</formula>
    </cfRule>
    <cfRule type="cellIs" dxfId="1621" priority="2391" operator="equal">
      <formula>0</formula>
    </cfRule>
  </conditionalFormatting>
  <conditionalFormatting sqref="X145">
    <cfRule type="expression" dxfId="1620" priority="2388">
      <formula>X145*100&lt;C145</formula>
    </cfRule>
    <cfRule type="cellIs" dxfId="1619" priority="2389" operator="equal">
      <formula>0</formula>
    </cfRule>
  </conditionalFormatting>
  <conditionalFormatting sqref="X146">
    <cfRule type="expression" dxfId="1618" priority="2386">
      <formula>X146*100&lt;C146</formula>
    </cfRule>
    <cfRule type="cellIs" dxfId="1617" priority="2387" operator="equal">
      <formula>0</formula>
    </cfRule>
  </conditionalFormatting>
  <conditionalFormatting sqref="X147">
    <cfRule type="expression" dxfId="1616" priority="2384">
      <formula>X147*100&lt;C147</formula>
    </cfRule>
    <cfRule type="cellIs" dxfId="1615" priority="2385" operator="equal">
      <formula>0</formula>
    </cfRule>
  </conditionalFormatting>
  <conditionalFormatting sqref="X148">
    <cfRule type="expression" dxfId="1614" priority="2382">
      <formula>X148*100&lt;C148</formula>
    </cfRule>
    <cfRule type="cellIs" dxfId="1613" priority="2383" operator="equal">
      <formula>0</formula>
    </cfRule>
  </conditionalFormatting>
  <conditionalFormatting sqref="X149">
    <cfRule type="expression" dxfId="1612" priority="2380">
      <formula>X149*100&lt;C149</formula>
    </cfRule>
    <cfRule type="cellIs" dxfId="1611" priority="2381" operator="equal">
      <formula>0</formula>
    </cfRule>
  </conditionalFormatting>
  <conditionalFormatting sqref="X150">
    <cfRule type="expression" dxfId="1610" priority="2378">
      <formula>X150*100&lt;C150</formula>
    </cfRule>
    <cfRule type="cellIs" dxfId="1609" priority="2379" operator="equal">
      <formula>0</formula>
    </cfRule>
  </conditionalFormatting>
  <conditionalFormatting sqref="X151">
    <cfRule type="expression" dxfId="1608" priority="2376">
      <formula>X151*100&lt;C151</formula>
    </cfRule>
    <cfRule type="cellIs" dxfId="1607" priority="2377" operator="equal">
      <formula>0</formula>
    </cfRule>
  </conditionalFormatting>
  <conditionalFormatting sqref="X152">
    <cfRule type="expression" dxfId="1606" priority="2374">
      <formula>X152*100&lt;C152</formula>
    </cfRule>
    <cfRule type="cellIs" dxfId="1605" priority="2375" operator="equal">
      <formula>0</formula>
    </cfRule>
  </conditionalFormatting>
  <conditionalFormatting sqref="X153">
    <cfRule type="expression" dxfId="1604" priority="2372">
      <formula>X153*100&lt;C153</formula>
    </cfRule>
    <cfRule type="cellIs" dxfId="1603" priority="2373" operator="equal">
      <formula>0</formula>
    </cfRule>
  </conditionalFormatting>
  <conditionalFormatting sqref="X154">
    <cfRule type="expression" dxfId="1602" priority="2370">
      <formula>X154*100&lt;C154</formula>
    </cfRule>
    <cfRule type="cellIs" dxfId="1601" priority="2371" operator="equal">
      <formula>0</formula>
    </cfRule>
  </conditionalFormatting>
  <conditionalFormatting sqref="X155">
    <cfRule type="expression" dxfId="1600" priority="2368">
      <formula>X155*100&lt;C155</formula>
    </cfRule>
    <cfRule type="cellIs" dxfId="1599" priority="2369" operator="equal">
      <formula>0</formula>
    </cfRule>
  </conditionalFormatting>
  <conditionalFormatting sqref="X156">
    <cfRule type="expression" dxfId="1598" priority="2366">
      <formula>X156*100&lt;C156</formula>
    </cfRule>
    <cfRule type="cellIs" dxfId="1597" priority="2367" operator="equal">
      <formula>0</formula>
    </cfRule>
  </conditionalFormatting>
  <conditionalFormatting sqref="X157">
    <cfRule type="expression" dxfId="1596" priority="2364">
      <formula>X157*100&lt;C157</formula>
    </cfRule>
    <cfRule type="cellIs" dxfId="1595" priority="2365" operator="equal">
      <formula>0</formula>
    </cfRule>
  </conditionalFormatting>
  <conditionalFormatting sqref="X158">
    <cfRule type="expression" dxfId="1594" priority="2362">
      <formula>X158*100&lt;C158</formula>
    </cfRule>
    <cfRule type="cellIs" dxfId="1593" priority="2363" operator="equal">
      <formula>0</formula>
    </cfRule>
  </conditionalFormatting>
  <conditionalFormatting sqref="X159">
    <cfRule type="expression" dxfId="1592" priority="2360">
      <formula>X159*100&lt;C159</formula>
    </cfRule>
    <cfRule type="cellIs" dxfId="1591" priority="2361" operator="equal">
      <formula>0</formula>
    </cfRule>
  </conditionalFormatting>
  <conditionalFormatting sqref="X160">
    <cfRule type="expression" dxfId="1590" priority="2358">
      <formula>X160*100&lt;C160</formula>
    </cfRule>
    <cfRule type="cellIs" dxfId="1589" priority="2359" operator="equal">
      <formula>0</formula>
    </cfRule>
  </conditionalFormatting>
  <conditionalFormatting sqref="X161">
    <cfRule type="expression" dxfId="1588" priority="2356">
      <formula>X161*100&lt;C161</formula>
    </cfRule>
    <cfRule type="cellIs" dxfId="1587" priority="2357" operator="equal">
      <formula>0</formula>
    </cfRule>
  </conditionalFormatting>
  <conditionalFormatting sqref="X162">
    <cfRule type="expression" dxfId="1586" priority="2354">
      <formula>X162*100&lt;C162</formula>
    </cfRule>
    <cfRule type="cellIs" dxfId="1585" priority="2355" operator="equal">
      <formula>0</formula>
    </cfRule>
  </conditionalFormatting>
  <conditionalFormatting sqref="X163">
    <cfRule type="expression" dxfId="1584" priority="2352">
      <formula>X163*100&lt;C163</formula>
    </cfRule>
    <cfRule type="cellIs" dxfId="1583" priority="2353" operator="equal">
      <formula>0</formula>
    </cfRule>
  </conditionalFormatting>
  <conditionalFormatting sqref="X164">
    <cfRule type="expression" dxfId="1582" priority="2350">
      <formula>X164*100&lt;C164</formula>
    </cfRule>
    <cfRule type="cellIs" dxfId="1581" priority="2351" operator="equal">
      <formula>0</formula>
    </cfRule>
  </conditionalFormatting>
  <conditionalFormatting sqref="X165">
    <cfRule type="expression" dxfId="1580" priority="2348">
      <formula>X165*100&lt;C165</formula>
    </cfRule>
    <cfRule type="cellIs" dxfId="1579" priority="2349" operator="equal">
      <formula>0</formula>
    </cfRule>
  </conditionalFormatting>
  <conditionalFormatting sqref="X166 X172 X178 X184 X190 X196">
    <cfRule type="expression" dxfId="1578" priority="2346">
      <formula>X166*100&lt;C166</formula>
    </cfRule>
    <cfRule type="cellIs" dxfId="1577" priority="2347" operator="equal">
      <formula>0</formula>
    </cfRule>
  </conditionalFormatting>
  <conditionalFormatting sqref="X167 X173 X179 X185 X191 X197">
    <cfRule type="expression" dxfId="1576" priority="2344">
      <formula>X167*100&lt;C167</formula>
    </cfRule>
    <cfRule type="cellIs" dxfId="1575" priority="2345" operator="equal">
      <formula>0</formula>
    </cfRule>
  </conditionalFormatting>
  <conditionalFormatting sqref="X168 X174 X180 X186 X192 X198">
    <cfRule type="expression" dxfId="1574" priority="2342">
      <formula>X168*100&lt;C168</formula>
    </cfRule>
    <cfRule type="cellIs" dxfId="1573" priority="2343" operator="equal">
      <formula>0</formula>
    </cfRule>
  </conditionalFormatting>
  <conditionalFormatting sqref="X169 X175 X181 X187 X193 X199">
    <cfRule type="expression" dxfId="1572" priority="2340">
      <formula>X169*100&lt;C169</formula>
    </cfRule>
    <cfRule type="cellIs" dxfId="1571" priority="2341" operator="equal">
      <formula>0</formula>
    </cfRule>
  </conditionalFormatting>
  <conditionalFormatting sqref="X170 X176 X182 X188 X194 X200">
    <cfRule type="expression" dxfId="1570" priority="2338">
      <formula>X170*100&lt;C170</formula>
    </cfRule>
    <cfRule type="cellIs" dxfId="1569" priority="2339" operator="equal">
      <formula>0</formula>
    </cfRule>
  </conditionalFormatting>
  <conditionalFormatting sqref="X171 X177 X183 X189 X195 X201">
    <cfRule type="expression" dxfId="1568" priority="2336">
      <formula>X171*100&lt;C171</formula>
    </cfRule>
    <cfRule type="cellIs" dxfId="1567" priority="2337" operator="equal">
      <formula>0</formula>
    </cfRule>
  </conditionalFormatting>
  <conditionalFormatting sqref="W2:W3">
    <cfRule type="cellIs" dxfId="1566" priority="2335" operator="equal">
      <formula>0</formula>
    </cfRule>
  </conditionalFormatting>
  <conditionalFormatting sqref="W3">
    <cfRule type="cellIs" dxfId="1565" priority="2333" operator="equal">
      <formula>"STOP"</formula>
    </cfRule>
    <cfRule type="cellIs" dxfId="1564" priority="2334" operator="equal">
      <formula>"TRAILING"</formula>
    </cfRule>
  </conditionalFormatting>
  <conditionalFormatting sqref="W2">
    <cfRule type="cellIs" dxfId="1563" priority="2331" operator="equal">
      <formula>"STOP"</formula>
    </cfRule>
    <cfRule type="cellIs" dxfId="1562" priority="2332" operator="equal">
      <formula>"TRAILING"</formula>
    </cfRule>
  </conditionalFormatting>
  <conditionalFormatting sqref="X2">
    <cfRule type="expression" dxfId="1561" priority="2329">
      <formula>X2*100&gt;C2</formula>
    </cfRule>
    <cfRule type="cellIs" dxfId="1560" priority="2330" operator="equal">
      <formula>0</formula>
    </cfRule>
  </conditionalFormatting>
  <conditionalFormatting sqref="X3">
    <cfRule type="expression" dxfId="1559" priority="2327">
      <formula>X3*100&gt;C3</formula>
    </cfRule>
    <cfRule type="cellIs" dxfId="1558" priority="2328" operator="equal">
      <formula>0</formula>
    </cfRule>
  </conditionalFormatting>
  <conditionalFormatting sqref="W4:W5">
    <cfRule type="cellIs" dxfId="1557" priority="2326" operator="equal">
      <formula>0</formula>
    </cfRule>
  </conditionalFormatting>
  <conditionalFormatting sqref="W5">
    <cfRule type="cellIs" dxfId="1556" priority="2324" operator="equal">
      <formula>"STOP"</formula>
    </cfRule>
    <cfRule type="cellIs" dxfId="1555" priority="2325" operator="equal">
      <formula>"TRAILING"</formula>
    </cfRule>
  </conditionalFormatting>
  <conditionalFormatting sqref="W4">
    <cfRule type="cellIs" dxfId="1554" priority="2322" operator="equal">
      <formula>"STOP"</formula>
    </cfRule>
    <cfRule type="cellIs" dxfId="1553" priority="2323" operator="equal">
      <formula>"TRAILING"</formula>
    </cfRule>
  </conditionalFormatting>
  <conditionalFormatting sqref="X4">
    <cfRule type="expression" dxfId="1552" priority="2320">
      <formula>X4*100&gt;C4</formula>
    </cfRule>
    <cfRule type="cellIs" dxfId="1551" priority="2321" operator="equal">
      <formula>0</formula>
    </cfRule>
  </conditionalFormatting>
  <conditionalFormatting sqref="X5">
    <cfRule type="expression" dxfId="1550" priority="2318">
      <formula>X5*100&gt;C5</formula>
    </cfRule>
    <cfRule type="cellIs" dxfId="1549" priority="2319" operator="equal">
      <formula>0</formula>
    </cfRule>
  </conditionalFormatting>
  <conditionalFormatting sqref="W6:W7">
    <cfRule type="cellIs" dxfId="1548" priority="2317" operator="equal">
      <formula>0</formula>
    </cfRule>
  </conditionalFormatting>
  <conditionalFormatting sqref="W7">
    <cfRule type="cellIs" dxfId="1547" priority="2315" operator="equal">
      <formula>"STOP"</formula>
    </cfRule>
    <cfRule type="cellIs" dxfId="1546" priority="2316" operator="equal">
      <formula>"TRAILING"</formula>
    </cfRule>
  </conditionalFormatting>
  <conditionalFormatting sqref="W6">
    <cfRule type="cellIs" dxfId="1545" priority="2313" operator="equal">
      <formula>"STOP"</formula>
    </cfRule>
    <cfRule type="cellIs" dxfId="1544" priority="2314" operator="equal">
      <formula>"TRAILING"</formula>
    </cfRule>
  </conditionalFormatting>
  <conditionalFormatting sqref="X6">
    <cfRule type="expression" dxfId="1543" priority="2311">
      <formula>X6*100&gt;C6</formula>
    </cfRule>
    <cfRule type="cellIs" dxfId="1542" priority="2312" operator="equal">
      <formula>0</formula>
    </cfRule>
  </conditionalFormatting>
  <conditionalFormatting sqref="X7">
    <cfRule type="expression" dxfId="1541" priority="2309">
      <formula>X7*100&gt;C7</formula>
    </cfRule>
    <cfRule type="cellIs" dxfId="1540" priority="2310" operator="equal">
      <formula>0</formula>
    </cfRule>
  </conditionalFormatting>
  <conditionalFormatting sqref="W8:W9">
    <cfRule type="cellIs" dxfId="1539" priority="2308" operator="equal">
      <formula>0</formula>
    </cfRule>
  </conditionalFormatting>
  <conditionalFormatting sqref="W9">
    <cfRule type="cellIs" dxfId="1538" priority="2306" operator="equal">
      <formula>"STOP"</formula>
    </cfRule>
    <cfRule type="cellIs" dxfId="1537" priority="2307" operator="equal">
      <formula>"TRAILING"</formula>
    </cfRule>
  </conditionalFormatting>
  <conditionalFormatting sqref="W8">
    <cfRule type="cellIs" dxfId="1536" priority="2304" operator="equal">
      <formula>"STOP"</formula>
    </cfRule>
    <cfRule type="cellIs" dxfId="1535" priority="2305" operator="equal">
      <formula>"TRAILING"</formula>
    </cfRule>
  </conditionalFormatting>
  <conditionalFormatting sqref="X8">
    <cfRule type="expression" dxfId="1534" priority="2302">
      <formula>X8*100&gt;C8</formula>
    </cfRule>
    <cfRule type="cellIs" dxfId="1533" priority="2303" operator="equal">
      <formula>0</formula>
    </cfRule>
  </conditionalFormatting>
  <conditionalFormatting sqref="X9">
    <cfRule type="expression" dxfId="1532" priority="2300">
      <formula>X9*100&gt;C9</formula>
    </cfRule>
    <cfRule type="cellIs" dxfId="1531" priority="2301" operator="equal">
      <formula>0</formula>
    </cfRule>
  </conditionalFormatting>
  <conditionalFormatting sqref="W10:W11">
    <cfRule type="cellIs" dxfId="1530" priority="2299" operator="equal">
      <formula>0</formula>
    </cfRule>
  </conditionalFormatting>
  <conditionalFormatting sqref="W11">
    <cfRule type="cellIs" dxfId="1529" priority="2297" operator="equal">
      <formula>"STOP"</formula>
    </cfRule>
    <cfRule type="cellIs" dxfId="1528" priority="2298" operator="equal">
      <formula>"TRAILING"</formula>
    </cfRule>
  </conditionalFormatting>
  <conditionalFormatting sqref="W10">
    <cfRule type="cellIs" dxfId="1527" priority="2295" operator="equal">
      <formula>"STOP"</formula>
    </cfRule>
    <cfRule type="cellIs" dxfId="1526" priority="2296" operator="equal">
      <formula>"TRAILING"</formula>
    </cfRule>
  </conditionalFormatting>
  <conditionalFormatting sqref="W12:W13">
    <cfRule type="cellIs" dxfId="1525" priority="2290" operator="equal">
      <formula>0</formula>
    </cfRule>
  </conditionalFormatting>
  <conditionalFormatting sqref="W13">
    <cfRule type="cellIs" dxfId="1524" priority="2288" operator="equal">
      <formula>"STOP"</formula>
    </cfRule>
    <cfRule type="cellIs" dxfId="1523" priority="2289" operator="equal">
      <formula>"TRAILING"</formula>
    </cfRule>
  </conditionalFormatting>
  <conditionalFormatting sqref="W12">
    <cfRule type="cellIs" dxfId="1522" priority="2286" operator="equal">
      <formula>"STOP"</formula>
    </cfRule>
    <cfRule type="cellIs" dxfId="1521" priority="2287" operator="equal">
      <formula>"TRAILING"</formula>
    </cfRule>
  </conditionalFormatting>
  <conditionalFormatting sqref="W14:W15 W18:W19 W22:W23">
    <cfRule type="cellIs" dxfId="1520" priority="2281" operator="equal">
      <formula>0</formula>
    </cfRule>
  </conditionalFormatting>
  <conditionalFormatting sqref="W15 W19 W23">
    <cfRule type="cellIs" dxfId="1519" priority="2279" operator="equal">
      <formula>"STOP"</formula>
    </cfRule>
    <cfRule type="cellIs" dxfId="1518" priority="2280" operator="equal">
      <formula>"TRAILING"</formula>
    </cfRule>
  </conditionalFormatting>
  <conditionalFormatting sqref="W14 W18 W22">
    <cfRule type="cellIs" dxfId="1517" priority="2277" operator="equal">
      <formula>"STOP"</formula>
    </cfRule>
    <cfRule type="cellIs" dxfId="1516" priority="2278" operator="equal">
      <formula>"TRAILING"</formula>
    </cfRule>
  </conditionalFormatting>
  <conditionalFormatting sqref="W16:W17 W20:W21 W24:W25">
    <cfRule type="cellIs" dxfId="1515" priority="2272" operator="equal">
      <formula>0</formula>
    </cfRule>
  </conditionalFormatting>
  <conditionalFormatting sqref="W17 W21 W25">
    <cfRule type="cellIs" dxfId="1514" priority="2270" operator="equal">
      <formula>"STOP"</formula>
    </cfRule>
    <cfRule type="cellIs" dxfId="1513" priority="2271" operator="equal">
      <formula>"TRAILING"</formula>
    </cfRule>
  </conditionalFormatting>
  <conditionalFormatting sqref="W16 W20 W24">
    <cfRule type="cellIs" dxfId="1512" priority="2268" operator="equal">
      <formula>"STOP"</formula>
    </cfRule>
    <cfRule type="cellIs" dxfId="1511" priority="2269" operator="equal">
      <formula>"TRAILING"</formula>
    </cfRule>
  </conditionalFormatting>
  <conditionalFormatting sqref="X30">
    <cfRule type="expression" dxfId="1510" priority="2226">
      <formula>X30*100&gt;C30</formula>
    </cfRule>
    <cfRule type="cellIs" dxfId="1509" priority="2227" operator="equal">
      <formula>0</formula>
    </cfRule>
  </conditionalFormatting>
  <conditionalFormatting sqref="X31">
    <cfRule type="expression" dxfId="1508" priority="2224">
      <formula>X31*100&gt;C31</formula>
    </cfRule>
    <cfRule type="cellIs" dxfId="1507" priority="2225" operator="equal">
      <formula>0</formula>
    </cfRule>
  </conditionalFormatting>
  <conditionalFormatting sqref="X32">
    <cfRule type="expression" dxfId="1506" priority="2222">
      <formula>X32*100&gt;C32</formula>
    </cfRule>
    <cfRule type="cellIs" dxfId="1505" priority="2223" operator="equal">
      <formula>0</formula>
    </cfRule>
  </conditionalFormatting>
  <conditionalFormatting sqref="X33">
    <cfRule type="expression" dxfId="1504" priority="2220">
      <formula>X33*100&gt;C33</formula>
    </cfRule>
    <cfRule type="cellIs" dxfId="1503" priority="2221" operator="equal">
      <formula>0</formula>
    </cfRule>
  </conditionalFormatting>
  <conditionalFormatting sqref="X34">
    <cfRule type="expression" dxfId="1502" priority="2218">
      <formula>X34*100&gt;C34</formula>
    </cfRule>
    <cfRule type="cellIs" dxfId="1501" priority="2219" operator="equal">
      <formula>0</formula>
    </cfRule>
  </conditionalFormatting>
  <conditionalFormatting sqref="X35">
    <cfRule type="expression" dxfId="1500" priority="2216">
      <formula>X35*100&gt;C35</formula>
    </cfRule>
    <cfRule type="cellIs" dxfId="1499" priority="2217" operator="equal">
      <formula>0</formula>
    </cfRule>
  </conditionalFormatting>
  <conditionalFormatting sqref="X36">
    <cfRule type="expression" dxfId="1498" priority="2214">
      <formula>X36*100&gt;C36</formula>
    </cfRule>
    <cfRule type="cellIs" dxfId="1497" priority="2215" operator="equal">
      <formula>0</formula>
    </cfRule>
  </conditionalFormatting>
  <conditionalFormatting sqref="X37">
    <cfRule type="expression" dxfId="1496" priority="2212">
      <formula>X37*100&gt;C37</formula>
    </cfRule>
    <cfRule type="cellIs" dxfId="1495" priority="2213" operator="equal">
      <formula>0</formula>
    </cfRule>
  </conditionalFormatting>
  <conditionalFormatting sqref="X38">
    <cfRule type="expression" dxfId="1494" priority="2210">
      <formula>X38*100&gt;C38</formula>
    </cfRule>
    <cfRule type="cellIs" dxfId="1493" priority="2211" operator="equal">
      <formula>0</formula>
    </cfRule>
  </conditionalFormatting>
  <conditionalFormatting sqref="X39">
    <cfRule type="expression" dxfId="1492" priority="2208">
      <formula>X39*100&gt;C39</formula>
    </cfRule>
    <cfRule type="cellIs" dxfId="1491" priority="2209" operator="equal">
      <formula>0</formula>
    </cfRule>
  </conditionalFormatting>
  <conditionalFormatting sqref="Y64">
    <cfRule type="cellIs" dxfId="1490" priority="1046" operator="lessThanOrEqual">
      <formula>0</formula>
    </cfRule>
    <cfRule type="expression" dxfId="1489" priority="2069">
      <formula>(C65)-(D64)&gt;(C65/100)*(1+$AD$1*$AE$1)</formula>
    </cfRule>
  </conditionalFormatting>
  <conditionalFormatting sqref="Y65">
    <cfRule type="cellIs" dxfId="1488" priority="2070" operator="equal">
      <formula>0</formula>
    </cfRule>
  </conditionalFormatting>
  <conditionalFormatting sqref="Y60">
    <cfRule type="expression" dxfId="1487" priority="2066">
      <formula>(C61)-(D60)&gt;(C61/100)*(1+$AD$1*$AE$1)</formula>
    </cfRule>
    <cfRule type="cellIs" dxfId="1486" priority="2068" operator="lessThanOrEqual">
      <formula>0</formula>
    </cfRule>
  </conditionalFormatting>
  <conditionalFormatting sqref="Y61">
    <cfRule type="cellIs" dxfId="1485" priority="2067" operator="equal">
      <formula>0</formula>
    </cfRule>
  </conditionalFormatting>
  <conditionalFormatting sqref="U1">
    <cfRule type="cellIs" dxfId="1484" priority="1980" operator="notEqual">
      <formula>0</formula>
    </cfRule>
  </conditionalFormatting>
  <conditionalFormatting sqref="V1">
    <cfRule type="cellIs" dxfId="1483" priority="1979" operator="notEqual">
      <formula>0</formula>
    </cfRule>
  </conditionalFormatting>
  <conditionalFormatting sqref="S1">
    <cfRule type="cellIs" dxfId="1482" priority="1956" operator="equal">
      <formula>"STOP"</formula>
    </cfRule>
  </conditionalFormatting>
  <conditionalFormatting sqref="R1">
    <cfRule type="cellIs" dxfId="1481" priority="1953" operator="equal">
      <formula>"REC"</formula>
    </cfRule>
    <cfRule type="cellIs" dxfId="1480" priority="1955" operator="equal">
      <formula>"TRAIL"</formula>
    </cfRule>
  </conditionalFormatting>
  <conditionalFormatting sqref="Q1">
    <cfRule type="cellIs" dxfId="1479" priority="1954" operator="equal">
      <formula>"PRC"</formula>
    </cfRule>
  </conditionalFormatting>
  <conditionalFormatting sqref="Z26">
    <cfRule type="cellIs" dxfId="1478" priority="1946" operator="equal">
      <formula>0</formula>
    </cfRule>
  </conditionalFormatting>
  <conditionalFormatting sqref="Z26">
    <cfRule type="cellIs" dxfId="1477" priority="1945" operator="greaterThan">
      <formula>0</formula>
    </cfRule>
  </conditionalFormatting>
  <conditionalFormatting sqref="Z27">
    <cfRule type="cellIs" dxfId="1476" priority="1944" operator="equal">
      <formula>0</formula>
    </cfRule>
  </conditionalFormatting>
  <conditionalFormatting sqref="Z27">
    <cfRule type="cellIs" dxfId="1475" priority="1943" operator="greaterThan">
      <formula>0</formula>
    </cfRule>
  </conditionalFormatting>
  <conditionalFormatting sqref="Z28">
    <cfRule type="cellIs" dxfId="1474" priority="1942" operator="equal">
      <formula>0</formula>
    </cfRule>
  </conditionalFormatting>
  <conditionalFormatting sqref="Z28">
    <cfRule type="cellIs" dxfId="1473" priority="1941" operator="greaterThan">
      <formula>0</formula>
    </cfRule>
  </conditionalFormatting>
  <conditionalFormatting sqref="Z29">
    <cfRule type="cellIs" dxfId="1472" priority="1940" operator="equal">
      <formula>0</formula>
    </cfRule>
  </conditionalFormatting>
  <conditionalFormatting sqref="Z29">
    <cfRule type="cellIs" dxfId="1471" priority="1939" operator="greaterThan">
      <formula>0</formula>
    </cfRule>
  </conditionalFormatting>
  <conditionalFormatting sqref="A30">
    <cfRule type="expression" dxfId="1470" priority="1935">
      <formula>X30&lt;&gt;0</formula>
    </cfRule>
  </conditionalFormatting>
  <conditionalFormatting sqref="A31">
    <cfRule type="expression" dxfId="1469" priority="1901">
      <formula>X31&lt;&gt;0</formula>
    </cfRule>
  </conditionalFormatting>
  <conditionalFormatting sqref="A32">
    <cfRule type="expression" dxfId="1468" priority="1899">
      <formula>X32&lt;&gt;0</formula>
    </cfRule>
  </conditionalFormatting>
  <conditionalFormatting sqref="A33">
    <cfRule type="expression" dxfId="1467" priority="1897">
      <formula>X33&lt;&gt;0</formula>
    </cfRule>
  </conditionalFormatting>
  <conditionalFormatting sqref="A34">
    <cfRule type="expression" dxfId="1466" priority="1895">
      <formula>X34&lt;&gt;0</formula>
    </cfRule>
  </conditionalFormatting>
  <conditionalFormatting sqref="A35">
    <cfRule type="expression" dxfId="1465" priority="1893">
      <formula>X35&lt;&gt;0</formula>
    </cfRule>
  </conditionalFormatting>
  <conditionalFormatting sqref="A36">
    <cfRule type="expression" dxfId="1464" priority="1891">
      <formula>X36&lt;&gt;0</formula>
    </cfRule>
  </conditionalFormatting>
  <conditionalFormatting sqref="A37">
    <cfRule type="expression" dxfId="1463" priority="1889">
      <formula>X37&lt;&gt;0</formula>
    </cfRule>
  </conditionalFormatting>
  <conditionalFormatting sqref="A38">
    <cfRule type="expression" dxfId="1462" priority="1887">
      <formula>X38&lt;&gt;0</formula>
    </cfRule>
  </conditionalFormatting>
  <conditionalFormatting sqref="A39">
    <cfRule type="expression" dxfId="1461" priority="1885">
      <formula>X39&lt;&gt;0</formula>
    </cfRule>
  </conditionalFormatting>
  <conditionalFormatting sqref="A40">
    <cfRule type="expression" dxfId="1460" priority="1883">
      <formula>X40&lt;&gt;0</formula>
    </cfRule>
  </conditionalFormatting>
  <conditionalFormatting sqref="A41">
    <cfRule type="expression" dxfId="1459" priority="1881">
      <formula>X41&lt;&gt;0</formula>
    </cfRule>
  </conditionalFormatting>
  <conditionalFormatting sqref="A42">
    <cfRule type="expression" dxfId="1458" priority="1879">
      <formula>X42&lt;&gt;0</formula>
    </cfRule>
  </conditionalFormatting>
  <conditionalFormatting sqref="A43">
    <cfRule type="expression" dxfId="1457" priority="1877">
      <formula>X43&lt;&gt;0</formula>
    </cfRule>
  </conditionalFormatting>
  <conditionalFormatting sqref="A45">
    <cfRule type="expression" dxfId="1456" priority="1582">
      <formula>X45&lt;&gt;0</formula>
    </cfRule>
  </conditionalFormatting>
  <conditionalFormatting sqref="A46">
    <cfRule type="expression" dxfId="1455" priority="1581">
      <formula>X46&lt;&gt;0</formula>
    </cfRule>
  </conditionalFormatting>
  <conditionalFormatting sqref="A47">
    <cfRule type="expression" dxfId="1454" priority="1580">
      <formula>X47&lt;&gt;0</formula>
    </cfRule>
  </conditionalFormatting>
  <conditionalFormatting sqref="A48">
    <cfRule type="expression" dxfId="1453" priority="1579">
      <formula>X48&lt;&gt;0</formula>
    </cfRule>
  </conditionalFormatting>
  <conditionalFormatting sqref="A49">
    <cfRule type="expression" dxfId="1452" priority="1578">
      <formula>X49&lt;&gt;0</formula>
    </cfRule>
  </conditionalFormatting>
  <conditionalFormatting sqref="A50">
    <cfRule type="expression" dxfId="1451" priority="1577">
      <formula>X50&lt;&gt;0</formula>
    </cfRule>
  </conditionalFormatting>
  <conditionalFormatting sqref="A51">
    <cfRule type="expression" dxfId="1450" priority="1576">
      <formula>X51&lt;&gt;0</formula>
    </cfRule>
  </conditionalFormatting>
  <conditionalFormatting sqref="A52">
    <cfRule type="expression" dxfId="1449" priority="1575">
      <formula>X52&lt;&gt;0</formula>
    </cfRule>
  </conditionalFormatting>
  <conditionalFormatting sqref="A53">
    <cfRule type="expression" dxfId="1448" priority="1574">
      <formula>X53&lt;&gt;0</formula>
    </cfRule>
  </conditionalFormatting>
  <conditionalFormatting sqref="A54">
    <cfRule type="expression" dxfId="1447" priority="1573">
      <formula>X54&lt;&gt;0</formula>
    </cfRule>
  </conditionalFormatting>
  <conditionalFormatting sqref="A55">
    <cfRule type="expression" dxfId="1446" priority="1572">
      <formula>X55&lt;&gt;0</formula>
    </cfRule>
  </conditionalFormatting>
  <conditionalFormatting sqref="A56">
    <cfRule type="expression" dxfId="1445" priority="1571">
      <formula>X56&lt;&gt;0</formula>
    </cfRule>
  </conditionalFormatting>
  <conditionalFormatting sqref="A57">
    <cfRule type="expression" dxfId="1444" priority="1570">
      <formula>X57&lt;&gt;0</formula>
    </cfRule>
  </conditionalFormatting>
  <conditionalFormatting sqref="A58">
    <cfRule type="expression" dxfId="1443" priority="1569">
      <formula>X58&lt;&gt;0</formula>
    </cfRule>
  </conditionalFormatting>
  <conditionalFormatting sqref="A59">
    <cfRule type="expression" dxfId="1442" priority="1568">
      <formula>X59&lt;&gt;0</formula>
    </cfRule>
  </conditionalFormatting>
  <conditionalFormatting sqref="B26">
    <cfRule type="expression" dxfId="1441" priority="1472">
      <formula>IF($V26&lt;&gt;0,AND(MID($A26,5,1)=" "))</formula>
    </cfRule>
    <cfRule type="expression" dxfId="1440" priority="1473">
      <formula>IF($V26&lt;&gt;0,AND(MID($A26,5,1)="C"))</formula>
    </cfRule>
    <cfRule type="expression" dxfId="1439" priority="1474">
      <formula>IF($V26&lt;&gt;0,AND(MID($A26,5,1)="D"))</formula>
    </cfRule>
  </conditionalFormatting>
  <conditionalFormatting sqref="F26">
    <cfRule type="expression" dxfId="1438" priority="1463">
      <formula>IF($V26&lt;&gt;0,AND(MID($A26,5,1)=" "))</formula>
    </cfRule>
    <cfRule type="expression" dxfId="1437" priority="1464">
      <formula>IF($V26&lt;&gt;0,AND(MID($A26,5,1)="C"))</formula>
    </cfRule>
    <cfRule type="expression" dxfId="1436" priority="1465">
      <formula>IF($V26&lt;&gt;0,AND(MID($A26,5,1)="D"))</formula>
    </cfRule>
  </conditionalFormatting>
  <conditionalFormatting sqref="E26">
    <cfRule type="expression" dxfId="1435" priority="1457">
      <formula>IF($V26&lt;&gt;0,AND(MID($A26,5,1)=" "))</formula>
    </cfRule>
    <cfRule type="expression" dxfId="1434" priority="1458">
      <formula>IF($V26&lt;&gt;0,AND(MID($A26,5,1)="C"))</formula>
    </cfRule>
    <cfRule type="expression" dxfId="1433" priority="1459">
      <formula>IF($V26&lt;&gt;0,AND(MID($A26,5,1)="D"))</formula>
    </cfRule>
  </conditionalFormatting>
  <conditionalFormatting sqref="B28">
    <cfRule type="expression" dxfId="1432" priority="1454">
      <formula>IF($V28&lt;&gt;0,AND(MID($A28,5,1)=" "))</formula>
    </cfRule>
    <cfRule type="expression" dxfId="1431" priority="1455">
      <formula>IF($V28&lt;&gt;0,AND(MID($A28,5,1)="C"))</formula>
    </cfRule>
    <cfRule type="expression" dxfId="1430" priority="1456">
      <formula>IF($V28&lt;&gt;0,AND(MID($A28,5,1)="D"))</formula>
    </cfRule>
  </conditionalFormatting>
  <conditionalFormatting sqref="F28">
    <cfRule type="expression" dxfId="1429" priority="1445">
      <formula>IF($V28&lt;&gt;0,AND(MID($A28,5,1)=" "))</formula>
    </cfRule>
    <cfRule type="expression" dxfId="1428" priority="1446">
      <formula>IF($V28&lt;&gt;0,AND(MID($A28,5,1)="C"))</formula>
    </cfRule>
    <cfRule type="expression" dxfId="1427" priority="1447">
      <formula>IF($V28&lt;&gt;0,AND(MID($A28,5,1)="D"))</formula>
    </cfRule>
  </conditionalFormatting>
  <conditionalFormatting sqref="E28">
    <cfRule type="expression" dxfId="1426" priority="1439">
      <formula>IF($V28&lt;&gt;0,AND(MID($A28,5,1)=" "))</formula>
    </cfRule>
    <cfRule type="expression" dxfId="1425" priority="1440">
      <formula>IF($V28&lt;&gt;0,AND(MID($A28,5,1)="C"))</formula>
    </cfRule>
    <cfRule type="expression" dxfId="1424" priority="1441">
      <formula>IF($V28&lt;&gt;0,AND(MID($A28,5,1)="D"))</formula>
    </cfRule>
  </conditionalFormatting>
  <conditionalFormatting sqref="B29">
    <cfRule type="expression" dxfId="1423" priority="1436">
      <formula>IF($V29&lt;&gt;0,AND(MID($A29,5,1)=" "))</formula>
    </cfRule>
    <cfRule type="expression" dxfId="1422" priority="1437">
      <formula>IF($V29&lt;&gt;0,AND(MID($A29,5,1)="C"))</formula>
    </cfRule>
    <cfRule type="expression" dxfId="1421" priority="1438">
      <formula>IF($V29&lt;&gt;0,AND(MID($A29,5,1)="D"))</formula>
    </cfRule>
  </conditionalFormatting>
  <conditionalFormatting sqref="F29">
    <cfRule type="expression" dxfId="1420" priority="1427">
      <formula>IF($V29&lt;&gt;0,AND(MID($A29,5,1)=" "))</formula>
    </cfRule>
    <cfRule type="expression" dxfId="1419" priority="1428">
      <formula>IF($V29&lt;&gt;0,AND(MID($A29,5,1)="C"))</formula>
    </cfRule>
    <cfRule type="expression" dxfId="1418" priority="1429">
      <formula>IF($V29&lt;&gt;0,AND(MID($A29,5,1)="D"))</formula>
    </cfRule>
  </conditionalFormatting>
  <conditionalFormatting sqref="E29">
    <cfRule type="expression" dxfId="1417" priority="1421">
      <formula>IF($V29&lt;&gt;0,AND(MID($A29,5,1)=" "))</formula>
    </cfRule>
    <cfRule type="expression" dxfId="1416" priority="1422">
      <formula>IF($V29&lt;&gt;0,AND(MID($A29,5,1)="C"))</formula>
    </cfRule>
    <cfRule type="expression" dxfId="1415" priority="1423">
      <formula>IF($V29&lt;&gt;0,AND(MID($A29,5,1)="D"))</formula>
    </cfRule>
  </conditionalFormatting>
  <conditionalFormatting sqref="B27">
    <cfRule type="expression" dxfId="1414" priority="1418">
      <formula>IF($V27&lt;&gt;0,AND(MID($A27,5,1)=" "))</formula>
    </cfRule>
    <cfRule type="expression" dxfId="1413" priority="1419">
      <formula>IF($V27&lt;&gt;0,AND(MID($A27,5,1)="C"))</formula>
    </cfRule>
    <cfRule type="expression" dxfId="1412" priority="1420">
      <formula>IF($V27&lt;&gt;0,AND(MID($A27,5,1)="D"))</formula>
    </cfRule>
  </conditionalFormatting>
  <conditionalFormatting sqref="F27">
    <cfRule type="expression" dxfId="1411" priority="1409">
      <formula>IF($V27&lt;&gt;0,AND(MID($A27,5,1)=" "))</formula>
    </cfRule>
    <cfRule type="expression" dxfId="1410" priority="1410">
      <formula>IF($V27&lt;&gt;0,AND(MID($A27,5,1)="C"))</formula>
    </cfRule>
    <cfRule type="expression" dxfId="1409" priority="1411">
      <formula>IF($V27&lt;&gt;0,AND(MID($A27,5,1)="D"))</formula>
    </cfRule>
  </conditionalFormatting>
  <conditionalFormatting sqref="E27">
    <cfRule type="expression" dxfId="1408" priority="1403">
      <formula>IF($V27&lt;&gt;0,AND(MID($A27,5,1)=" "))</formula>
    </cfRule>
    <cfRule type="expression" dxfId="1407" priority="1404">
      <formula>IF($V27&lt;&gt;0,AND(MID($A27,5,1)="C"))</formula>
    </cfRule>
    <cfRule type="expression" dxfId="1406" priority="1405">
      <formula>IF($V27&lt;&gt;0,AND(MID($A27,5,1)="D"))</formula>
    </cfRule>
  </conditionalFormatting>
  <conditionalFormatting sqref="C26">
    <cfRule type="cellIs" dxfId="1405" priority="1370" operator="lessThan">
      <formula>D26</formula>
    </cfRule>
    <cfRule type="expression" dxfId="1404" priority="1374">
      <formula>IF($V26&lt;&gt;0,AND(MID($A26,5,1)=" "))</formula>
    </cfRule>
    <cfRule type="expression" dxfId="1403" priority="1375">
      <formula>IF($V26&lt;&gt;0,AND(MID($A26,5,1)="C"))</formula>
    </cfRule>
    <cfRule type="expression" dxfId="1402" priority="1376">
      <formula>IF($V26&lt;&gt;0,AND(MID($A26,5,1)="D"))</formula>
    </cfRule>
  </conditionalFormatting>
  <conditionalFormatting sqref="D26">
    <cfRule type="cellIs" dxfId="1401" priority="1369" operator="lessThan">
      <formula>C26</formula>
    </cfRule>
    <cfRule type="expression" dxfId="1400" priority="1371">
      <formula>IF($V26&lt;&gt;0,AND(MID($A26,5,1)=" "))</formula>
    </cfRule>
    <cfRule type="expression" dxfId="1399" priority="1372">
      <formula>IF($V26&lt;&gt;0,AND(MID($A26,5,1)="C"))</formula>
    </cfRule>
    <cfRule type="expression" dxfId="1398" priority="1373">
      <formula>IF($V26&lt;&gt;0,AND(MID($A26,5,1)="D"))</formula>
    </cfRule>
  </conditionalFormatting>
  <conditionalFormatting sqref="C27">
    <cfRule type="cellIs" dxfId="1397" priority="1362" operator="lessThan">
      <formula>D27</formula>
    </cfRule>
    <cfRule type="expression" dxfId="1396" priority="1366">
      <formula>IF($V27&lt;&gt;0,AND(MID($A27,5,1)=" "))</formula>
    </cfRule>
    <cfRule type="expression" dxfId="1395" priority="1367">
      <formula>IF($V27&lt;&gt;0,AND(MID($A27,5,1)="C"))</formula>
    </cfRule>
    <cfRule type="expression" dxfId="1394" priority="1368">
      <formula>IF($V27&lt;&gt;0,AND(MID($A27,5,1)="D"))</formula>
    </cfRule>
  </conditionalFormatting>
  <conditionalFormatting sqref="D27">
    <cfRule type="cellIs" dxfId="1393" priority="1361" operator="lessThan">
      <formula>C27</formula>
    </cfRule>
    <cfRule type="expression" dxfId="1392" priority="1363">
      <formula>IF($V27&lt;&gt;0,AND(MID($A27,5,1)=" "))</formula>
    </cfRule>
    <cfRule type="expression" dxfId="1391" priority="1364">
      <formula>IF($V27&lt;&gt;0,AND(MID($A27,5,1)="C"))</formula>
    </cfRule>
    <cfRule type="expression" dxfId="1390" priority="1365">
      <formula>IF($V27&lt;&gt;0,AND(MID($A27,5,1)="D"))</formula>
    </cfRule>
  </conditionalFormatting>
  <conditionalFormatting sqref="C28">
    <cfRule type="cellIs" dxfId="1389" priority="1354" operator="lessThan">
      <formula>D28</formula>
    </cfRule>
    <cfRule type="expression" dxfId="1388" priority="1358">
      <formula>IF($V28&lt;&gt;0,AND(MID($A28,5,1)=" "))</formula>
    </cfRule>
    <cfRule type="expression" dxfId="1387" priority="1359">
      <formula>IF($V28&lt;&gt;0,AND(MID($A28,5,1)="C"))</formula>
    </cfRule>
    <cfRule type="expression" dxfId="1386" priority="1360">
      <formula>IF($V28&lt;&gt;0,AND(MID($A28,5,1)="D"))</formula>
    </cfRule>
  </conditionalFormatting>
  <conditionalFormatting sqref="D28">
    <cfRule type="cellIs" dxfId="1385" priority="1353" operator="lessThan">
      <formula>C28</formula>
    </cfRule>
    <cfRule type="expression" dxfId="1384" priority="1355">
      <formula>IF($V28&lt;&gt;0,AND(MID($A28,5,1)=" "))</formula>
    </cfRule>
    <cfRule type="expression" dxfId="1383" priority="1356">
      <formula>IF($V28&lt;&gt;0,AND(MID($A28,5,1)="C"))</formula>
    </cfRule>
    <cfRule type="expression" dxfId="1382" priority="1357">
      <formula>IF($V28&lt;&gt;0,AND(MID($A28,5,1)="D"))</formula>
    </cfRule>
  </conditionalFormatting>
  <conditionalFormatting sqref="C29">
    <cfRule type="cellIs" dxfId="1381" priority="1346" operator="lessThan">
      <formula>D29</formula>
    </cfRule>
    <cfRule type="expression" dxfId="1380" priority="1350">
      <formula>IF($V29&lt;&gt;0,AND(MID($A29,5,1)=" "))</formula>
    </cfRule>
    <cfRule type="expression" dxfId="1379" priority="1351">
      <formula>IF($V29&lt;&gt;0,AND(MID($A29,5,1)="C"))</formula>
    </cfRule>
    <cfRule type="expression" dxfId="1378" priority="1352">
      <formula>IF($V29&lt;&gt;0,AND(MID($A29,5,1)="D"))</formula>
    </cfRule>
  </conditionalFormatting>
  <conditionalFormatting sqref="D29">
    <cfRule type="cellIs" dxfId="1377" priority="1345" operator="lessThan">
      <formula>C29</formula>
    </cfRule>
    <cfRule type="expression" dxfId="1376" priority="1347">
      <formula>IF($V29&lt;&gt;0,AND(MID($A29,5,1)=" "))</formula>
    </cfRule>
    <cfRule type="expression" dxfId="1375" priority="1348">
      <formula>IF($V29&lt;&gt;0,AND(MID($A29,5,1)="C"))</formula>
    </cfRule>
    <cfRule type="expression" dxfId="1374" priority="1349">
      <formula>IF($V29&lt;&gt;0,AND(MID($A29,5,1)="D"))</formula>
    </cfRule>
  </conditionalFormatting>
  <conditionalFormatting sqref="A15">
    <cfRule type="expression" dxfId="1373" priority="1268">
      <formula>IF($Y17&gt;$Y14,AND(MID($A15,5,1)=" "))</formula>
    </cfRule>
    <cfRule type="expression" dxfId="1372" priority="1269">
      <formula>IF($Y17&gt;$Y14,AND(MID($A15,5,1)="C"))</formula>
    </cfRule>
    <cfRule type="expression" dxfId="1371" priority="1270">
      <formula>IF($Y17&gt;$Y14,AND(MID($A15,5,1)="D"))</formula>
    </cfRule>
  </conditionalFormatting>
  <conditionalFormatting sqref="A16">
    <cfRule type="expression" dxfId="1370" priority="1271">
      <formula>IF($Y17&gt;$Y14,AND(MID($A16,5,1)=" "))</formula>
    </cfRule>
    <cfRule type="expression" dxfId="1369" priority="1272">
      <formula>IF($Y17&gt;$Y14,AND(MID($A16,5,1)="C"))</formula>
    </cfRule>
    <cfRule type="expression" dxfId="1368" priority="1273">
      <formula>IF($Y17&gt;$Y14,AND(MID($A16,5,1)="D"))</formula>
    </cfRule>
  </conditionalFormatting>
  <conditionalFormatting sqref="A17">
    <cfRule type="expression" dxfId="1367" priority="1265">
      <formula>IF($Y17&gt;$Y14,AND(MID($A17,5,1)=" "))</formula>
    </cfRule>
    <cfRule type="expression" dxfId="1366" priority="1266">
      <formula>IF($Y17&gt;$Y14,AND(MID($A17,5,1)="C"))</formula>
    </cfRule>
    <cfRule type="expression" dxfId="1365" priority="1267">
      <formula>IF($Y17&gt;$Y14,AND(MID($A17,5,1)="D"))</formula>
    </cfRule>
  </conditionalFormatting>
  <conditionalFormatting sqref="A14">
    <cfRule type="expression" dxfId="1364" priority="1262">
      <formula>IF($Y17&gt;$Y14,AND(MID($A14,5,1)=" "))</formula>
    </cfRule>
    <cfRule type="expression" dxfId="1363" priority="1263">
      <formula>IF($Y17&gt;$Y14,AND(MID($A14,5,1)="C"))</formula>
    </cfRule>
    <cfRule type="expression" dxfId="1362" priority="1264">
      <formula>IF($Y17&gt;$Y14,AND(MID($A14,5,1)="D"))</formula>
    </cfRule>
  </conditionalFormatting>
  <conditionalFormatting sqref="B12">
    <cfRule type="expression" dxfId="1361" priority="1256">
      <formula>IF($Y13&gt;$Y10,AND(MID($A12,5,1)=" "))</formula>
    </cfRule>
    <cfRule type="expression" dxfId="1360" priority="1257">
      <formula>IF($Y13&gt;$Y10,AND(MID($A12,5,1)="C"))</formula>
    </cfRule>
    <cfRule type="expression" dxfId="1359" priority="1258">
      <formula>IF($Y13&gt;$Y10,AND(MID($A12,5,1)="D"))</formula>
    </cfRule>
  </conditionalFormatting>
  <conditionalFormatting sqref="C12">
    <cfRule type="expression" dxfId="1358" priority="1259">
      <formula>IF($Y13&gt;$Y10,AND(MID($A12,5,1)=" "))</formula>
    </cfRule>
    <cfRule type="expression" dxfId="1357" priority="1260">
      <formula>IF($Y13&gt;$Y10,AND(MID($A12,5,1)="C"))</formula>
    </cfRule>
    <cfRule type="expression" dxfId="1356" priority="1261">
      <formula>IF($Y13&gt;$Y10,AND(MID($A12,5,1)="D"))</formula>
    </cfRule>
  </conditionalFormatting>
  <conditionalFormatting sqref="A26">
    <cfRule type="expression" dxfId="1355" priority="273">
      <formula>X26&lt;&gt;0</formula>
    </cfRule>
    <cfRule type="expression" dxfId="1354" priority="1232">
      <formula>IF($V26&lt;&gt;0,AND(MID($A26,5,1)=" "))</formula>
    </cfRule>
    <cfRule type="expression" dxfId="1353" priority="1233">
      <formula>IF($V26&lt;&gt;0,AND(MID($A26,5,1)="C"))</formula>
    </cfRule>
    <cfRule type="expression" dxfId="1352" priority="1234">
      <formula>IF($V26&lt;&gt;0,AND(MID($A26,5,1)="D"))</formula>
    </cfRule>
  </conditionalFormatting>
  <conditionalFormatting sqref="B64">
    <cfRule type="expression" dxfId="1351" priority="1214">
      <formula>IF($V64&lt;&gt;0,AND(MID($A64,5,1)=" "))</formula>
    </cfRule>
    <cfRule type="expression" dxfId="1350" priority="1215">
      <formula>IF($V64&lt;&gt;0,AND(MID($A64,5,1)="C"))</formula>
    </cfRule>
    <cfRule type="expression" dxfId="1349" priority="1216">
      <formula>IF($V64&lt;&gt;0,AND(MID($A64,5,1)="D"))</formula>
    </cfRule>
  </conditionalFormatting>
  <conditionalFormatting sqref="E64">
    <cfRule type="expression" dxfId="1348" priority="1208">
      <formula>IF($V64&lt;&gt;0,AND(MID($A64,5,1)=" "))</formula>
    </cfRule>
    <cfRule type="expression" dxfId="1347" priority="1209">
      <formula>IF($V64&lt;&gt;0,AND(MID($A64,5,1)="C"))</formula>
    </cfRule>
    <cfRule type="expression" dxfId="1346" priority="1210">
      <formula>IF($V64&lt;&gt;0,AND(MID($A64,5,1)="D"))</formula>
    </cfRule>
  </conditionalFormatting>
  <conditionalFormatting sqref="B65">
    <cfRule type="expression" dxfId="1345" priority="1205">
      <formula>IF($V65&lt;&gt;0,AND(MID($A65,5,1)=" "))</formula>
    </cfRule>
    <cfRule type="expression" dxfId="1344" priority="1206">
      <formula>IF($V65&lt;&gt;0,AND(MID($A65,5,1)="C"))</formula>
    </cfRule>
    <cfRule type="expression" dxfId="1343" priority="1207">
      <formula>IF($V65&lt;&gt;0,AND(MID($A65,5,1)="D"))</formula>
    </cfRule>
  </conditionalFormatting>
  <conditionalFormatting sqref="E65">
    <cfRule type="expression" dxfId="1342" priority="1199">
      <formula>IF($V65&lt;&gt;0,AND(MID($A65,5,1)=" "))</formula>
    </cfRule>
    <cfRule type="expression" dxfId="1341" priority="1200">
      <formula>IF($V65&lt;&gt;0,AND(MID($A65,5,1)="C"))</formula>
    </cfRule>
    <cfRule type="expression" dxfId="1340" priority="1201">
      <formula>IF($V65&lt;&gt;0,AND(MID($A65,5,1)="D"))</formula>
    </cfRule>
  </conditionalFormatting>
  <conditionalFormatting sqref="C64">
    <cfRule type="cellIs" dxfId="1339" priority="1192" operator="lessThan">
      <formula>D64</formula>
    </cfRule>
    <cfRule type="expression" dxfId="1338" priority="1196">
      <formula>IF($V64&lt;&gt;0,AND(MID($A64,5,1)=" "))</formula>
    </cfRule>
    <cfRule type="expression" dxfId="1337" priority="1197">
      <formula>IF($V64&lt;&gt;0,AND(MID($A64,5,1)="C"))</formula>
    </cfRule>
    <cfRule type="expression" dxfId="1336" priority="1198">
      <formula>IF($V64&lt;&gt;0,AND(MID($A64,5,1)="D"))</formula>
    </cfRule>
  </conditionalFormatting>
  <conditionalFormatting sqref="D64">
    <cfRule type="cellIs" dxfId="1335" priority="1191" operator="lessThan">
      <formula>C64</formula>
    </cfRule>
    <cfRule type="expression" dxfId="1334" priority="1193">
      <formula>IF($V64&lt;&gt;0,AND(MID($A64,5,1)=" "))</formula>
    </cfRule>
    <cfRule type="expression" dxfId="1333" priority="1194">
      <formula>IF($V64&lt;&gt;0,AND(MID($A64,5,1)="C"))</formula>
    </cfRule>
    <cfRule type="expression" dxfId="1332" priority="1195">
      <formula>IF($V64&lt;&gt;0,AND(MID($A64,5,1)="D"))</formula>
    </cfRule>
  </conditionalFormatting>
  <conditionalFormatting sqref="C65">
    <cfRule type="cellIs" dxfId="1331" priority="1184" operator="lessThan">
      <formula>D65</formula>
    </cfRule>
    <cfRule type="expression" dxfId="1330" priority="1188">
      <formula>IF($V65&lt;&gt;0,AND(MID($A65,5,1)=" "))</formula>
    </cfRule>
    <cfRule type="expression" dxfId="1329" priority="1189">
      <formula>IF($V65&lt;&gt;0,AND(MID($A65,5,1)="C"))</formula>
    </cfRule>
    <cfRule type="expression" dxfId="1328" priority="1190">
      <formula>IF($V65&lt;&gt;0,AND(MID($A65,5,1)="D"))</formula>
    </cfRule>
  </conditionalFormatting>
  <conditionalFormatting sqref="D65">
    <cfRule type="cellIs" dxfId="1327" priority="1183" operator="lessThan">
      <formula>C65</formula>
    </cfRule>
    <cfRule type="expression" dxfId="1326" priority="1185">
      <formula>IF($V65&lt;&gt;0,AND(MID($A65,5,1)=" "))</formula>
    </cfRule>
    <cfRule type="expression" dxfId="1325" priority="1186">
      <formula>IF($V65&lt;&gt;0,AND(MID($A65,5,1)="C"))</formula>
    </cfRule>
    <cfRule type="expression" dxfId="1324" priority="1187">
      <formula>IF($V65&lt;&gt;0,AND(MID($A65,5,1)="D"))</formula>
    </cfRule>
  </conditionalFormatting>
  <conditionalFormatting sqref="Y72 Y74">
    <cfRule type="cellIs" dxfId="1323" priority="1045" operator="lessThanOrEqual">
      <formula>0</formula>
    </cfRule>
  </conditionalFormatting>
  <conditionalFormatting sqref="Y73">
    <cfRule type="cellIs" dxfId="1322" priority="1044" operator="equal">
      <formula>0</formula>
    </cfRule>
  </conditionalFormatting>
  <conditionalFormatting sqref="Y75">
    <cfRule type="cellIs" dxfId="1321" priority="1043" operator="equal">
      <formula>0</formula>
    </cfRule>
  </conditionalFormatting>
  <conditionalFormatting sqref="Y71">
    <cfRule type="cellIs" dxfId="1320" priority="1042" operator="equal">
      <formula>0</formula>
    </cfRule>
  </conditionalFormatting>
  <conditionalFormatting sqref="Y78 Y80">
    <cfRule type="cellIs" dxfId="1319" priority="1039" operator="lessThanOrEqual">
      <formula>0</formula>
    </cfRule>
  </conditionalFormatting>
  <conditionalFormatting sqref="Y79">
    <cfRule type="cellIs" dxfId="1318" priority="1038" operator="equal">
      <formula>0</formula>
    </cfRule>
  </conditionalFormatting>
  <conditionalFormatting sqref="Y81">
    <cfRule type="cellIs" dxfId="1317" priority="1037" operator="equal">
      <formula>0</formula>
    </cfRule>
  </conditionalFormatting>
  <conditionalFormatting sqref="Y77">
    <cfRule type="cellIs" dxfId="1316" priority="1036" operator="equal">
      <formula>0</formula>
    </cfRule>
  </conditionalFormatting>
  <conditionalFormatting sqref="Y84 Y86">
    <cfRule type="cellIs" dxfId="1315" priority="1033" operator="lessThanOrEqual">
      <formula>0</formula>
    </cfRule>
  </conditionalFormatting>
  <conditionalFormatting sqref="Y85">
    <cfRule type="cellIs" dxfId="1314" priority="1032" operator="equal">
      <formula>0</formula>
    </cfRule>
  </conditionalFormatting>
  <conditionalFormatting sqref="Y87">
    <cfRule type="cellIs" dxfId="1313" priority="1031" operator="equal">
      <formula>0</formula>
    </cfRule>
  </conditionalFormatting>
  <conditionalFormatting sqref="Y83">
    <cfRule type="cellIs" dxfId="1312" priority="1030" operator="equal">
      <formula>0</formula>
    </cfRule>
  </conditionalFormatting>
  <conditionalFormatting sqref="Y90 Y92">
    <cfRule type="cellIs" dxfId="1311" priority="1027" operator="lessThanOrEqual">
      <formula>0</formula>
    </cfRule>
  </conditionalFormatting>
  <conditionalFormatting sqref="Y91">
    <cfRule type="cellIs" dxfId="1310" priority="1026" operator="equal">
      <formula>0</formula>
    </cfRule>
  </conditionalFormatting>
  <conditionalFormatting sqref="Y93">
    <cfRule type="cellIs" dxfId="1309" priority="1025" operator="equal">
      <formula>0</formula>
    </cfRule>
  </conditionalFormatting>
  <conditionalFormatting sqref="Y89">
    <cfRule type="cellIs" dxfId="1308" priority="1024" operator="equal">
      <formula>0</formula>
    </cfRule>
  </conditionalFormatting>
  <conditionalFormatting sqref="Y96 Y98">
    <cfRule type="cellIs" dxfId="1307" priority="1021" operator="lessThanOrEqual">
      <formula>0</formula>
    </cfRule>
  </conditionalFormatting>
  <conditionalFormatting sqref="Y97">
    <cfRule type="cellIs" dxfId="1306" priority="1020" operator="equal">
      <formula>0</formula>
    </cfRule>
  </conditionalFormatting>
  <conditionalFormatting sqref="Y99">
    <cfRule type="cellIs" dxfId="1305" priority="1019" operator="equal">
      <formula>0</formula>
    </cfRule>
  </conditionalFormatting>
  <conditionalFormatting sqref="Y95">
    <cfRule type="cellIs" dxfId="1304" priority="1018" operator="equal">
      <formula>0</formula>
    </cfRule>
  </conditionalFormatting>
  <conditionalFormatting sqref="Y102 Y104">
    <cfRule type="cellIs" dxfId="1303" priority="1015" operator="lessThanOrEqual">
      <formula>0</formula>
    </cfRule>
  </conditionalFormatting>
  <conditionalFormatting sqref="Y103">
    <cfRule type="cellIs" dxfId="1302" priority="1014" operator="equal">
      <formula>0</formula>
    </cfRule>
  </conditionalFormatting>
  <conditionalFormatting sqref="Y105">
    <cfRule type="cellIs" dxfId="1301" priority="1013" operator="equal">
      <formula>0</formula>
    </cfRule>
  </conditionalFormatting>
  <conditionalFormatting sqref="Y101">
    <cfRule type="cellIs" dxfId="1300" priority="1012" operator="equal">
      <formula>0</formula>
    </cfRule>
  </conditionalFormatting>
  <conditionalFormatting sqref="Y108 Y110">
    <cfRule type="cellIs" dxfId="1299" priority="1009" operator="lessThanOrEqual">
      <formula>0</formula>
    </cfRule>
  </conditionalFormatting>
  <conditionalFormatting sqref="Y109">
    <cfRule type="cellIs" dxfId="1298" priority="1008" operator="equal">
      <formula>0</formula>
    </cfRule>
  </conditionalFormatting>
  <conditionalFormatting sqref="Y111">
    <cfRule type="cellIs" dxfId="1297" priority="1007" operator="equal">
      <formula>0</formula>
    </cfRule>
  </conditionalFormatting>
  <conditionalFormatting sqref="Y107">
    <cfRule type="cellIs" dxfId="1296" priority="1006" operator="equal">
      <formula>0</formula>
    </cfRule>
  </conditionalFormatting>
  <conditionalFormatting sqref="Y114 Y116">
    <cfRule type="cellIs" dxfId="1295" priority="1003" operator="lessThanOrEqual">
      <formula>0</formula>
    </cfRule>
  </conditionalFormatting>
  <conditionalFormatting sqref="Y115">
    <cfRule type="cellIs" dxfId="1294" priority="1002" operator="equal">
      <formula>0</formula>
    </cfRule>
  </conditionalFormatting>
  <conditionalFormatting sqref="Y117">
    <cfRule type="cellIs" dxfId="1293" priority="1001" operator="equal">
      <formula>0</formula>
    </cfRule>
  </conditionalFormatting>
  <conditionalFormatting sqref="Y113">
    <cfRule type="cellIs" dxfId="1292" priority="1000" operator="equal">
      <formula>0</formula>
    </cfRule>
  </conditionalFormatting>
  <conditionalFormatting sqref="Y120 Y122">
    <cfRule type="cellIs" dxfId="1291" priority="997" operator="lessThanOrEqual">
      <formula>0</formula>
    </cfRule>
  </conditionalFormatting>
  <conditionalFormatting sqref="Y121">
    <cfRule type="cellIs" dxfId="1290" priority="996" operator="equal">
      <formula>0</formula>
    </cfRule>
  </conditionalFormatting>
  <conditionalFormatting sqref="Y123">
    <cfRule type="cellIs" dxfId="1289" priority="995" operator="equal">
      <formula>0</formula>
    </cfRule>
  </conditionalFormatting>
  <conditionalFormatting sqref="Y119">
    <cfRule type="cellIs" dxfId="1288" priority="994" operator="equal">
      <formula>0</formula>
    </cfRule>
  </conditionalFormatting>
  <conditionalFormatting sqref="Y126 Y128">
    <cfRule type="cellIs" dxfId="1287" priority="991" operator="lessThanOrEqual">
      <formula>0</formula>
    </cfRule>
  </conditionalFormatting>
  <conditionalFormatting sqref="Y127">
    <cfRule type="cellIs" dxfId="1286" priority="990" operator="equal">
      <formula>0</formula>
    </cfRule>
  </conditionalFormatting>
  <conditionalFormatting sqref="Y129">
    <cfRule type="cellIs" dxfId="1285" priority="989" operator="equal">
      <formula>0</formula>
    </cfRule>
  </conditionalFormatting>
  <conditionalFormatting sqref="Y125">
    <cfRule type="cellIs" dxfId="1284" priority="988" operator="equal">
      <formula>0</formula>
    </cfRule>
  </conditionalFormatting>
  <conditionalFormatting sqref="Y132 Y134">
    <cfRule type="cellIs" dxfId="1283" priority="985" operator="lessThanOrEqual">
      <formula>0</formula>
    </cfRule>
  </conditionalFormatting>
  <conditionalFormatting sqref="Y133">
    <cfRule type="cellIs" dxfId="1282" priority="984" operator="equal">
      <formula>0</formula>
    </cfRule>
  </conditionalFormatting>
  <conditionalFormatting sqref="Y135">
    <cfRule type="cellIs" dxfId="1281" priority="983" operator="equal">
      <formula>0</formula>
    </cfRule>
  </conditionalFormatting>
  <conditionalFormatting sqref="Y131">
    <cfRule type="cellIs" dxfId="1280" priority="982" operator="equal">
      <formula>0</formula>
    </cfRule>
  </conditionalFormatting>
  <conditionalFormatting sqref="Y138 Y140">
    <cfRule type="cellIs" dxfId="1279" priority="979" operator="lessThanOrEqual">
      <formula>0</formula>
    </cfRule>
  </conditionalFormatting>
  <conditionalFormatting sqref="Y139">
    <cfRule type="cellIs" dxfId="1278" priority="978" operator="equal">
      <formula>0</formula>
    </cfRule>
  </conditionalFormatting>
  <conditionalFormatting sqref="Y141">
    <cfRule type="cellIs" dxfId="1277" priority="977" operator="equal">
      <formula>0</formula>
    </cfRule>
  </conditionalFormatting>
  <conditionalFormatting sqref="Y137">
    <cfRule type="cellIs" dxfId="1276" priority="976" operator="equal">
      <formula>0</formula>
    </cfRule>
  </conditionalFormatting>
  <conditionalFormatting sqref="Y144 Y146">
    <cfRule type="cellIs" dxfId="1275" priority="973" operator="lessThanOrEqual">
      <formula>0</formula>
    </cfRule>
  </conditionalFormatting>
  <conditionalFormatting sqref="Y145">
    <cfRule type="cellIs" dxfId="1274" priority="972" operator="equal">
      <formula>0</formula>
    </cfRule>
  </conditionalFormatting>
  <conditionalFormatting sqref="Y147">
    <cfRule type="cellIs" dxfId="1273" priority="971" operator="equal">
      <formula>0</formula>
    </cfRule>
  </conditionalFormatting>
  <conditionalFormatting sqref="Y143">
    <cfRule type="cellIs" dxfId="1272" priority="970" operator="equal">
      <formula>0</formula>
    </cfRule>
  </conditionalFormatting>
  <conditionalFormatting sqref="Y150 Y152">
    <cfRule type="cellIs" dxfId="1271" priority="967" operator="lessThanOrEqual">
      <formula>0</formula>
    </cfRule>
  </conditionalFormatting>
  <conditionalFormatting sqref="Y151">
    <cfRule type="cellIs" dxfId="1270" priority="966" operator="equal">
      <formula>0</formula>
    </cfRule>
  </conditionalFormatting>
  <conditionalFormatting sqref="Y153">
    <cfRule type="cellIs" dxfId="1269" priority="965" operator="equal">
      <formula>0</formula>
    </cfRule>
  </conditionalFormatting>
  <conditionalFormatting sqref="Y149">
    <cfRule type="cellIs" dxfId="1268" priority="964" operator="equal">
      <formula>0</formula>
    </cfRule>
  </conditionalFormatting>
  <conditionalFormatting sqref="Y156 Y158">
    <cfRule type="cellIs" dxfId="1267" priority="961" operator="lessThanOrEqual">
      <formula>0</formula>
    </cfRule>
  </conditionalFormatting>
  <conditionalFormatting sqref="Y157">
    <cfRule type="cellIs" dxfId="1266" priority="960" operator="equal">
      <formula>0</formula>
    </cfRule>
  </conditionalFormatting>
  <conditionalFormatting sqref="Y159">
    <cfRule type="cellIs" dxfId="1265" priority="959" operator="equal">
      <formula>0</formula>
    </cfRule>
  </conditionalFormatting>
  <conditionalFormatting sqref="Y155">
    <cfRule type="cellIs" dxfId="1264" priority="958" operator="equal">
      <formula>0</formula>
    </cfRule>
  </conditionalFormatting>
  <conditionalFormatting sqref="Y162 Y164">
    <cfRule type="cellIs" dxfId="1263" priority="955" operator="lessThanOrEqual">
      <formula>0</formula>
    </cfRule>
  </conditionalFormatting>
  <conditionalFormatting sqref="Y163">
    <cfRule type="cellIs" dxfId="1262" priority="954" operator="equal">
      <formula>0</formula>
    </cfRule>
  </conditionalFormatting>
  <conditionalFormatting sqref="Y165">
    <cfRule type="cellIs" dxfId="1261" priority="953" operator="equal">
      <formula>0</formula>
    </cfRule>
  </conditionalFormatting>
  <conditionalFormatting sqref="Y161">
    <cfRule type="cellIs" dxfId="1260" priority="952" operator="equal">
      <formula>0</formula>
    </cfRule>
  </conditionalFormatting>
  <conditionalFormatting sqref="Y168 Y170 Y174 Y180 Y186 Y192 Y198 Y176 Y182 Y188 Y194 Y200">
    <cfRule type="cellIs" dxfId="1259" priority="949" operator="lessThanOrEqual">
      <formula>0</formula>
    </cfRule>
  </conditionalFormatting>
  <conditionalFormatting sqref="Y169 Y175 Y181 Y187 Y193 Y199">
    <cfRule type="cellIs" dxfId="1258" priority="948" operator="equal">
      <formula>0</formula>
    </cfRule>
  </conditionalFormatting>
  <conditionalFormatting sqref="Y171 Y177 Y183 Y189 Y195 Y201">
    <cfRule type="cellIs" dxfId="1257" priority="947" operator="equal">
      <formula>0</formula>
    </cfRule>
  </conditionalFormatting>
  <conditionalFormatting sqref="Y167 Y173 Y179 Y185 Y191 Y197">
    <cfRule type="cellIs" dxfId="1256" priority="946" operator="equal">
      <formula>0</formula>
    </cfRule>
  </conditionalFormatting>
  <conditionalFormatting sqref="V44">
    <cfRule type="cellIs" dxfId="1255" priority="942" operator="lessThan">
      <formula>0</formula>
    </cfRule>
    <cfRule type="cellIs" dxfId="1254" priority="943" operator="equal">
      <formula>0</formula>
    </cfRule>
  </conditionalFormatting>
  <conditionalFormatting sqref="G44">
    <cfRule type="cellIs" dxfId="1253" priority="941" operator="lessThan">
      <formula>0</formula>
    </cfRule>
  </conditionalFormatting>
  <conditionalFormatting sqref="D44">
    <cfRule type="expression" dxfId="1252" priority="940">
      <formula>E44&gt;B44</formula>
    </cfRule>
  </conditionalFormatting>
  <conditionalFormatting sqref="C44">
    <cfRule type="expression" dxfId="1251" priority="939">
      <formula>B44&gt;E44</formula>
    </cfRule>
  </conditionalFormatting>
  <conditionalFormatting sqref="B44">
    <cfRule type="cellIs" dxfId="1250" priority="938" operator="greaterThan">
      <formula>E44</formula>
    </cfRule>
  </conditionalFormatting>
  <conditionalFormatting sqref="E44">
    <cfRule type="cellIs" dxfId="1249" priority="937" operator="greaterThan">
      <formula>B44</formula>
    </cfRule>
  </conditionalFormatting>
  <conditionalFormatting sqref="W44">
    <cfRule type="cellIs" dxfId="1248" priority="932" operator="equal">
      <formula>0</formula>
    </cfRule>
  </conditionalFormatting>
  <conditionalFormatting sqref="W44">
    <cfRule type="cellIs" dxfId="1247" priority="930" operator="equal">
      <formula>"STOP"</formula>
    </cfRule>
    <cfRule type="cellIs" dxfId="1246" priority="931" operator="equal">
      <formula>"TRAILING"</formula>
    </cfRule>
  </conditionalFormatting>
  <conditionalFormatting sqref="W44">
    <cfRule type="cellIs" dxfId="1245" priority="928" operator="equal">
      <formula>"STOP"</formula>
    </cfRule>
    <cfRule type="cellIs" dxfId="1244" priority="929" operator="equal">
      <formula>"TRAILING"</formula>
    </cfRule>
  </conditionalFormatting>
  <conditionalFormatting sqref="A44">
    <cfRule type="expression" dxfId="1243" priority="925">
      <formula>X44&lt;&gt;0</formula>
    </cfRule>
  </conditionalFormatting>
  <conditionalFormatting sqref="W45 W47 W49 W51 W53 W55 W57 W59">
    <cfRule type="cellIs" dxfId="1242" priority="921" operator="equal">
      <formula>0</formula>
    </cfRule>
  </conditionalFormatting>
  <conditionalFormatting sqref="W45 W47 W49 W51 W53 W55 W57 W59">
    <cfRule type="cellIs" dxfId="1241" priority="919" operator="equal">
      <formula>"STOP"</formula>
    </cfRule>
    <cfRule type="cellIs" dxfId="1240" priority="920" operator="equal">
      <formula>"TRAILING"</formula>
    </cfRule>
  </conditionalFormatting>
  <conditionalFormatting sqref="W45 W47 W49 W51 W53 W55 W57 W59">
    <cfRule type="cellIs" dxfId="1239" priority="917" operator="equal">
      <formula>"STOP"</formula>
    </cfRule>
    <cfRule type="cellIs" dxfId="1238" priority="918" operator="equal">
      <formula>"TRAILING"</formula>
    </cfRule>
  </conditionalFormatting>
  <conditionalFormatting sqref="W46 W48 W50 W52 W54 W56 W58">
    <cfRule type="cellIs" dxfId="1237" priority="911" operator="equal">
      <formula>0</formula>
    </cfRule>
  </conditionalFormatting>
  <conditionalFormatting sqref="W46 W48 W50 W52 W54 W56 W58">
    <cfRule type="cellIs" dxfId="1236" priority="909" operator="equal">
      <formula>"STOP"</formula>
    </cfRule>
    <cfRule type="cellIs" dxfId="1235" priority="910" operator="equal">
      <formula>"TRAILING"</formula>
    </cfRule>
  </conditionalFormatting>
  <conditionalFormatting sqref="W46 W48 W50 W52 W54 W56 W58">
    <cfRule type="cellIs" dxfId="1234" priority="907" operator="equal">
      <formula>"STOP"</formula>
    </cfRule>
    <cfRule type="cellIs" dxfId="1233" priority="908" operator="equal">
      <formula>"TRAILING"</formula>
    </cfRule>
  </conditionalFormatting>
  <conditionalFormatting sqref="AA2">
    <cfRule type="expression" dxfId="1232" priority="902">
      <formula>IF($Y5&gt;$Y2,AND(MID($A2,5,1)=" "))</formula>
    </cfRule>
    <cfRule type="expression" dxfId="1231" priority="903">
      <formula>IF($Y5&gt;$Y2,AND(MID($A2,5,1)="C"))</formula>
    </cfRule>
    <cfRule type="expression" dxfId="1230" priority="904">
      <formula>IF($Y5&gt;$Y2,AND(MID($A2,5,1)="D"))</formula>
    </cfRule>
  </conditionalFormatting>
  <conditionalFormatting sqref="AA4">
    <cfRule type="expression" dxfId="1229" priority="857">
      <formula>IF($Y5&gt;$Y2,AND(MID($A4,5,1)=" "))</formula>
    </cfRule>
    <cfRule type="expression" dxfId="1228" priority="858">
      <formula>IF($Y5&gt;$Y2,AND(MID($A4,5,1)="C"))</formula>
    </cfRule>
    <cfRule type="expression" dxfId="1227" priority="859">
      <formula>IF($Y5&gt;$Y2,AND(MID($A4,5,1)="D"))</formula>
    </cfRule>
  </conditionalFormatting>
  <conditionalFormatting sqref="AA6">
    <cfRule type="expression" dxfId="1226" priority="851">
      <formula>IF($Y9&gt;$Y6,AND(MID($A6,5,1)=" "))</formula>
    </cfRule>
    <cfRule type="expression" dxfId="1225" priority="852">
      <formula>IF($Y9&gt;$Y6,AND(MID($A6,5,1)="C"))</formula>
    </cfRule>
    <cfRule type="expression" dxfId="1224" priority="853">
      <formula>IF($Y9&gt;$Y6,AND(MID($A6,5,1)="D"))</formula>
    </cfRule>
  </conditionalFormatting>
  <conditionalFormatting sqref="AA8">
    <cfRule type="expression" dxfId="1223" priority="848">
      <formula>IF($Y9&gt;$Y6,AND(MID($A8,5,1)=" "))</formula>
    </cfRule>
    <cfRule type="expression" dxfId="1222" priority="849">
      <formula>IF($Y9&gt;$Y6,AND(MID($A8,5,1)="C"))</formula>
    </cfRule>
    <cfRule type="expression" dxfId="1221" priority="850">
      <formula>IF($Y9&gt;$Y6,AND(MID($A8,5,1)="D"))</formula>
    </cfRule>
  </conditionalFormatting>
  <conditionalFormatting sqref="AA10">
    <cfRule type="expression" dxfId="1220" priority="845">
      <formula>IF($Y13&gt;$Y10,AND(MID($A10,5,1)=" "))</formula>
    </cfRule>
    <cfRule type="expression" dxfId="1219" priority="846">
      <formula>IF($Y13&gt;$Y10,AND(MID($A10,5,1)="C"))</formula>
    </cfRule>
    <cfRule type="expression" dxfId="1218" priority="847">
      <formula>IF($Y13&gt;$Y10,AND(MID($A10,5,1)="D"))</formula>
    </cfRule>
  </conditionalFormatting>
  <conditionalFormatting sqref="AA12">
    <cfRule type="expression" dxfId="1217" priority="842">
      <formula>IF($Y13&gt;$Y10,AND(MID($A12,5,1)=" "))</formula>
    </cfRule>
    <cfRule type="expression" dxfId="1216" priority="843">
      <formula>IF($Y13&gt;$Y10,AND(MID($A12,5,1)="C"))</formula>
    </cfRule>
    <cfRule type="expression" dxfId="1215" priority="844">
      <formula>IF($Y13&gt;$Y10,AND(MID($A12,5,1)="D"))</formula>
    </cfRule>
  </conditionalFormatting>
  <conditionalFormatting sqref="AA14">
    <cfRule type="expression" dxfId="1214" priority="839">
      <formula>IF($Y17&gt;$Y14,AND(MID($A14,5,1)=" "))</formula>
    </cfRule>
    <cfRule type="expression" dxfId="1213" priority="840">
      <formula>IF($Y17&gt;$Y14,AND(MID($A14,5,1)="C"))</formula>
    </cfRule>
    <cfRule type="expression" dxfId="1212" priority="841">
      <formula>IF($Y17&gt;$Y14,AND(MID($A14,5,1)="D"))</formula>
    </cfRule>
  </conditionalFormatting>
  <conditionalFormatting sqref="AA16">
    <cfRule type="expression" dxfId="1211" priority="836">
      <formula>IF($Y17&gt;$Y14,AND(MID($A16,5,1)=" "))</formula>
    </cfRule>
    <cfRule type="expression" dxfId="1210" priority="837">
      <formula>IF($Y17&gt;$Y14,AND(MID($A16,5,1)="C"))</formula>
    </cfRule>
    <cfRule type="expression" dxfId="1209" priority="838">
      <formula>IF($Y17&gt;$Y14,AND(MID($A16,5,1)="D"))</formula>
    </cfRule>
  </conditionalFormatting>
  <conditionalFormatting sqref="AA18 AA22">
    <cfRule type="expression" dxfId="1208" priority="833">
      <formula>IF($Y21&gt;$Y18,AND(MID($A18,5,1)=" "))</formula>
    </cfRule>
    <cfRule type="expression" dxfId="1207" priority="834">
      <formula>IF($Y21&gt;$Y18,AND(MID($A18,5,1)="C"))</formula>
    </cfRule>
    <cfRule type="expression" dxfId="1206" priority="835">
      <formula>IF($Y21&gt;$Y18,AND(MID($A18,5,1)="D"))</formula>
    </cfRule>
  </conditionalFormatting>
  <conditionalFormatting sqref="AA20 AA24">
    <cfRule type="expression" dxfId="1205" priority="830">
      <formula>IF($Y21&gt;$Y18,AND(MID($A20,5,1)=" "))</formula>
    </cfRule>
    <cfRule type="expression" dxfId="1204" priority="831">
      <formula>IF($Y21&gt;$Y18,AND(MID($A20,5,1)="C"))</formula>
    </cfRule>
    <cfRule type="expression" dxfId="1203" priority="832">
      <formula>IF($Y21&gt;$Y18,AND(MID($A20,5,1)="D"))</formula>
    </cfRule>
  </conditionalFormatting>
  <conditionalFormatting sqref="Y21 Y25">
    <cfRule type="expression" dxfId="1202" priority="812">
      <formula>IF($Y22&gt;$Y19,AND(MID($A21,5,1)=" "))</formula>
    </cfRule>
    <cfRule type="expression" dxfId="1201" priority="813">
      <formula>IF($Y22&gt;$Y19,AND(MID($A21,5,1)="C"))</formula>
    </cfRule>
    <cfRule type="expression" dxfId="1200" priority="814">
      <formula>IF($Y22&gt;$Y19,AND(MID($A21,5,1)="D"))</formula>
    </cfRule>
  </conditionalFormatting>
  <conditionalFormatting sqref="Y13">
    <cfRule type="cellIs" dxfId="1199" priority="293" operator="equal">
      <formula>0</formula>
    </cfRule>
    <cfRule type="expression" dxfId="1198" priority="806">
      <formula>IF($Y13&gt;$Y10,AND(MID($A13,5,1)=" "))</formula>
    </cfRule>
    <cfRule type="expression" dxfId="1197" priority="807">
      <formula>IF($Y13&gt;$Y10,AND(MID($A13,5,1)="C"))</formula>
    </cfRule>
    <cfRule type="expression" dxfId="1196" priority="808">
      <formula>IF($Y13&gt;$Y10,AND(MID($A13,5,1)="D"))</formula>
    </cfRule>
  </conditionalFormatting>
  <conditionalFormatting sqref="Y9">
    <cfRule type="cellIs" dxfId="1195" priority="294" operator="equal">
      <formula>0</formula>
    </cfRule>
    <cfRule type="expression" dxfId="1194" priority="803">
      <formula>IF($Y9&gt;$Y6,AND(MID($A9,5,1)=" "))</formula>
    </cfRule>
    <cfRule type="expression" dxfId="1193" priority="804">
      <formula>IF($Y9&gt;$Y6,AND(MID($A9,5,1)="C"))</formula>
    </cfRule>
    <cfRule type="expression" dxfId="1192" priority="805">
      <formula>IF($Y9&gt;$Y6,AND(MID($A9,5,1)="D"))</formula>
    </cfRule>
  </conditionalFormatting>
  <conditionalFormatting sqref="Y5">
    <cfRule type="cellIs" dxfId="1191" priority="295" operator="equal">
      <formula>0</formula>
    </cfRule>
    <cfRule type="expression" dxfId="1190" priority="800">
      <formula>IF($Y6&gt;$Y3,AND(MID($A5,5,1)=" "))</formula>
    </cfRule>
    <cfRule type="expression" dxfId="1189" priority="801">
      <formula>IF($Y6&gt;$Y3,AND(MID($A5,5,1)="C"))</formula>
    </cfRule>
    <cfRule type="expression" dxfId="1188" priority="802">
      <formula>IF($Y6&gt;$Y3,AND(MID($A5,5,1)="D"))</formula>
    </cfRule>
  </conditionalFormatting>
  <conditionalFormatting sqref="A64">
    <cfRule type="expression" dxfId="1187" priority="797">
      <formula>IF($V64&lt;&gt;0,AND(MID($A64,5,1)=" "))</formula>
    </cfRule>
    <cfRule type="expression" dxfId="1186" priority="798">
      <formula>IF($V64&lt;&gt;0,AND(MID($A64,5,1)="C"))</formula>
    </cfRule>
    <cfRule type="expression" dxfId="1185" priority="799">
      <formula>IF($V64&lt;&gt;0,AND(MID($A64,5,1)="D"))</formula>
    </cfRule>
  </conditionalFormatting>
  <conditionalFormatting sqref="A65">
    <cfRule type="expression" dxfId="1184" priority="794">
      <formula>IF($V65&lt;&gt;0,AND(MID($A65,5,1)=" "))</formula>
    </cfRule>
    <cfRule type="expression" dxfId="1183" priority="795">
      <formula>IF($V65&lt;&gt;0,AND(MID($A65,5,1)="C"))</formula>
    </cfRule>
    <cfRule type="expression" dxfId="1182" priority="796">
      <formula>IF($V65&lt;&gt;0,AND(MID($A65,5,1)="D"))</formula>
    </cfRule>
  </conditionalFormatting>
  <conditionalFormatting sqref="A66">
    <cfRule type="expression" dxfId="1181" priority="779">
      <formula>IF($V66&lt;&gt;0,AND(MID($A66,5,1)=" "))</formula>
    </cfRule>
    <cfRule type="expression" dxfId="1180" priority="780">
      <formula>IF($V66&lt;&gt;0,AND(MID($A66,5,1)="C"))</formula>
    </cfRule>
    <cfRule type="expression" dxfId="1179" priority="781">
      <formula>IF($V66&lt;&gt;0,AND(MID($A66,5,1)="D"))</formula>
    </cfRule>
  </conditionalFormatting>
  <conditionalFormatting sqref="A67">
    <cfRule type="expression" dxfId="1178" priority="776">
      <formula>IF($V67&lt;&gt;0,AND(MID($A67,5,1)=" "))</formula>
    </cfRule>
    <cfRule type="expression" dxfId="1177" priority="777">
      <formula>IF($V67&lt;&gt;0,AND(MID($A67,5,1)="C"))</formula>
    </cfRule>
    <cfRule type="expression" dxfId="1176" priority="778">
      <formula>IF($V67&lt;&gt;0,AND(MID($A67,5,1)="D"))</formula>
    </cfRule>
  </conditionalFormatting>
  <conditionalFormatting sqref="A68">
    <cfRule type="expression" dxfId="1175" priority="773">
      <formula>IF($V68&lt;&gt;0,AND(MID($A68,5,1)=" "))</formula>
    </cfRule>
    <cfRule type="expression" dxfId="1174" priority="774">
      <formula>IF($V68&lt;&gt;0,AND(MID($A68,5,1)="C"))</formula>
    </cfRule>
    <cfRule type="expression" dxfId="1173" priority="775">
      <formula>IF($V68&lt;&gt;0,AND(MID($A68,5,1)="D"))</formula>
    </cfRule>
  </conditionalFormatting>
  <conditionalFormatting sqref="A69">
    <cfRule type="expression" dxfId="1172" priority="770">
      <formula>IF($V69&lt;&gt;0,AND(MID($A69,5,1)=" "))</formula>
    </cfRule>
    <cfRule type="expression" dxfId="1171" priority="771">
      <formula>IF($V69&lt;&gt;0,AND(MID($A69,5,1)="C"))</formula>
    </cfRule>
    <cfRule type="expression" dxfId="1170" priority="772">
      <formula>IF($V69&lt;&gt;0,AND(MID($A69,5,1)="D"))</formula>
    </cfRule>
  </conditionalFormatting>
  <conditionalFormatting sqref="A70">
    <cfRule type="expression" dxfId="1169" priority="731">
      <formula>IF($V70&lt;&gt;0,AND(MID($A70,5,1)=" "))</formula>
    </cfRule>
    <cfRule type="expression" dxfId="1168" priority="732">
      <formula>IF($V70&lt;&gt;0,AND(MID($A70,5,1)="C"))</formula>
    </cfRule>
    <cfRule type="expression" dxfId="1167" priority="733">
      <formula>IF($V70&lt;&gt;0,AND(MID($A70,5,1)="D"))</formula>
    </cfRule>
  </conditionalFormatting>
  <conditionalFormatting sqref="A71">
    <cfRule type="expression" dxfId="1166" priority="728">
      <formula>IF($V71&lt;&gt;0,AND(MID($A71,5,1)=" "))</formula>
    </cfRule>
    <cfRule type="expression" dxfId="1165" priority="729">
      <formula>IF($V71&lt;&gt;0,AND(MID($A71,5,1)="C"))</formula>
    </cfRule>
    <cfRule type="expression" dxfId="1164" priority="730">
      <formula>IF($V71&lt;&gt;0,AND(MID($A71,5,1)="D"))</formula>
    </cfRule>
  </conditionalFormatting>
  <conditionalFormatting sqref="A72">
    <cfRule type="expression" dxfId="1163" priority="725">
      <formula>IF($V72&lt;&gt;0,AND(MID($A72,5,1)=" "))</formula>
    </cfRule>
    <cfRule type="expression" dxfId="1162" priority="726">
      <formula>IF($V72&lt;&gt;0,AND(MID($A72,5,1)="C"))</formula>
    </cfRule>
    <cfRule type="expression" dxfId="1161" priority="727">
      <formula>IF($V72&lt;&gt;0,AND(MID($A72,5,1)="D"))</formula>
    </cfRule>
  </conditionalFormatting>
  <conditionalFormatting sqref="A73">
    <cfRule type="expression" dxfId="1160" priority="722">
      <formula>IF($V73&lt;&gt;0,AND(MID($A73,5,1)=" "))</formula>
    </cfRule>
    <cfRule type="expression" dxfId="1159" priority="723">
      <formula>IF($V73&lt;&gt;0,AND(MID($A73,5,1)="C"))</formula>
    </cfRule>
    <cfRule type="expression" dxfId="1158" priority="724">
      <formula>IF($V73&lt;&gt;0,AND(MID($A73,5,1)="D"))</formula>
    </cfRule>
  </conditionalFormatting>
  <conditionalFormatting sqref="A74">
    <cfRule type="expression" dxfId="1157" priority="719">
      <formula>IF($V74&lt;&gt;0,AND(MID($A74,5,1)=" "))</formula>
    </cfRule>
    <cfRule type="expression" dxfId="1156" priority="720">
      <formula>IF($V74&lt;&gt;0,AND(MID($A74,5,1)="C"))</formula>
    </cfRule>
    <cfRule type="expression" dxfId="1155" priority="721">
      <formula>IF($V74&lt;&gt;0,AND(MID($A74,5,1)="D"))</formula>
    </cfRule>
  </conditionalFormatting>
  <conditionalFormatting sqref="A75">
    <cfRule type="expression" dxfId="1154" priority="716">
      <formula>IF($V75&lt;&gt;0,AND(MID($A75,5,1)=" "))</formula>
    </cfRule>
    <cfRule type="expression" dxfId="1153" priority="717">
      <formula>IF($V75&lt;&gt;0,AND(MID($A75,5,1)="C"))</formula>
    </cfRule>
    <cfRule type="expression" dxfId="1152" priority="718">
      <formula>IF($V75&lt;&gt;0,AND(MID($A75,5,1)="D"))</formula>
    </cfRule>
  </conditionalFormatting>
  <conditionalFormatting sqref="A76">
    <cfRule type="expression" dxfId="1151" priority="695">
      <formula>IF($V76&lt;&gt;0,AND(MID($A76,5,1)=" "))</formula>
    </cfRule>
    <cfRule type="expression" dxfId="1150" priority="696">
      <formula>IF($V76&lt;&gt;0,AND(MID($A76,5,1)="C"))</formula>
    </cfRule>
    <cfRule type="expression" dxfId="1149" priority="697">
      <formula>IF($V76&lt;&gt;0,AND(MID($A76,5,1)="D"))</formula>
    </cfRule>
  </conditionalFormatting>
  <conditionalFormatting sqref="A77">
    <cfRule type="expression" dxfId="1148" priority="692">
      <formula>IF($V77&lt;&gt;0,AND(MID($A77,5,1)=" "))</formula>
    </cfRule>
    <cfRule type="expression" dxfId="1147" priority="693">
      <formula>IF($V77&lt;&gt;0,AND(MID($A77,5,1)="C"))</formula>
    </cfRule>
    <cfRule type="expression" dxfId="1146" priority="694">
      <formula>IF($V77&lt;&gt;0,AND(MID($A77,5,1)="D"))</formula>
    </cfRule>
  </conditionalFormatting>
  <conditionalFormatting sqref="A78">
    <cfRule type="expression" dxfId="1145" priority="689">
      <formula>IF($V78&lt;&gt;0,AND(MID($A78,5,1)=" "))</formula>
    </cfRule>
    <cfRule type="expression" dxfId="1144" priority="690">
      <formula>IF($V78&lt;&gt;0,AND(MID($A78,5,1)="C"))</formula>
    </cfRule>
    <cfRule type="expression" dxfId="1143" priority="691">
      <formula>IF($V78&lt;&gt;0,AND(MID($A78,5,1)="D"))</formula>
    </cfRule>
  </conditionalFormatting>
  <conditionalFormatting sqref="A79">
    <cfRule type="expression" dxfId="1142" priority="686">
      <formula>IF($V79&lt;&gt;0,AND(MID($A79,5,1)=" "))</formula>
    </cfRule>
    <cfRule type="expression" dxfId="1141" priority="687">
      <formula>IF($V79&lt;&gt;0,AND(MID($A79,5,1)="C"))</formula>
    </cfRule>
    <cfRule type="expression" dxfId="1140" priority="688">
      <formula>IF($V79&lt;&gt;0,AND(MID($A79,5,1)="D"))</formula>
    </cfRule>
  </conditionalFormatting>
  <conditionalFormatting sqref="A80">
    <cfRule type="expression" dxfId="1139" priority="683">
      <formula>IF($V80&lt;&gt;0,AND(MID($A80,5,1)=" "))</formula>
    </cfRule>
    <cfRule type="expression" dxfId="1138" priority="684">
      <formula>IF($V80&lt;&gt;0,AND(MID($A80,5,1)="C"))</formula>
    </cfRule>
    <cfRule type="expression" dxfId="1137" priority="685">
      <formula>IF($V80&lt;&gt;0,AND(MID($A80,5,1)="D"))</formula>
    </cfRule>
  </conditionalFormatting>
  <conditionalFormatting sqref="A81">
    <cfRule type="expression" dxfId="1136" priority="680">
      <formula>IF($V81&lt;&gt;0,AND(MID($A81,5,1)=" "))</formula>
    </cfRule>
    <cfRule type="expression" dxfId="1135" priority="681">
      <formula>IF($V81&lt;&gt;0,AND(MID($A81,5,1)="C"))</formula>
    </cfRule>
    <cfRule type="expression" dxfId="1134" priority="682">
      <formula>IF($V81&lt;&gt;0,AND(MID($A81,5,1)="D"))</formula>
    </cfRule>
  </conditionalFormatting>
  <conditionalFormatting sqref="A82">
    <cfRule type="expression" dxfId="1133" priority="677">
      <formula>IF($V82&lt;&gt;0,AND(MID($A82,5,1)=" "))</formula>
    </cfRule>
    <cfRule type="expression" dxfId="1132" priority="678">
      <formula>IF($V82&lt;&gt;0,AND(MID($A82,5,1)="C"))</formula>
    </cfRule>
    <cfRule type="expression" dxfId="1131" priority="679">
      <formula>IF($V82&lt;&gt;0,AND(MID($A82,5,1)="D"))</formula>
    </cfRule>
  </conditionalFormatting>
  <conditionalFormatting sqref="A83">
    <cfRule type="expression" dxfId="1130" priority="674">
      <formula>IF($V83&lt;&gt;0,AND(MID($A83,5,1)=" "))</formula>
    </cfRule>
    <cfRule type="expression" dxfId="1129" priority="675">
      <formula>IF($V83&lt;&gt;0,AND(MID($A83,5,1)="C"))</formula>
    </cfRule>
    <cfRule type="expression" dxfId="1128" priority="676">
      <formula>IF($V83&lt;&gt;0,AND(MID($A83,5,1)="D"))</formula>
    </cfRule>
  </conditionalFormatting>
  <conditionalFormatting sqref="A84">
    <cfRule type="expression" dxfId="1127" priority="671">
      <formula>IF($V84&lt;&gt;0,AND(MID($A84,5,1)=" "))</formula>
    </cfRule>
    <cfRule type="expression" dxfId="1126" priority="672">
      <formula>IF($V84&lt;&gt;0,AND(MID($A84,5,1)="C"))</formula>
    </cfRule>
    <cfRule type="expression" dxfId="1125" priority="673">
      <formula>IF($V84&lt;&gt;0,AND(MID($A84,5,1)="D"))</formula>
    </cfRule>
  </conditionalFormatting>
  <conditionalFormatting sqref="A85">
    <cfRule type="expression" dxfId="1124" priority="668">
      <formula>IF($V85&lt;&gt;0,AND(MID($A85,5,1)=" "))</formula>
    </cfRule>
    <cfRule type="expression" dxfId="1123" priority="669">
      <formula>IF($V85&lt;&gt;0,AND(MID($A85,5,1)="C"))</formula>
    </cfRule>
    <cfRule type="expression" dxfId="1122" priority="670">
      <formula>IF($V85&lt;&gt;0,AND(MID($A85,5,1)="D"))</formula>
    </cfRule>
  </conditionalFormatting>
  <conditionalFormatting sqref="A86">
    <cfRule type="expression" dxfId="1121" priority="665">
      <formula>IF($V86&lt;&gt;0,AND(MID($A86,5,1)=" "))</formula>
    </cfRule>
    <cfRule type="expression" dxfId="1120" priority="666">
      <formula>IF($V86&lt;&gt;0,AND(MID($A86,5,1)="C"))</formula>
    </cfRule>
    <cfRule type="expression" dxfId="1119" priority="667">
      <formula>IF($V86&lt;&gt;0,AND(MID($A86,5,1)="D"))</formula>
    </cfRule>
  </conditionalFormatting>
  <conditionalFormatting sqref="A87">
    <cfRule type="expression" dxfId="1118" priority="662">
      <formula>IF($V87&lt;&gt;0,AND(MID($A87,5,1)=" "))</formula>
    </cfRule>
    <cfRule type="expression" dxfId="1117" priority="663">
      <formula>IF($V87&lt;&gt;0,AND(MID($A87,5,1)="C"))</formula>
    </cfRule>
    <cfRule type="expression" dxfId="1116" priority="664">
      <formula>IF($V87&lt;&gt;0,AND(MID($A87,5,1)="D"))</formula>
    </cfRule>
  </conditionalFormatting>
  <conditionalFormatting sqref="A88">
    <cfRule type="expression" dxfId="1115" priority="659">
      <formula>IF($V88&lt;&gt;0,AND(MID($A88,5,1)=" "))</formula>
    </cfRule>
    <cfRule type="expression" dxfId="1114" priority="660">
      <formula>IF($V88&lt;&gt;0,AND(MID($A88,5,1)="C"))</formula>
    </cfRule>
    <cfRule type="expression" dxfId="1113" priority="661">
      <formula>IF($V88&lt;&gt;0,AND(MID($A88,5,1)="D"))</formula>
    </cfRule>
  </conditionalFormatting>
  <conditionalFormatting sqref="A89">
    <cfRule type="expression" dxfId="1112" priority="656">
      <formula>IF($V89&lt;&gt;0,AND(MID($A89,5,1)=" "))</formula>
    </cfRule>
    <cfRule type="expression" dxfId="1111" priority="657">
      <formula>IF($V89&lt;&gt;0,AND(MID($A89,5,1)="C"))</formula>
    </cfRule>
    <cfRule type="expression" dxfId="1110" priority="658">
      <formula>IF($V89&lt;&gt;0,AND(MID($A89,5,1)="D"))</formula>
    </cfRule>
  </conditionalFormatting>
  <conditionalFormatting sqref="A90">
    <cfRule type="expression" dxfId="1109" priority="653">
      <formula>IF($V90&lt;&gt;0,AND(MID($A90,5,1)=" "))</formula>
    </cfRule>
    <cfRule type="expression" dxfId="1108" priority="654">
      <formula>IF($V90&lt;&gt;0,AND(MID($A90,5,1)="C"))</formula>
    </cfRule>
    <cfRule type="expression" dxfId="1107" priority="655">
      <formula>IF($V90&lt;&gt;0,AND(MID($A90,5,1)="D"))</formula>
    </cfRule>
  </conditionalFormatting>
  <conditionalFormatting sqref="A91">
    <cfRule type="expression" dxfId="1106" priority="650">
      <formula>IF($V91&lt;&gt;0,AND(MID($A91,5,1)=" "))</formula>
    </cfRule>
    <cfRule type="expression" dxfId="1105" priority="651">
      <formula>IF($V91&lt;&gt;0,AND(MID($A91,5,1)="C"))</formula>
    </cfRule>
    <cfRule type="expression" dxfId="1104" priority="652">
      <formula>IF($V91&lt;&gt;0,AND(MID($A91,5,1)="D"))</formula>
    </cfRule>
  </conditionalFormatting>
  <conditionalFormatting sqref="A92">
    <cfRule type="expression" dxfId="1103" priority="647">
      <formula>IF($V92&lt;&gt;0,AND(MID($A92,5,1)=" "))</formula>
    </cfRule>
    <cfRule type="expression" dxfId="1102" priority="648">
      <formula>IF($V92&lt;&gt;0,AND(MID($A92,5,1)="C"))</formula>
    </cfRule>
    <cfRule type="expression" dxfId="1101" priority="649">
      <formula>IF($V92&lt;&gt;0,AND(MID($A92,5,1)="D"))</formula>
    </cfRule>
  </conditionalFormatting>
  <conditionalFormatting sqref="A93">
    <cfRule type="expression" dxfId="1100" priority="644">
      <formula>IF($V93&lt;&gt;0,AND(MID($A93,5,1)=" "))</formula>
    </cfRule>
    <cfRule type="expression" dxfId="1099" priority="645">
      <formula>IF($V93&lt;&gt;0,AND(MID($A93,5,1)="C"))</formula>
    </cfRule>
    <cfRule type="expression" dxfId="1098" priority="646">
      <formula>IF($V93&lt;&gt;0,AND(MID($A93,5,1)="D"))</formula>
    </cfRule>
  </conditionalFormatting>
  <conditionalFormatting sqref="A94">
    <cfRule type="expression" dxfId="1097" priority="641">
      <formula>IF($V94&lt;&gt;0,AND(MID($A94,5,1)=" "))</formula>
    </cfRule>
    <cfRule type="expression" dxfId="1096" priority="642">
      <formula>IF($V94&lt;&gt;0,AND(MID($A94,5,1)="C"))</formula>
    </cfRule>
    <cfRule type="expression" dxfId="1095" priority="643">
      <formula>IF($V94&lt;&gt;0,AND(MID($A94,5,1)="D"))</formula>
    </cfRule>
  </conditionalFormatting>
  <conditionalFormatting sqref="A95">
    <cfRule type="expression" dxfId="1094" priority="638">
      <formula>IF($V95&lt;&gt;0,AND(MID($A95,5,1)=" "))</formula>
    </cfRule>
    <cfRule type="expression" dxfId="1093" priority="639">
      <formula>IF($V95&lt;&gt;0,AND(MID($A95,5,1)="C"))</formula>
    </cfRule>
    <cfRule type="expression" dxfId="1092" priority="640">
      <formula>IF($V95&lt;&gt;0,AND(MID($A95,5,1)="D"))</formula>
    </cfRule>
  </conditionalFormatting>
  <conditionalFormatting sqref="A96">
    <cfRule type="expression" dxfId="1091" priority="635">
      <formula>IF($V96&lt;&gt;0,AND(MID($A96,5,1)=" "))</formula>
    </cfRule>
    <cfRule type="expression" dxfId="1090" priority="636">
      <formula>IF($V96&lt;&gt;0,AND(MID($A96,5,1)="C"))</formula>
    </cfRule>
    <cfRule type="expression" dxfId="1089" priority="637">
      <formula>IF($V96&lt;&gt;0,AND(MID($A96,5,1)="D"))</formula>
    </cfRule>
  </conditionalFormatting>
  <conditionalFormatting sqref="A97">
    <cfRule type="expression" dxfId="1088" priority="632">
      <formula>IF($V97&lt;&gt;0,AND(MID($A97,5,1)=" "))</formula>
    </cfRule>
    <cfRule type="expression" dxfId="1087" priority="633">
      <formula>IF($V97&lt;&gt;0,AND(MID($A97,5,1)="C"))</formula>
    </cfRule>
    <cfRule type="expression" dxfId="1086" priority="634">
      <formula>IF($V97&lt;&gt;0,AND(MID($A97,5,1)="D"))</formula>
    </cfRule>
  </conditionalFormatting>
  <conditionalFormatting sqref="A98">
    <cfRule type="expression" dxfId="1085" priority="629">
      <formula>IF($V98&lt;&gt;0,AND(MID($A98,5,1)=" "))</formula>
    </cfRule>
    <cfRule type="expression" dxfId="1084" priority="630">
      <formula>IF($V98&lt;&gt;0,AND(MID($A98,5,1)="C"))</formula>
    </cfRule>
    <cfRule type="expression" dxfId="1083" priority="631">
      <formula>IF($V98&lt;&gt;0,AND(MID($A98,5,1)="D"))</formula>
    </cfRule>
  </conditionalFormatting>
  <conditionalFormatting sqref="A99">
    <cfRule type="expression" dxfId="1082" priority="626">
      <formula>IF($V99&lt;&gt;0,AND(MID($A99,5,1)=" "))</formula>
    </cfRule>
    <cfRule type="expression" dxfId="1081" priority="627">
      <formula>IF($V99&lt;&gt;0,AND(MID($A99,5,1)="C"))</formula>
    </cfRule>
    <cfRule type="expression" dxfId="1080" priority="628">
      <formula>IF($V99&lt;&gt;0,AND(MID($A99,5,1)="D"))</formula>
    </cfRule>
  </conditionalFormatting>
  <conditionalFormatting sqref="A100">
    <cfRule type="expression" dxfId="1079" priority="623">
      <formula>IF($V100&lt;&gt;0,AND(MID($A100,5,1)=" "))</formula>
    </cfRule>
    <cfRule type="expression" dxfId="1078" priority="624">
      <formula>IF($V100&lt;&gt;0,AND(MID($A100,5,1)="C"))</formula>
    </cfRule>
    <cfRule type="expression" dxfId="1077" priority="625">
      <formula>IF($V100&lt;&gt;0,AND(MID($A100,5,1)="D"))</formula>
    </cfRule>
  </conditionalFormatting>
  <conditionalFormatting sqref="A101">
    <cfRule type="expression" dxfId="1076" priority="620">
      <formula>IF($V101&lt;&gt;0,AND(MID($A101,5,1)=" "))</formula>
    </cfRule>
    <cfRule type="expression" dxfId="1075" priority="621">
      <formula>IF($V101&lt;&gt;0,AND(MID($A101,5,1)="C"))</formula>
    </cfRule>
    <cfRule type="expression" dxfId="1074" priority="622">
      <formula>IF($V101&lt;&gt;0,AND(MID($A101,5,1)="D"))</formula>
    </cfRule>
  </conditionalFormatting>
  <conditionalFormatting sqref="A102">
    <cfRule type="expression" dxfId="1073" priority="617">
      <formula>IF($V102&lt;&gt;0,AND(MID($A102,5,1)=" "))</formula>
    </cfRule>
    <cfRule type="expression" dxfId="1072" priority="618">
      <formula>IF($V102&lt;&gt;0,AND(MID($A102,5,1)="C"))</formula>
    </cfRule>
    <cfRule type="expression" dxfId="1071" priority="619">
      <formula>IF($V102&lt;&gt;0,AND(MID($A102,5,1)="D"))</formula>
    </cfRule>
  </conditionalFormatting>
  <conditionalFormatting sqref="A103">
    <cfRule type="expression" dxfId="1070" priority="614">
      <formula>IF($V103&lt;&gt;0,AND(MID($A103,5,1)=" "))</formula>
    </cfRule>
    <cfRule type="expression" dxfId="1069" priority="615">
      <formula>IF($V103&lt;&gt;0,AND(MID($A103,5,1)="C"))</formula>
    </cfRule>
    <cfRule type="expression" dxfId="1068" priority="616">
      <formula>IF($V103&lt;&gt;0,AND(MID($A103,5,1)="D"))</formula>
    </cfRule>
  </conditionalFormatting>
  <conditionalFormatting sqref="A104">
    <cfRule type="expression" dxfId="1067" priority="611">
      <formula>IF($V104&lt;&gt;0,AND(MID($A104,5,1)=" "))</formula>
    </cfRule>
    <cfRule type="expression" dxfId="1066" priority="612">
      <formula>IF($V104&lt;&gt;0,AND(MID($A104,5,1)="C"))</formula>
    </cfRule>
    <cfRule type="expression" dxfId="1065" priority="613">
      <formula>IF($V104&lt;&gt;0,AND(MID($A104,5,1)="D"))</formula>
    </cfRule>
  </conditionalFormatting>
  <conditionalFormatting sqref="A105">
    <cfRule type="expression" dxfId="1064" priority="608">
      <formula>IF($V105&lt;&gt;0,AND(MID($A105,5,1)=" "))</formula>
    </cfRule>
    <cfRule type="expression" dxfId="1063" priority="609">
      <formula>IF($V105&lt;&gt;0,AND(MID($A105,5,1)="C"))</formula>
    </cfRule>
    <cfRule type="expression" dxfId="1062" priority="610">
      <formula>IF($V105&lt;&gt;0,AND(MID($A105,5,1)="D"))</formula>
    </cfRule>
  </conditionalFormatting>
  <conditionalFormatting sqref="A106">
    <cfRule type="expression" dxfId="1061" priority="605">
      <formula>IF($V106&lt;&gt;0,AND(MID($A106,5,1)=" "))</formula>
    </cfRule>
    <cfRule type="expression" dxfId="1060" priority="606">
      <formula>IF($V106&lt;&gt;0,AND(MID($A106,5,1)="C"))</formula>
    </cfRule>
    <cfRule type="expression" dxfId="1059" priority="607">
      <formula>IF($V106&lt;&gt;0,AND(MID($A106,5,1)="D"))</formula>
    </cfRule>
  </conditionalFormatting>
  <conditionalFormatting sqref="A107">
    <cfRule type="expression" dxfId="1058" priority="602">
      <formula>IF($V107&lt;&gt;0,AND(MID($A107,5,1)=" "))</formula>
    </cfRule>
    <cfRule type="expression" dxfId="1057" priority="603">
      <formula>IF($V107&lt;&gt;0,AND(MID($A107,5,1)="C"))</formula>
    </cfRule>
    <cfRule type="expression" dxfId="1056" priority="604">
      <formula>IF($V107&lt;&gt;0,AND(MID($A107,5,1)="D"))</formula>
    </cfRule>
  </conditionalFormatting>
  <conditionalFormatting sqref="A108">
    <cfRule type="expression" dxfId="1055" priority="599">
      <formula>IF($V108&lt;&gt;0,AND(MID($A108,5,1)=" "))</formula>
    </cfRule>
    <cfRule type="expression" dxfId="1054" priority="600">
      <formula>IF($V108&lt;&gt;0,AND(MID($A108,5,1)="C"))</formula>
    </cfRule>
    <cfRule type="expression" dxfId="1053" priority="601">
      <formula>IF($V108&lt;&gt;0,AND(MID($A108,5,1)="D"))</formula>
    </cfRule>
  </conditionalFormatting>
  <conditionalFormatting sqref="A109">
    <cfRule type="expression" dxfId="1052" priority="596">
      <formula>IF($V109&lt;&gt;0,AND(MID($A109,5,1)=" "))</formula>
    </cfRule>
    <cfRule type="expression" dxfId="1051" priority="597">
      <formula>IF($V109&lt;&gt;0,AND(MID($A109,5,1)="C"))</formula>
    </cfRule>
    <cfRule type="expression" dxfId="1050" priority="598">
      <formula>IF($V109&lt;&gt;0,AND(MID($A109,5,1)="D"))</formula>
    </cfRule>
  </conditionalFormatting>
  <conditionalFormatting sqref="A110">
    <cfRule type="expression" dxfId="1049" priority="593">
      <formula>IF($V110&lt;&gt;0,AND(MID($A110,5,1)=" "))</formula>
    </cfRule>
    <cfRule type="expression" dxfId="1048" priority="594">
      <formula>IF($V110&lt;&gt;0,AND(MID($A110,5,1)="C"))</formula>
    </cfRule>
    <cfRule type="expression" dxfId="1047" priority="595">
      <formula>IF($V110&lt;&gt;0,AND(MID($A110,5,1)="D"))</formula>
    </cfRule>
  </conditionalFormatting>
  <conditionalFormatting sqref="A111">
    <cfRule type="expression" dxfId="1046" priority="590">
      <formula>IF($V111&lt;&gt;0,AND(MID($A111,5,1)=" "))</formula>
    </cfRule>
    <cfRule type="expression" dxfId="1045" priority="591">
      <formula>IF($V111&lt;&gt;0,AND(MID($A111,5,1)="C"))</formula>
    </cfRule>
    <cfRule type="expression" dxfId="1044" priority="592">
      <formula>IF($V111&lt;&gt;0,AND(MID($A111,5,1)="D"))</formula>
    </cfRule>
  </conditionalFormatting>
  <conditionalFormatting sqref="A112">
    <cfRule type="expression" dxfId="1043" priority="587">
      <formula>IF($V112&lt;&gt;0,AND(MID($A112,5,1)=" "))</formula>
    </cfRule>
    <cfRule type="expression" dxfId="1042" priority="588">
      <formula>IF($V112&lt;&gt;0,AND(MID($A112,5,1)="C"))</formula>
    </cfRule>
    <cfRule type="expression" dxfId="1041" priority="589">
      <formula>IF($V112&lt;&gt;0,AND(MID($A112,5,1)="D"))</formula>
    </cfRule>
  </conditionalFormatting>
  <conditionalFormatting sqref="A113">
    <cfRule type="expression" dxfId="1040" priority="584">
      <formula>IF($V113&lt;&gt;0,AND(MID($A113,5,1)=" "))</formula>
    </cfRule>
    <cfRule type="expression" dxfId="1039" priority="585">
      <formula>IF($V113&lt;&gt;0,AND(MID($A113,5,1)="C"))</formula>
    </cfRule>
    <cfRule type="expression" dxfId="1038" priority="586">
      <formula>IF($V113&lt;&gt;0,AND(MID($A113,5,1)="D"))</formula>
    </cfRule>
  </conditionalFormatting>
  <conditionalFormatting sqref="A114">
    <cfRule type="expression" dxfId="1037" priority="581">
      <formula>IF($V114&lt;&gt;0,AND(MID($A114,5,1)=" "))</formula>
    </cfRule>
    <cfRule type="expression" dxfId="1036" priority="582">
      <formula>IF($V114&lt;&gt;0,AND(MID($A114,5,1)="C"))</formula>
    </cfRule>
    <cfRule type="expression" dxfId="1035" priority="583">
      <formula>IF($V114&lt;&gt;0,AND(MID($A114,5,1)="D"))</formula>
    </cfRule>
  </conditionalFormatting>
  <conditionalFormatting sqref="A115">
    <cfRule type="expression" dxfId="1034" priority="578">
      <formula>IF($V115&lt;&gt;0,AND(MID($A115,5,1)=" "))</formula>
    </cfRule>
    <cfRule type="expression" dxfId="1033" priority="579">
      <formula>IF($V115&lt;&gt;0,AND(MID($A115,5,1)="C"))</formula>
    </cfRule>
    <cfRule type="expression" dxfId="1032" priority="580">
      <formula>IF($V115&lt;&gt;0,AND(MID($A115,5,1)="D"))</formula>
    </cfRule>
  </conditionalFormatting>
  <conditionalFormatting sqref="A116">
    <cfRule type="expression" dxfId="1031" priority="575">
      <formula>IF($V116&lt;&gt;0,AND(MID($A116,5,1)=" "))</formula>
    </cfRule>
    <cfRule type="expression" dxfId="1030" priority="576">
      <formula>IF($V116&lt;&gt;0,AND(MID($A116,5,1)="C"))</formula>
    </cfRule>
    <cfRule type="expression" dxfId="1029" priority="577">
      <formula>IF($V116&lt;&gt;0,AND(MID($A116,5,1)="D"))</formula>
    </cfRule>
  </conditionalFormatting>
  <conditionalFormatting sqref="A117">
    <cfRule type="expression" dxfId="1028" priority="572">
      <formula>IF($V117&lt;&gt;0,AND(MID($A117,5,1)=" "))</formula>
    </cfRule>
    <cfRule type="expression" dxfId="1027" priority="573">
      <formula>IF($V117&lt;&gt;0,AND(MID($A117,5,1)="C"))</formula>
    </cfRule>
    <cfRule type="expression" dxfId="1026" priority="574">
      <formula>IF($V117&lt;&gt;0,AND(MID($A117,5,1)="D"))</formula>
    </cfRule>
  </conditionalFormatting>
  <conditionalFormatting sqref="A118">
    <cfRule type="expression" dxfId="1025" priority="569">
      <formula>IF($V118&lt;&gt;0,AND(MID($A118,5,1)=" "))</formula>
    </cfRule>
    <cfRule type="expression" dxfId="1024" priority="570">
      <formula>IF($V118&lt;&gt;0,AND(MID($A118,5,1)="C"))</formula>
    </cfRule>
    <cfRule type="expression" dxfId="1023" priority="571">
      <formula>IF($V118&lt;&gt;0,AND(MID($A118,5,1)="D"))</formula>
    </cfRule>
  </conditionalFormatting>
  <conditionalFormatting sqref="A119">
    <cfRule type="expression" dxfId="1022" priority="566">
      <formula>IF($V119&lt;&gt;0,AND(MID($A119,5,1)=" "))</formula>
    </cfRule>
    <cfRule type="expression" dxfId="1021" priority="567">
      <formula>IF($V119&lt;&gt;0,AND(MID($A119,5,1)="C"))</formula>
    </cfRule>
    <cfRule type="expression" dxfId="1020" priority="568">
      <formula>IF($V119&lt;&gt;0,AND(MID($A119,5,1)="D"))</formula>
    </cfRule>
  </conditionalFormatting>
  <conditionalFormatting sqref="A120">
    <cfRule type="expression" dxfId="1019" priority="563">
      <formula>IF($V120&lt;&gt;0,AND(MID($A120,5,1)=" "))</formula>
    </cfRule>
    <cfRule type="expression" dxfId="1018" priority="564">
      <formula>IF($V120&lt;&gt;0,AND(MID($A120,5,1)="C"))</formula>
    </cfRule>
    <cfRule type="expression" dxfId="1017" priority="565">
      <formula>IF($V120&lt;&gt;0,AND(MID($A120,5,1)="D"))</formula>
    </cfRule>
  </conditionalFormatting>
  <conditionalFormatting sqref="A121">
    <cfRule type="expression" dxfId="1016" priority="560">
      <formula>IF($V121&lt;&gt;0,AND(MID($A121,5,1)=" "))</formula>
    </cfRule>
    <cfRule type="expression" dxfId="1015" priority="561">
      <formula>IF($V121&lt;&gt;0,AND(MID($A121,5,1)="C"))</formula>
    </cfRule>
    <cfRule type="expression" dxfId="1014" priority="562">
      <formula>IF($V121&lt;&gt;0,AND(MID($A121,5,1)="D"))</formula>
    </cfRule>
  </conditionalFormatting>
  <conditionalFormatting sqref="A122">
    <cfRule type="expression" dxfId="1013" priority="557">
      <formula>IF($V122&lt;&gt;0,AND(MID($A122,5,1)=" "))</formula>
    </cfRule>
    <cfRule type="expression" dxfId="1012" priority="558">
      <formula>IF($V122&lt;&gt;0,AND(MID($A122,5,1)="C"))</formula>
    </cfRule>
    <cfRule type="expression" dxfId="1011" priority="559">
      <formula>IF($V122&lt;&gt;0,AND(MID($A122,5,1)="D"))</formula>
    </cfRule>
  </conditionalFormatting>
  <conditionalFormatting sqref="A123">
    <cfRule type="expression" dxfId="1010" priority="554">
      <formula>IF($V123&lt;&gt;0,AND(MID($A123,5,1)=" "))</formula>
    </cfRule>
    <cfRule type="expression" dxfId="1009" priority="555">
      <formula>IF($V123&lt;&gt;0,AND(MID($A123,5,1)="C"))</formula>
    </cfRule>
    <cfRule type="expression" dxfId="1008" priority="556">
      <formula>IF($V123&lt;&gt;0,AND(MID($A123,5,1)="D"))</formula>
    </cfRule>
  </conditionalFormatting>
  <conditionalFormatting sqref="A124">
    <cfRule type="expression" dxfId="1007" priority="551">
      <formula>IF($V124&lt;&gt;0,AND(MID($A124,5,1)=" "))</formula>
    </cfRule>
    <cfRule type="expression" dxfId="1006" priority="552">
      <formula>IF($V124&lt;&gt;0,AND(MID($A124,5,1)="C"))</formula>
    </cfRule>
    <cfRule type="expression" dxfId="1005" priority="553">
      <formula>IF($V124&lt;&gt;0,AND(MID($A124,5,1)="D"))</formula>
    </cfRule>
  </conditionalFormatting>
  <conditionalFormatting sqref="A125">
    <cfRule type="expression" dxfId="1004" priority="548">
      <formula>IF($V125&lt;&gt;0,AND(MID($A125,5,1)=" "))</formula>
    </cfRule>
    <cfRule type="expression" dxfId="1003" priority="549">
      <formula>IF($V125&lt;&gt;0,AND(MID($A125,5,1)="C"))</formula>
    </cfRule>
    <cfRule type="expression" dxfId="1002" priority="550">
      <formula>IF($V125&lt;&gt;0,AND(MID($A125,5,1)="D"))</formula>
    </cfRule>
  </conditionalFormatting>
  <conditionalFormatting sqref="A126">
    <cfRule type="expression" dxfId="1001" priority="545">
      <formula>IF($V126&lt;&gt;0,AND(MID($A126,5,1)=" "))</formula>
    </cfRule>
    <cfRule type="expression" dxfId="1000" priority="546">
      <formula>IF($V126&lt;&gt;0,AND(MID($A126,5,1)="C"))</formula>
    </cfRule>
    <cfRule type="expression" dxfId="999" priority="547">
      <formula>IF($V126&lt;&gt;0,AND(MID($A126,5,1)="D"))</formula>
    </cfRule>
  </conditionalFormatting>
  <conditionalFormatting sqref="A127">
    <cfRule type="expression" dxfId="998" priority="542">
      <formula>IF($V127&lt;&gt;0,AND(MID($A127,5,1)=" "))</formula>
    </cfRule>
    <cfRule type="expression" dxfId="997" priority="543">
      <formula>IF($V127&lt;&gt;0,AND(MID($A127,5,1)="C"))</formula>
    </cfRule>
    <cfRule type="expression" dxfId="996" priority="544">
      <formula>IF($V127&lt;&gt;0,AND(MID($A127,5,1)="D"))</formula>
    </cfRule>
  </conditionalFormatting>
  <conditionalFormatting sqref="A128">
    <cfRule type="expression" dxfId="995" priority="539">
      <formula>IF($V128&lt;&gt;0,AND(MID($A128,5,1)=" "))</formula>
    </cfRule>
    <cfRule type="expression" dxfId="994" priority="540">
      <formula>IF($V128&lt;&gt;0,AND(MID($A128,5,1)="C"))</formula>
    </cfRule>
    <cfRule type="expression" dxfId="993" priority="541">
      <formula>IF($V128&lt;&gt;0,AND(MID($A128,5,1)="D"))</formula>
    </cfRule>
  </conditionalFormatting>
  <conditionalFormatting sqref="A129">
    <cfRule type="expression" dxfId="992" priority="536">
      <formula>IF($V129&lt;&gt;0,AND(MID($A129,5,1)=" "))</formula>
    </cfRule>
    <cfRule type="expression" dxfId="991" priority="537">
      <formula>IF($V129&lt;&gt;0,AND(MID($A129,5,1)="C"))</formula>
    </cfRule>
    <cfRule type="expression" dxfId="990" priority="538">
      <formula>IF($V129&lt;&gt;0,AND(MID($A129,5,1)="D"))</formula>
    </cfRule>
  </conditionalFormatting>
  <conditionalFormatting sqref="A130">
    <cfRule type="expression" dxfId="989" priority="533">
      <formula>IF($V130&lt;&gt;0,AND(MID($A130,5,1)=" "))</formula>
    </cfRule>
    <cfRule type="expression" dxfId="988" priority="534">
      <formula>IF($V130&lt;&gt;0,AND(MID($A130,5,1)="C"))</formula>
    </cfRule>
    <cfRule type="expression" dxfId="987" priority="535">
      <formula>IF($V130&lt;&gt;0,AND(MID($A130,5,1)="D"))</formula>
    </cfRule>
  </conditionalFormatting>
  <conditionalFormatting sqref="A131">
    <cfRule type="expression" dxfId="986" priority="530">
      <formula>IF($V131&lt;&gt;0,AND(MID($A131,5,1)=" "))</formula>
    </cfRule>
    <cfRule type="expression" dxfId="985" priority="531">
      <formula>IF($V131&lt;&gt;0,AND(MID($A131,5,1)="C"))</formula>
    </cfRule>
    <cfRule type="expression" dxfId="984" priority="532">
      <formula>IF($V131&lt;&gt;0,AND(MID($A131,5,1)="D"))</formula>
    </cfRule>
  </conditionalFormatting>
  <conditionalFormatting sqref="A132">
    <cfRule type="expression" dxfId="983" priority="527">
      <formula>IF($V132&lt;&gt;0,AND(MID($A132,5,1)=" "))</formula>
    </cfRule>
    <cfRule type="expression" dxfId="982" priority="528">
      <formula>IF($V132&lt;&gt;0,AND(MID($A132,5,1)="C"))</formula>
    </cfRule>
    <cfRule type="expression" dxfId="981" priority="529">
      <formula>IF($V132&lt;&gt;0,AND(MID($A132,5,1)="D"))</formula>
    </cfRule>
  </conditionalFormatting>
  <conditionalFormatting sqref="A133">
    <cfRule type="expression" dxfId="980" priority="524">
      <formula>IF($V133&lt;&gt;0,AND(MID($A133,5,1)=" "))</formula>
    </cfRule>
    <cfRule type="expression" dxfId="979" priority="525">
      <formula>IF($V133&lt;&gt;0,AND(MID($A133,5,1)="C"))</formula>
    </cfRule>
    <cfRule type="expression" dxfId="978" priority="526">
      <formula>IF($V133&lt;&gt;0,AND(MID($A133,5,1)="D"))</formula>
    </cfRule>
  </conditionalFormatting>
  <conditionalFormatting sqref="A134">
    <cfRule type="expression" dxfId="977" priority="521">
      <formula>IF($V134&lt;&gt;0,AND(MID($A134,5,1)=" "))</formula>
    </cfRule>
    <cfRule type="expression" dxfId="976" priority="522">
      <formula>IF($V134&lt;&gt;0,AND(MID($A134,5,1)="C"))</formula>
    </cfRule>
    <cfRule type="expression" dxfId="975" priority="523">
      <formula>IF($V134&lt;&gt;0,AND(MID($A134,5,1)="D"))</formula>
    </cfRule>
  </conditionalFormatting>
  <conditionalFormatting sqref="A135">
    <cfRule type="expression" dxfId="974" priority="518">
      <formula>IF($V135&lt;&gt;0,AND(MID($A135,5,1)=" "))</formula>
    </cfRule>
    <cfRule type="expression" dxfId="973" priority="519">
      <formula>IF($V135&lt;&gt;0,AND(MID($A135,5,1)="C"))</formula>
    </cfRule>
    <cfRule type="expression" dxfId="972" priority="520">
      <formula>IF($V135&lt;&gt;0,AND(MID($A135,5,1)="D"))</formula>
    </cfRule>
  </conditionalFormatting>
  <conditionalFormatting sqref="A136">
    <cfRule type="expression" dxfId="971" priority="515">
      <formula>IF($V136&lt;&gt;0,AND(MID($A136,5,1)=" "))</formula>
    </cfRule>
    <cfRule type="expression" dxfId="970" priority="516">
      <formula>IF($V136&lt;&gt;0,AND(MID($A136,5,1)="C"))</formula>
    </cfRule>
    <cfRule type="expression" dxfId="969" priority="517">
      <formula>IF($V136&lt;&gt;0,AND(MID($A136,5,1)="D"))</formula>
    </cfRule>
  </conditionalFormatting>
  <conditionalFormatting sqref="A137">
    <cfRule type="expression" dxfId="968" priority="512">
      <formula>IF($V137&lt;&gt;0,AND(MID($A137,5,1)=" "))</formula>
    </cfRule>
    <cfRule type="expression" dxfId="967" priority="513">
      <formula>IF($V137&lt;&gt;0,AND(MID($A137,5,1)="C"))</formula>
    </cfRule>
    <cfRule type="expression" dxfId="966" priority="514">
      <formula>IF($V137&lt;&gt;0,AND(MID($A137,5,1)="D"))</formula>
    </cfRule>
  </conditionalFormatting>
  <conditionalFormatting sqref="A138">
    <cfRule type="expression" dxfId="965" priority="509">
      <formula>IF($V138&lt;&gt;0,AND(MID($A138,5,1)=" "))</formula>
    </cfRule>
    <cfRule type="expression" dxfId="964" priority="510">
      <formula>IF($V138&lt;&gt;0,AND(MID($A138,5,1)="C"))</formula>
    </cfRule>
    <cfRule type="expression" dxfId="963" priority="511">
      <formula>IF($V138&lt;&gt;0,AND(MID($A138,5,1)="D"))</formula>
    </cfRule>
  </conditionalFormatting>
  <conditionalFormatting sqref="A139">
    <cfRule type="expression" dxfId="962" priority="506">
      <formula>IF($V139&lt;&gt;0,AND(MID($A139,5,1)=" "))</formula>
    </cfRule>
    <cfRule type="expression" dxfId="961" priority="507">
      <formula>IF($V139&lt;&gt;0,AND(MID($A139,5,1)="C"))</formula>
    </cfRule>
    <cfRule type="expression" dxfId="960" priority="508">
      <formula>IF($V139&lt;&gt;0,AND(MID($A139,5,1)="D"))</formula>
    </cfRule>
  </conditionalFormatting>
  <conditionalFormatting sqref="A140">
    <cfRule type="expression" dxfId="959" priority="503">
      <formula>IF($V140&lt;&gt;0,AND(MID($A140,5,1)=" "))</formula>
    </cfRule>
    <cfRule type="expression" dxfId="958" priority="504">
      <formula>IF($V140&lt;&gt;0,AND(MID($A140,5,1)="C"))</formula>
    </cfRule>
    <cfRule type="expression" dxfId="957" priority="505">
      <formula>IF($V140&lt;&gt;0,AND(MID($A140,5,1)="D"))</formula>
    </cfRule>
  </conditionalFormatting>
  <conditionalFormatting sqref="A141">
    <cfRule type="expression" dxfId="956" priority="500">
      <formula>IF($V141&lt;&gt;0,AND(MID($A141,5,1)=" "))</formula>
    </cfRule>
    <cfRule type="expression" dxfId="955" priority="501">
      <formula>IF($V141&lt;&gt;0,AND(MID($A141,5,1)="C"))</formula>
    </cfRule>
    <cfRule type="expression" dxfId="954" priority="502">
      <formula>IF($V141&lt;&gt;0,AND(MID($A141,5,1)="D"))</formula>
    </cfRule>
  </conditionalFormatting>
  <conditionalFormatting sqref="A142">
    <cfRule type="expression" dxfId="953" priority="497">
      <formula>IF($V142&lt;&gt;0,AND(MID($A142,5,1)=" "))</formula>
    </cfRule>
    <cfRule type="expression" dxfId="952" priority="498">
      <formula>IF($V142&lt;&gt;0,AND(MID($A142,5,1)="C"))</formula>
    </cfRule>
    <cfRule type="expression" dxfId="951" priority="499">
      <formula>IF($V142&lt;&gt;0,AND(MID($A142,5,1)="D"))</formula>
    </cfRule>
  </conditionalFormatting>
  <conditionalFormatting sqref="A143">
    <cfRule type="expression" dxfId="950" priority="494">
      <formula>IF($V143&lt;&gt;0,AND(MID($A143,5,1)=" "))</formula>
    </cfRule>
    <cfRule type="expression" dxfId="949" priority="495">
      <formula>IF($V143&lt;&gt;0,AND(MID($A143,5,1)="C"))</formula>
    </cfRule>
    <cfRule type="expression" dxfId="948" priority="496">
      <formula>IF($V143&lt;&gt;0,AND(MID($A143,5,1)="D"))</formula>
    </cfRule>
  </conditionalFormatting>
  <conditionalFormatting sqref="A144">
    <cfRule type="expression" dxfId="947" priority="491">
      <formula>IF($V144&lt;&gt;0,AND(MID($A144,5,1)=" "))</formula>
    </cfRule>
    <cfRule type="expression" dxfId="946" priority="492">
      <formula>IF($V144&lt;&gt;0,AND(MID($A144,5,1)="C"))</formula>
    </cfRule>
    <cfRule type="expression" dxfId="945" priority="493">
      <formula>IF($V144&lt;&gt;0,AND(MID($A144,5,1)="D"))</formula>
    </cfRule>
  </conditionalFormatting>
  <conditionalFormatting sqref="A145">
    <cfRule type="expression" dxfId="944" priority="488">
      <formula>IF($V145&lt;&gt;0,AND(MID($A145,5,1)=" "))</formula>
    </cfRule>
    <cfRule type="expression" dxfId="943" priority="489">
      <formula>IF($V145&lt;&gt;0,AND(MID($A145,5,1)="C"))</formula>
    </cfRule>
    <cfRule type="expression" dxfId="942" priority="490">
      <formula>IF($V145&lt;&gt;0,AND(MID($A145,5,1)="D"))</formula>
    </cfRule>
  </conditionalFormatting>
  <conditionalFormatting sqref="A146">
    <cfRule type="expression" dxfId="941" priority="485">
      <formula>IF($V146&lt;&gt;0,AND(MID($A146,5,1)=" "))</formula>
    </cfRule>
    <cfRule type="expression" dxfId="940" priority="486">
      <formula>IF($V146&lt;&gt;0,AND(MID($A146,5,1)="C"))</formula>
    </cfRule>
    <cfRule type="expression" dxfId="939" priority="487">
      <formula>IF($V146&lt;&gt;0,AND(MID($A146,5,1)="D"))</formula>
    </cfRule>
  </conditionalFormatting>
  <conditionalFormatting sqref="A147">
    <cfRule type="expression" dxfId="938" priority="482">
      <formula>IF($V147&lt;&gt;0,AND(MID($A147,5,1)=" "))</formula>
    </cfRule>
    <cfRule type="expression" dxfId="937" priority="483">
      <formula>IF($V147&lt;&gt;0,AND(MID($A147,5,1)="C"))</formula>
    </cfRule>
    <cfRule type="expression" dxfId="936" priority="484">
      <formula>IF($V147&lt;&gt;0,AND(MID($A147,5,1)="D"))</formula>
    </cfRule>
  </conditionalFormatting>
  <conditionalFormatting sqref="A148">
    <cfRule type="expression" dxfId="935" priority="479">
      <formula>IF($V148&lt;&gt;0,AND(MID($A148,5,1)=" "))</formula>
    </cfRule>
    <cfRule type="expression" dxfId="934" priority="480">
      <formula>IF($V148&lt;&gt;0,AND(MID($A148,5,1)="C"))</formula>
    </cfRule>
    <cfRule type="expression" dxfId="933" priority="481">
      <formula>IF($V148&lt;&gt;0,AND(MID($A148,5,1)="D"))</formula>
    </cfRule>
  </conditionalFormatting>
  <conditionalFormatting sqref="A149">
    <cfRule type="expression" dxfId="932" priority="476">
      <formula>IF($V149&lt;&gt;0,AND(MID($A149,5,1)=" "))</formula>
    </cfRule>
    <cfRule type="expression" dxfId="931" priority="477">
      <formula>IF($V149&lt;&gt;0,AND(MID($A149,5,1)="C"))</formula>
    </cfRule>
    <cfRule type="expression" dxfId="930" priority="478">
      <formula>IF($V149&lt;&gt;0,AND(MID($A149,5,1)="D"))</formula>
    </cfRule>
  </conditionalFormatting>
  <conditionalFormatting sqref="A150">
    <cfRule type="expression" dxfId="929" priority="473">
      <formula>IF($V150&lt;&gt;0,AND(MID($A150,5,1)=" "))</formula>
    </cfRule>
    <cfRule type="expression" dxfId="928" priority="474">
      <formula>IF($V150&lt;&gt;0,AND(MID($A150,5,1)="C"))</formula>
    </cfRule>
    <cfRule type="expression" dxfId="927" priority="475">
      <formula>IF($V150&lt;&gt;0,AND(MID($A150,5,1)="D"))</formula>
    </cfRule>
  </conditionalFormatting>
  <conditionalFormatting sqref="A151">
    <cfRule type="expression" dxfId="926" priority="470">
      <formula>IF($V151&lt;&gt;0,AND(MID($A151,5,1)=" "))</formula>
    </cfRule>
    <cfRule type="expression" dxfId="925" priority="471">
      <formula>IF($V151&lt;&gt;0,AND(MID($A151,5,1)="C"))</formula>
    </cfRule>
    <cfRule type="expression" dxfId="924" priority="472">
      <formula>IF($V151&lt;&gt;0,AND(MID($A151,5,1)="D"))</formula>
    </cfRule>
  </conditionalFormatting>
  <conditionalFormatting sqref="A152">
    <cfRule type="expression" dxfId="923" priority="467">
      <formula>IF($V152&lt;&gt;0,AND(MID($A152,5,1)=" "))</formula>
    </cfRule>
    <cfRule type="expression" dxfId="922" priority="468">
      <formula>IF($V152&lt;&gt;0,AND(MID($A152,5,1)="C"))</formula>
    </cfRule>
    <cfRule type="expression" dxfId="921" priority="469">
      <formula>IF($V152&lt;&gt;0,AND(MID($A152,5,1)="D"))</formula>
    </cfRule>
  </conditionalFormatting>
  <conditionalFormatting sqref="A153">
    <cfRule type="expression" dxfId="920" priority="464">
      <formula>IF($V153&lt;&gt;0,AND(MID($A153,5,1)=" "))</formula>
    </cfRule>
    <cfRule type="expression" dxfId="919" priority="465">
      <formula>IF($V153&lt;&gt;0,AND(MID($A153,5,1)="C"))</formula>
    </cfRule>
    <cfRule type="expression" dxfId="918" priority="466">
      <formula>IF($V153&lt;&gt;0,AND(MID($A153,5,1)="D"))</formula>
    </cfRule>
  </conditionalFormatting>
  <conditionalFormatting sqref="A154">
    <cfRule type="expression" dxfId="917" priority="461">
      <formula>IF($V154&lt;&gt;0,AND(MID($A154,5,1)=" "))</formula>
    </cfRule>
    <cfRule type="expression" dxfId="916" priority="462">
      <formula>IF($V154&lt;&gt;0,AND(MID($A154,5,1)="C"))</formula>
    </cfRule>
    <cfRule type="expression" dxfId="915" priority="463">
      <formula>IF($V154&lt;&gt;0,AND(MID($A154,5,1)="D"))</formula>
    </cfRule>
  </conditionalFormatting>
  <conditionalFormatting sqref="A155">
    <cfRule type="expression" dxfId="914" priority="458">
      <formula>IF($V155&lt;&gt;0,AND(MID($A155,5,1)=" "))</formula>
    </cfRule>
    <cfRule type="expression" dxfId="913" priority="459">
      <formula>IF($V155&lt;&gt;0,AND(MID($A155,5,1)="C"))</formula>
    </cfRule>
    <cfRule type="expression" dxfId="912" priority="460">
      <formula>IF($V155&lt;&gt;0,AND(MID($A155,5,1)="D"))</formula>
    </cfRule>
  </conditionalFormatting>
  <conditionalFormatting sqref="A156">
    <cfRule type="expression" dxfId="911" priority="455">
      <formula>IF($V156&lt;&gt;0,AND(MID($A156,5,1)=" "))</formula>
    </cfRule>
    <cfRule type="expression" dxfId="910" priority="456">
      <formula>IF($V156&lt;&gt;0,AND(MID($A156,5,1)="C"))</formula>
    </cfRule>
    <cfRule type="expression" dxfId="909" priority="457">
      <formula>IF($V156&lt;&gt;0,AND(MID($A156,5,1)="D"))</formula>
    </cfRule>
  </conditionalFormatting>
  <conditionalFormatting sqref="A157">
    <cfRule type="expression" dxfId="908" priority="452">
      <formula>IF($V157&lt;&gt;0,AND(MID($A157,5,1)=" "))</formula>
    </cfRule>
    <cfRule type="expression" dxfId="907" priority="453">
      <formula>IF($V157&lt;&gt;0,AND(MID($A157,5,1)="C"))</formula>
    </cfRule>
    <cfRule type="expression" dxfId="906" priority="454">
      <formula>IF($V157&lt;&gt;0,AND(MID($A157,5,1)="D"))</formula>
    </cfRule>
  </conditionalFormatting>
  <conditionalFormatting sqref="A158">
    <cfRule type="expression" dxfId="905" priority="449">
      <formula>IF($V158&lt;&gt;0,AND(MID($A158,5,1)=" "))</formula>
    </cfRule>
    <cfRule type="expression" dxfId="904" priority="450">
      <formula>IF($V158&lt;&gt;0,AND(MID($A158,5,1)="C"))</formula>
    </cfRule>
    <cfRule type="expression" dxfId="903" priority="451">
      <formula>IF($V158&lt;&gt;0,AND(MID($A158,5,1)="D"))</formula>
    </cfRule>
  </conditionalFormatting>
  <conditionalFormatting sqref="A159">
    <cfRule type="expression" dxfId="902" priority="446">
      <formula>IF($V159&lt;&gt;0,AND(MID($A159,5,1)=" "))</formula>
    </cfRule>
    <cfRule type="expression" dxfId="901" priority="447">
      <formula>IF($V159&lt;&gt;0,AND(MID($A159,5,1)="C"))</formula>
    </cfRule>
    <cfRule type="expression" dxfId="900" priority="448">
      <formula>IF($V159&lt;&gt;0,AND(MID($A159,5,1)="D"))</formula>
    </cfRule>
  </conditionalFormatting>
  <conditionalFormatting sqref="A160">
    <cfRule type="expression" dxfId="899" priority="443">
      <formula>IF($V160&lt;&gt;0,AND(MID($A160,5,1)=" "))</formula>
    </cfRule>
    <cfRule type="expression" dxfId="898" priority="444">
      <formula>IF($V160&lt;&gt;0,AND(MID($A160,5,1)="C"))</formula>
    </cfRule>
    <cfRule type="expression" dxfId="897" priority="445">
      <formula>IF($V160&lt;&gt;0,AND(MID($A160,5,1)="D"))</formula>
    </cfRule>
  </conditionalFormatting>
  <conditionalFormatting sqref="A161">
    <cfRule type="expression" dxfId="896" priority="440">
      <formula>IF($V161&lt;&gt;0,AND(MID($A161,5,1)=" "))</formula>
    </cfRule>
    <cfRule type="expression" dxfId="895" priority="441">
      <formula>IF($V161&lt;&gt;0,AND(MID($A161,5,1)="C"))</formula>
    </cfRule>
    <cfRule type="expression" dxfId="894" priority="442">
      <formula>IF($V161&lt;&gt;0,AND(MID($A161,5,1)="D"))</formula>
    </cfRule>
  </conditionalFormatting>
  <conditionalFormatting sqref="A162">
    <cfRule type="expression" dxfId="893" priority="437">
      <formula>IF($V162&lt;&gt;0,AND(MID($A162,5,1)=" "))</formula>
    </cfRule>
    <cfRule type="expression" dxfId="892" priority="438">
      <formula>IF($V162&lt;&gt;0,AND(MID($A162,5,1)="C"))</formula>
    </cfRule>
    <cfRule type="expression" dxfId="891" priority="439">
      <formula>IF($V162&lt;&gt;0,AND(MID($A162,5,1)="D"))</formula>
    </cfRule>
  </conditionalFormatting>
  <conditionalFormatting sqref="A163">
    <cfRule type="expression" dxfId="890" priority="434">
      <formula>IF($V163&lt;&gt;0,AND(MID($A163,5,1)=" "))</formula>
    </cfRule>
    <cfRule type="expression" dxfId="889" priority="435">
      <formula>IF($V163&lt;&gt;0,AND(MID($A163,5,1)="C"))</formula>
    </cfRule>
    <cfRule type="expression" dxfId="888" priority="436">
      <formula>IF($V163&lt;&gt;0,AND(MID($A163,5,1)="D"))</formula>
    </cfRule>
  </conditionalFormatting>
  <conditionalFormatting sqref="A164">
    <cfRule type="expression" dxfId="887" priority="431">
      <formula>IF($V164&lt;&gt;0,AND(MID($A164,5,1)=" "))</formula>
    </cfRule>
    <cfRule type="expression" dxfId="886" priority="432">
      <formula>IF($V164&lt;&gt;0,AND(MID($A164,5,1)="C"))</formula>
    </cfRule>
    <cfRule type="expression" dxfId="885" priority="433">
      <formula>IF($V164&lt;&gt;0,AND(MID($A164,5,1)="D"))</formula>
    </cfRule>
  </conditionalFormatting>
  <conditionalFormatting sqref="A165">
    <cfRule type="expression" dxfId="884" priority="428">
      <formula>IF($V165&lt;&gt;0,AND(MID($A165,5,1)=" "))</formula>
    </cfRule>
    <cfRule type="expression" dxfId="883" priority="429">
      <formula>IF($V165&lt;&gt;0,AND(MID($A165,5,1)="C"))</formula>
    </cfRule>
    <cfRule type="expression" dxfId="882" priority="430">
      <formula>IF($V165&lt;&gt;0,AND(MID($A165,5,1)="D"))</formula>
    </cfRule>
  </conditionalFormatting>
  <conditionalFormatting sqref="A166 A172 A178 A184 A190 A196">
    <cfRule type="expression" dxfId="881" priority="425">
      <formula>IF($V166&lt;&gt;0,AND(MID($A166,5,1)=" "))</formula>
    </cfRule>
    <cfRule type="expression" dxfId="880" priority="426">
      <formula>IF($V166&lt;&gt;0,AND(MID($A166,5,1)="C"))</formula>
    </cfRule>
    <cfRule type="expression" dxfId="879" priority="427">
      <formula>IF($V166&lt;&gt;0,AND(MID($A166,5,1)="D"))</formula>
    </cfRule>
  </conditionalFormatting>
  <conditionalFormatting sqref="A167 A173 A179 A185 A191 A197">
    <cfRule type="expression" dxfId="878" priority="422">
      <formula>IF($V167&lt;&gt;0,AND(MID($A167,5,1)=" "))</formula>
    </cfRule>
    <cfRule type="expression" dxfId="877" priority="423">
      <formula>IF($V167&lt;&gt;0,AND(MID($A167,5,1)="C"))</formula>
    </cfRule>
    <cfRule type="expression" dxfId="876" priority="424">
      <formula>IF($V167&lt;&gt;0,AND(MID($A167,5,1)="D"))</formula>
    </cfRule>
  </conditionalFormatting>
  <conditionalFormatting sqref="A168 A174 A180 A186 A192 A198">
    <cfRule type="expression" dxfId="875" priority="419">
      <formula>IF($V168&lt;&gt;0,AND(MID($A168,5,1)=" "))</formula>
    </cfRule>
    <cfRule type="expression" dxfId="874" priority="420">
      <formula>IF($V168&lt;&gt;0,AND(MID($A168,5,1)="C"))</formula>
    </cfRule>
    <cfRule type="expression" dxfId="873" priority="421">
      <formula>IF($V168&lt;&gt;0,AND(MID($A168,5,1)="D"))</formula>
    </cfRule>
  </conditionalFormatting>
  <conditionalFormatting sqref="A169 A175 A181 A187 A193 A199">
    <cfRule type="expression" dxfId="872" priority="416">
      <formula>IF($V169&lt;&gt;0,AND(MID($A169,5,1)=" "))</formula>
    </cfRule>
    <cfRule type="expression" dxfId="871" priority="417">
      <formula>IF($V169&lt;&gt;0,AND(MID($A169,5,1)="C"))</formula>
    </cfRule>
    <cfRule type="expression" dxfId="870" priority="418">
      <formula>IF($V169&lt;&gt;0,AND(MID($A169,5,1)="D"))</formula>
    </cfRule>
  </conditionalFormatting>
  <conditionalFormatting sqref="A170 A176 A182 A188 A194 A200">
    <cfRule type="expression" dxfId="869" priority="413">
      <formula>IF($V170&lt;&gt;0,AND(MID($A170,5,1)=" "))</formula>
    </cfRule>
    <cfRule type="expression" dxfId="868" priority="414">
      <formula>IF($V170&lt;&gt;0,AND(MID($A170,5,1)="C"))</formula>
    </cfRule>
    <cfRule type="expression" dxfId="867" priority="415">
      <formula>IF($V170&lt;&gt;0,AND(MID($A170,5,1)="D"))</formula>
    </cfRule>
  </conditionalFormatting>
  <conditionalFormatting sqref="A171 A177 A183 A189 A195 A201">
    <cfRule type="expression" dxfId="866" priority="410">
      <formula>IF($V171&lt;&gt;0,AND(MID($A171,5,1)=" "))</formula>
    </cfRule>
    <cfRule type="expression" dxfId="865" priority="411">
      <formula>IF($V171&lt;&gt;0,AND(MID($A171,5,1)="C"))</formula>
    </cfRule>
    <cfRule type="expression" dxfId="864" priority="412">
      <formula>IF($V171&lt;&gt;0,AND(MID($A171,5,1)="D"))</formula>
    </cfRule>
  </conditionalFormatting>
  <conditionalFormatting sqref="B18">
    <cfRule type="expression" dxfId="863" priority="386">
      <formula>IF($Y21&gt;$Y18,AND(MID($A18,5,1)=" "))</formula>
    </cfRule>
    <cfRule type="expression" dxfId="862" priority="387">
      <formula>IF($Y21&gt;$Y18,AND(MID($A18,5,1)="C"))</formula>
    </cfRule>
    <cfRule type="expression" dxfId="861" priority="388">
      <formula>IF($Y21&gt;$Y18,AND(MID($A18,5,1)="D"))</formula>
    </cfRule>
  </conditionalFormatting>
  <conditionalFormatting sqref="E19">
    <cfRule type="expression" dxfId="860" priority="389">
      <formula>IF($Y21&gt;$Y18,AND(MID($A19,5,1)=" "))</formula>
    </cfRule>
    <cfRule type="expression" dxfId="859" priority="390">
      <formula>IF($Y21&gt;$Y18,AND(MID($A19,5,1)="C"))</formula>
    </cfRule>
    <cfRule type="expression" dxfId="858" priority="391">
      <formula>IF($Y21&gt;$Y18,AND(MID($A19,5,1)="D"))</formula>
    </cfRule>
  </conditionalFormatting>
  <conditionalFormatting sqref="B20">
    <cfRule type="expression" dxfId="857" priority="392">
      <formula>IF($Y21&gt;$Y18,AND(MID($A20,5,1)=" "))</formula>
    </cfRule>
    <cfRule type="expression" dxfId="856" priority="393">
      <formula>IF($Y21&gt;$Y18,AND(MID($A20,5,1)="C"))</formula>
    </cfRule>
    <cfRule type="expression" dxfId="855" priority="394">
      <formula>IF($Y21&gt;$Y18,AND(MID($A20,5,1)="D"))</formula>
    </cfRule>
  </conditionalFormatting>
  <conditionalFormatting sqref="E21">
    <cfRule type="expression" dxfId="854" priority="395">
      <formula>IF($Y21&gt;$Y18,AND(MID($A21,5,1)=" "))</formula>
    </cfRule>
    <cfRule type="expression" dxfId="853" priority="396">
      <formula>IF($Y21&gt;$Y18,AND(MID($A21,5,1)="C"))</formula>
    </cfRule>
    <cfRule type="expression" dxfId="852" priority="397">
      <formula>IF($Y21&gt;$Y18,AND(MID($A21,5,1)="D"))</formula>
    </cfRule>
  </conditionalFormatting>
  <conditionalFormatting sqref="C18">
    <cfRule type="expression" dxfId="851" priority="398">
      <formula>IF($Y21&gt;$Y18,AND(MID($A18,5,1)=" "))</formula>
    </cfRule>
    <cfRule type="expression" dxfId="850" priority="399">
      <formula>IF($Y21&gt;$Y18,AND(MID($A18,5,1)="C"))</formula>
    </cfRule>
    <cfRule type="expression" dxfId="849" priority="400">
      <formula>IF($Y21&gt;$Y18,AND(MID($A18,5,1)="D"))</formula>
    </cfRule>
  </conditionalFormatting>
  <conditionalFormatting sqref="D19">
    <cfRule type="expression" dxfId="848" priority="401">
      <formula>IF($Y21&gt;$Y18,AND(MID($A19,5,1)=" "))</formula>
    </cfRule>
    <cfRule type="expression" dxfId="847" priority="402">
      <formula>IF($Y21&gt;$Y18,AND(MID($A19,5,1)="C"))</formula>
    </cfRule>
    <cfRule type="expression" dxfId="846" priority="403">
      <formula>IF($Y21&gt;$Y18,AND(MID($A19,5,1)="D"))</formula>
    </cfRule>
  </conditionalFormatting>
  <conditionalFormatting sqref="D21">
    <cfRule type="expression" dxfId="845" priority="404">
      <formula>IF($Y21&gt;$Y18,AND(MID($A21,5,1)=" "))</formula>
    </cfRule>
    <cfRule type="expression" dxfId="844" priority="405">
      <formula>IF($Y21&gt;$Y18,AND(MID($A21,5,1)="C"))</formula>
    </cfRule>
    <cfRule type="expression" dxfId="843" priority="406">
      <formula>IF($Y21&gt;$Y18,AND(MID($A21,5,1)="D"))</formula>
    </cfRule>
  </conditionalFormatting>
  <conditionalFormatting sqref="C20">
    <cfRule type="expression" dxfId="842" priority="407">
      <formula>IF($Y21&gt;$Y18,AND(MID($A20,5,1)=" "))</formula>
    </cfRule>
    <cfRule type="expression" dxfId="841" priority="408">
      <formula>IF($Y21&gt;$Y18,AND(MID($A20,5,1)="C"))</formula>
    </cfRule>
    <cfRule type="expression" dxfId="840" priority="409">
      <formula>IF($Y21&gt;$Y18,AND(MID($A20,5,1)="D"))</formula>
    </cfRule>
  </conditionalFormatting>
  <conditionalFormatting sqref="A19">
    <cfRule type="expression" dxfId="839" priority="380">
      <formula>IF($Y21&gt;$Y18,AND(MID($A19,5,1)=" "))</formula>
    </cfRule>
    <cfRule type="expression" dxfId="838" priority="381">
      <formula>IF($Y21&gt;$Y18,AND(MID($A19,5,1)="C"))</formula>
    </cfRule>
    <cfRule type="expression" dxfId="837" priority="382">
      <formula>IF($Y21&gt;$Y18,AND(MID($A19,5,1)="D"))</formula>
    </cfRule>
  </conditionalFormatting>
  <conditionalFormatting sqref="A20">
    <cfRule type="expression" dxfId="836" priority="383">
      <formula>IF($Y21&gt;$Y18,AND(MID($A20,5,1)=" "))</formula>
    </cfRule>
    <cfRule type="expression" dxfId="835" priority="384">
      <formula>IF($Y21&gt;$Y18,AND(MID($A20,5,1)="C"))</formula>
    </cfRule>
    <cfRule type="expression" dxfId="834" priority="385">
      <formula>IF($Y21&gt;$Y18,AND(MID($A20,5,1)="D"))</formula>
    </cfRule>
  </conditionalFormatting>
  <conditionalFormatting sqref="A21">
    <cfRule type="expression" dxfId="833" priority="377">
      <formula>IF($Y21&gt;$Y18,AND(MID($A21,5,1)=" "))</formula>
    </cfRule>
    <cfRule type="expression" dxfId="832" priority="378">
      <formula>IF($Y21&gt;$Y18,AND(MID($A21,5,1)="C"))</formula>
    </cfRule>
    <cfRule type="expression" dxfId="831" priority="379">
      <formula>IF($Y21&gt;$Y18,AND(MID($A21,5,1)="D"))</formula>
    </cfRule>
  </conditionalFormatting>
  <conditionalFormatting sqref="A18">
    <cfRule type="expression" dxfId="830" priority="374">
      <formula>IF($Y21&gt;$Y18,AND(MID($A18,5,1)=" "))</formula>
    </cfRule>
    <cfRule type="expression" dxfId="829" priority="375">
      <formula>IF($Y21&gt;$Y18,AND(MID($A18,5,1)="C"))</formula>
    </cfRule>
    <cfRule type="expression" dxfId="828" priority="376">
      <formula>IF($Y21&gt;$Y18,AND(MID($A18,5,1)="D"))</formula>
    </cfRule>
  </conditionalFormatting>
  <conditionalFormatting sqref="A11">
    <cfRule type="expression" dxfId="827" priority="368">
      <formula>IF($Y13&gt;$Y10,AND(MID($A11,5,1)=" "))</formula>
    </cfRule>
    <cfRule type="expression" dxfId="826" priority="369">
      <formula>IF($Y13&gt;$Y10,AND(MID($A11,5,1)="C"))</formula>
    </cfRule>
    <cfRule type="expression" dxfId="825" priority="370">
      <formula>IF($Y13&gt;$Y10,AND(MID($A11,5,1)="D"))</formula>
    </cfRule>
  </conditionalFormatting>
  <conditionalFormatting sqref="A12">
    <cfRule type="expression" dxfId="824" priority="371">
      <formula>IF($Y13&gt;$Y10,AND(MID($A12,5,1)=" "))</formula>
    </cfRule>
    <cfRule type="expression" dxfId="823" priority="372">
      <formula>IF($Y13&gt;$Y10,AND(MID($A12,5,1)="C"))</formula>
    </cfRule>
    <cfRule type="expression" dxfId="822" priority="373">
      <formula>IF($Y13&gt;$Y10,AND(MID($A12,5,1)="D"))</formula>
    </cfRule>
  </conditionalFormatting>
  <conditionalFormatting sqref="A13">
    <cfRule type="expression" dxfId="821" priority="365">
      <formula>IF($Y13&gt;$Y10,AND(MID($A13,5,1)=" "))</formula>
    </cfRule>
    <cfRule type="expression" dxfId="820" priority="366">
      <formula>IF($Y13&gt;$Y10,AND(MID($A13,5,1)="C"))</formula>
    </cfRule>
    <cfRule type="expression" dxfId="819" priority="367">
      <formula>IF($Y13&gt;$Y10,AND(MID($A13,5,1)="D"))</formula>
    </cfRule>
  </conditionalFormatting>
  <conditionalFormatting sqref="A10">
    <cfRule type="expression" dxfId="818" priority="362">
      <formula>IF($Y13&gt;$Y10,AND(MID($A10,5,1)=" "))</formula>
    </cfRule>
    <cfRule type="expression" dxfId="817" priority="363">
      <formula>IF($Y13&gt;$Y10,AND(MID($A10,5,1)="C"))</formula>
    </cfRule>
    <cfRule type="expression" dxfId="816" priority="364">
      <formula>IF($Y13&gt;$Y10,AND(MID($A10,5,1)="D"))</formula>
    </cfRule>
  </conditionalFormatting>
  <conditionalFormatting sqref="A7">
    <cfRule type="expression" dxfId="815" priority="356">
      <formula>IF($Y9&gt;$Y6,AND(MID($A7,5,1)=" "))</formula>
    </cfRule>
    <cfRule type="expression" dxfId="814" priority="357">
      <formula>IF($Y9&gt;$Y6,AND(MID($A7,5,1)="C"))</formula>
    </cfRule>
    <cfRule type="expression" dxfId="813" priority="358">
      <formula>IF($Y9&gt;$Y6,AND(MID($A7,5,1)="D"))</formula>
    </cfRule>
  </conditionalFormatting>
  <conditionalFormatting sqref="A8">
    <cfRule type="expression" dxfId="812" priority="359">
      <formula>IF($Y9&gt;$Y6,AND(MID($A8,5,1)=" "))</formula>
    </cfRule>
    <cfRule type="expression" dxfId="811" priority="360">
      <formula>IF($Y9&gt;$Y6,AND(MID($A8,5,1)="C"))</formula>
    </cfRule>
    <cfRule type="expression" dxfId="810" priority="361">
      <formula>IF($Y9&gt;$Y6,AND(MID($A8,5,1)="D"))</formula>
    </cfRule>
  </conditionalFormatting>
  <conditionalFormatting sqref="A9">
    <cfRule type="expression" dxfId="809" priority="353">
      <formula>IF($Y9&gt;$Y6,AND(MID($A9,5,1)=" "))</formula>
    </cfRule>
    <cfRule type="expression" dxfId="808" priority="354">
      <formula>IF($Y9&gt;$Y6,AND(MID($A9,5,1)="C"))</formula>
    </cfRule>
    <cfRule type="expression" dxfId="807" priority="355">
      <formula>IF($Y9&gt;$Y6,AND(MID($A9,5,1)="D"))</formula>
    </cfRule>
  </conditionalFormatting>
  <conditionalFormatting sqref="A6">
    <cfRule type="expression" dxfId="806" priority="350">
      <formula>IF($Y9&gt;$Y6,AND(MID($A6,5,1)=" "))</formula>
    </cfRule>
    <cfRule type="expression" dxfId="805" priority="351">
      <formula>IF($Y9&gt;$Y6,AND(MID($A6,5,1)="C"))</formula>
    </cfRule>
    <cfRule type="expression" dxfId="804" priority="352">
      <formula>IF($Y9&gt;$Y6,AND(MID($A6,5,1)="D"))</formula>
    </cfRule>
  </conditionalFormatting>
  <conditionalFormatting sqref="A3">
    <cfRule type="expression" dxfId="803" priority="344">
      <formula>IF($Y5&gt;$Y2,AND(MID($A3,5,1)=" "))</formula>
    </cfRule>
    <cfRule type="expression" dxfId="802" priority="345">
      <formula>IF($Y5&gt;$Y2,AND(MID($A3,5,1)="C"))</formula>
    </cfRule>
    <cfRule type="expression" dxfId="801" priority="346">
      <formula>IF($Y5&gt;$Y2,AND(MID($A3,5,1)="D"))</formula>
    </cfRule>
  </conditionalFormatting>
  <conditionalFormatting sqref="A4">
    <cfRule type="expression" dxfId="800" priority="347">
      <formula>IF($Y5&gt;$Y2,AND(MID($A4,5,1)=" "))</formula>
    </cfRule>
    <cfRule type="expression" dxfId="799" priority="348">
      <formula>IF($Y5&gt;$Y2,AND(MID($A4,5,1)="C"))</formula>
    </cfRule>
    <cfRule type="expression" dxfId="798" priority="349">
      <formula>IF($Y5&gt;$Y2,AND(MID($A4,5,1)="D"))</formula>
    </cfRule>
  </conditionalFormatting>
  <conditionalFormatting sqref="A5">
    <cfRule type="expression" dxfId="797" priority="341">
      <formula>IF($Y5&gt;$Y2,AND(MID($A5,5,1)=" "))</formula>
    </cfRule>
    <cfRule type="expression" dxfId="796" priority="342">
      <formula>IF($Y5&gt;$Y2,AND(MID($A5,5,1)="C"))</formula>
    </cfRule>
    <cfRule type="expression" dxfId="795" priority="343">
      <formula>IF($Y5&gt;$Y2,AND(MID($A5,5,1)="D"))</formula>
    </cfRule>
  </conditionalFormatting>
  <conditionalFormatting sqref="A2">
    <cfRule type="expression" dxfId="794" priority="338">
      <formula>IF($Y5&gt;$Y2,AND(MID($A2,5,1)=" "))</formula>
    </cfRule>
    <cfRule type="expression" dxfId="793" priority="339">
      <formula>IF($Y5&gt;$Y2,AND(MID($A2,5,1)="C"))</formula>
    </cfRule>
    <cfRule type="expression" dxfId="792" priority="340">
      <formula>IF($Y5&gt;$Y2,AND(MID($A2,5,1)="D"))</formula>
    </cfRule>
  </conditionalFormatting>
  <conditionalFormatting sqref="M30:M39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3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conditionalFormatting sqref="B22">
    <cfRule type="expression" dxfId="791" priority="311">
      <formula>IF($Y25&gt;$Y22,AND(MID($A22,5,1)=" "))</formula>
    </cfRule>
    <cfRule type="expression" dxfId="790" priority="312">
      <formula>IF($Y25&gt;$Y22,AND(MID($A22,5,1)="C"))</formula>
    </cfRule>
    <cfRule type="expression" dxfId="789" priority="313">
      <formula>IF($Y25&gt;$Y22,AND(MID($A22,5,1)="D"))</formula>
    </cfRule>
  </conditionalFormatting>
  <conditionalFormatting sqref="E23">
    <cfRule type="expression" dxfId="788" priority="314">
      <formula>IF($Y25&gt;$Y22,AND(MID($A23,5,1)=" "))</formula>
    </cfRule>
    <cfRule type="expression" dxfId="787" priority="315">
      <formula>IF($Y25&gt;$Y22,AND(MID($A23,5,1)="C"))</formula>
    </cfRule>
    <cfRule type="expression" dxfId="786" priority="316">
      <formula>IF($Y25&gt;$Y22,AND(MID($A23,5,1)="D"))</formula>
    </cfRule>
  </conditionalFormatting>
  <conditionalFormatting sqref="B24">
    <cfRule type="expression" dxfId="785" priority="317">
      <formula>IF($Y25&gt;$Y22,AND(MID($A24,5,1)=" "))</formula>
    </cfRule>
    <cfRule type="expression" dxfId="784" priority="318">
      <formula>IF($Y25&gt;$Y22,AND(MID($A24,5,1)="C"))</formula>
    </cfRule>
    <cfRule type="expression" dxfId="783" priority="319">
      <formula>IF($Y25&gt;$Y22,AND(MID($A24,5,1)="D"))</formula>
    </cfRule>
  </conditionalFormatting>
  <conditionalFormatting sqref="E25">
    <cfRule type="expression" dxfId="782" priority="320">
      <formula>IF($Y25&gt;$Y22,AND(MID($A25,5,1)=" "))</formula>
    </cfRule>
    <cfRule type="expression" dxfId="781" priority="321">
      <formula>IF($Y25&gt;$Y22,AND(MID($A25,5,1)="C"))</formula>
    </cfRule>
    <cfRule type="expression" dxfId="780" priority="322">
      <formula>IF($Y25&gt;$Y22,AND(MID($A25,5,1)="D"))</formula>
    </cfRule>
  </conditionalFormatting>
  <conditionalFormatting sqref="C22">
    <cfRule type="expression" dxfId="779" priority="323">
      <formula>IF($Y25&gt;$Y22,AND(MID($A22,5,1)=" "))</formula>
    </cfRule>
    <cfRule type="expression" dxfId="778" priority="324">
      <formula>IF($Y25&gt;$Y22,AND(MID($A22,5,1)="C"))</formula>
    </cfRule>
    <cfRule type="expression" dxfId="777" priority="325">
      <formula>IF($Y25&gt;$Y22,AND(MID($A22,5,1)="D"))</formula>
    </cfRule>
  </conditionalFormatting>
  <conditionalFormatting sqref="D23">
    <cfRule type="expression" dxfId="776" priority="326">
      <formula>IF($Y25&gt;$Y22,AND(MID($A23,5,1)=" "))</formula>
    </cfRule>
    <cfRule type="expression" dxfId="775" priority="327">
      <formula>IF($Y25&gt;$Y22,AND(MID($A23,5,1)="C"))</formula>
    </cfRule>
    <cfRule type="expression" dxfId="774" priority="328">
      <formula>IF($Y25&gt;$Y22,AND(MID($A23,5,1)="D"))</formula>
    </cfRule>
  </conditionalFormatting>
  <conditionalFormatting sqref="D25">
    <cfRule type="expression" dxfId="773" priority="329">
      <formula>IF($Y25&gt;$Y22,AND(MID($A25,5,1)=" "))</formula>
    </cfRule>
    <cfRule type="expression" dxfId="772" priority="330">
      <formula>IF($Y25&gt;$Y22,AND(MID($A25,5,1)="C"))</formula>
    </cfRule>
    <cfRule type="expression" dxfId="771" priority="331">
      <formula>IF($Y25&gt;$Y22,AND(MID($A25,5,1)="D"))</formula>
    </cfRule>
  </conditionalFormatting>
  <conditionalFormatting sqref="C24">
    <cfRule type="expression" dxfId="770" priority="332">
      <formula>IF($Y25&gt;$Y22,AND(MID($A24,5,1)=" "))</formula>
    </cfRule>
    <cfRule type="expression" dxfId="769" priority="333">
      <formula>IF($Y25&gt;$Y22,AND(MID($A24,5,1)="C"))</formula>
    </cfRule>
    <cfRule type="expression" dxfId="768" priority="334">
      <formula>IF($Y25&gt;$Y22,AND(MID($A24,5,1)="D"))</formula>
    </cfRule>
  </conditionalFormatting>
  <conditionalFormatting sqref="A23">
    <cfRule type="expression" dxfId="767" priority="305">
      <formula>IF($Y25&gt;$Y22,AND(MID($A23,5,1)=" "))</formula>
    </cfRule>
    <cfRule type="expression" dxfId="766" priority="306">
      <formula>IF($Y25&gt;$Y22,AND(MID($A23,5,1)="C"))</formula>
    </cfRule>
    <cfRule type="expression" dxfId="765" priority="307">
      <formula>IF($Y25&gt;$Y22,AND(MID($A23,5,1)="D"))</formula>
    </cfRule>
  </conditionalFormatting>
  <conditionalFormatting sqref="A24">
    <cfRule type="expression" dxfId="764" priority="308">
      <formula>IF($Y25&gt;$Y22,AND(MID($A24,5,1)=" "))</formula>
    </cfRule>
    <cfRule type="expression" dxfId="763" priority="309">
      <formula>IF($Y25&gt;$Y22,AND(MID($A24,5,1)="C"))</formula>
    </cfRule>
    <cfRule type="expression" dxfId="762" priority="310">
      <formula>IF($Y25&gt;$Y22,AND(MID($A24,5,1)="D"))</formula>
    </cfRule>
  </conditionalFormatting>
  <conditionalFormatting sqref="A25">
    <cfRule type="expression" dxfId="761" priority="302">
      <formula>IF($Y25&gt;$Y22,AND(MID($A25,5,1)=" "))</formula>
    </cfRule>
    <cfRule type="expression" dxfId="760" priority="303">
      <formula>IF($Y25&gt;$Y22,AND(MID($A25,5,1)="C"))</formula>
    </cfRule>
    <cfRule type="expression" dxfId="759" priority="304">
      <formula>IF($Y25&gt;$Y22,AND(MID($A25,5,1)="D"))</formula>
    </cfRule>
  </conditionalFormatting>
  <conditionalFormatting sqref="A22">
    <cfRule type="expression" dxfId="758" priority="299">
      <formula>IF($Y25&gt;$Y22,AND(MID($A22,5,1)=" "))</formula>
    </cfRule>
    <cfRule type="expression" dxfId="757" priority="300">
      <formula>IF($Y25&gt;$Y22,AND(MID($A22,5,1)="C"))</formula>
    </cfRule>
    <cfRule type="expression" dxfId="756" priority="301">
      <formula>IF($Y25&gt;$Y22,AND(MID($A22,5,1)="D"))</formula>
    </cfRule>
  </conditionalFormatting>
  <conditionalFormatting sqref="Y17">
    <cfRule type="cellIs" dxfId="755" priority="292" operator="equal">
      <formula>0</formula>
    </cfRule>
    <cfRule type="expression" dxfId="754" priority="296">
      <formula>IF($Y17&gt;$Y14,AND(MID($A17,5,1)=" "))</formula>
    </cfRule>
    <cfRule type="expression" dxfId="753" priority="297">
      <formula>IF($Y17&gt;$Y14,AND(MID($A17,5,1)="C"))</formula>
    </cfRule>
    <cfRule type="expression" dxfId="752" priority="298">
      <formula>IF($Y17&gt;$Y14,AND(MID($A17,5,1)="D"))</formula>
    </cfRule>
  </conditionalFormatting>
  <conditionalFormatting sqref="Y21">
    <cfRule type="cellIs" dxfId="751" priority="291" operator="equal">
      <formula>0</formula>
    </cfRule>
  </conditionalFormatting>
  <conditionalFormatting sqref="Y25">
    <cfRule type="cellIs" dxfId="750" priority="290" operator="equal">
      <formula>0</formula>
    </cfRule>
  </conditionalFormatting>
  <conditionalFormatting sqref="D61">
    <cfRule type="expression" dxfId="749" priority="289">
      <formula>E61&gt;B61</formula>
    </cfRule>
  </conditionalFormatting>
  <conditionalFormatting sqref="C61">
    <cfRule type="expression" dxfId="748" priority="288">
      <formula>B61&gt;E61</formula>
    </cfRule>
  </conditionalFormatting>
  <conditionalFormatting sqref="D60">
    <cfRule type="expression" dxfId="747" priority="287">
      <formula>E60&gt;B60</formula>
    </cfRule>
  </conditionalFormatting>
  <conditionalFormatting sqref="C60">
    <cfRule type="expression" dxfId="746" priority="286">
      <formula>B60&gt;E60</formula>
    </cfRule>
  </conditionalFormatting>
  <conditionalFormatting sqref="B61">
    <cfRule type="cellIs" dxfId="745" priority="285" operator="greaterThan">
      <formula>E61</formula>
    </cfRule>
  </conditionalFormatting>
  <conditionalFormatting sqref="B60">
    <cfRule type="cellIs" dxfId="744" priority="284" operator="greaterThan">
      <formula>E60</formula>
    </cfRule>
  </conditionalFormatting>
  <conditionalFormatting sqref="E61">
    <cfRule type="cellIs" dxfId="743" priority="283" operator="greaterThan">
      <formula>B61</formula>
    </cfRule>
  </conditionalFormatting>
  <conditionalFormatting sqref="E60">
    <cfRule type="cellIs" dxfId="742" priority="282" operator="greaterThan">
      <formula>B60</formula>
    </cfRule>
  </conditionalFormatting>
  <conditionalFormatting sqref="Z40:Z44 Z47:Z49">
    <cfRule type="cellIs" dxfId="741" priority="281" operator="equal">
      <formula>0</formula>
    </cfRule>
  </conditionalFormatting>
  <conditionalFormatting sqref="Y40:Y44 Y47:Y49">
    <cfRule type="cellIs" dxfId="740" priority="280" operator="equal">
      <formula>0</formula>
    </cfRule>
  </conditionalFormatting>
  <conditionalFormatting sqref="Y45:Z45">
    <cfRule type="cellIs" dxfId="739" priority="279" operator="equal">
      <formula>0</formula>
    </cfRule>
  </conditionalFormatting>
  <conditionalFormatting sqref="Y46:Z46">
    <cfRule type="cellIs" dxfId="738" priority="278" operator="equal">
      <formula>0</formula>
    </cfRule>
  </conditionalFormatting>
  <conditionalFormatting sqref="Z50:Z54 Z57:Z59">
    <cfRule type="cellIs" dxfId="737" priority="277" operator="equal">
      <formula>0</formula>
    </cfRule>
  </conditionalFormatting>
  <conditionalFormatting sqref="Y50:Y54 Y57:Y59">
    <cfRule type="cellIs" dxfId="736" priority="276" operator="equal">
      <formula>0</formula>
    </cfRule>
  </conditionalFormatting>
  <conditionalFormatting sqref="Y55:Z55">
    <cfRule type="cellIs" dxfId="735" priority="275" operator="equal">
      <formula>0</formula>
    </cfRule>
  </conditionalFormatting>
  <conditionalFormatting sqref="Y56:Z56">
    <cfRule type="cellIs" dxfId="734" priority="274" operator="equal">
      <formula>0</formula>
    </cfRule>
  </conditionalFormatting>
  <conditionalFormatting sqref="A27">
    <cfRule type="expression" dxfId="733" priority="269">
      <formula>X27&lt;&gt;0</formula>
    </cfRule>
    <cfRule type="expression" dxfId="732" priority="270">
      <formula>IF($V27&lt;&gt;0,AND(MID($A27,5,1)=" "))</formula>
    </cfRule>
    <cfRule type="expression" dxfId="731" priority="271">
      <formula>IF($V27&lt;&gt;0,AND(MID($A27,5,1)="C"))</formula>
    </cfRule>
    <cfRule type="expression" dxfId="730" priority="272">
      <formula>IF($V27&lt;&gt;0,AND(MID($A27,5,1)="D"))</formula>
    </cfRule>
  </conditionalFormatting>
  <conditionalFormatting sqref="A28">
    <cfRule type="expression" dxfId="729" priority="265">
      <formula>X28&lt;&gt;0</formula>
    </cfRule>
    <cfRule type="expression" dxfId="728" priority="266">
      <formula>IF($V28&lt;&gt;0,AND(MID($A28,5,1)=" "))</formula>
    </cfRule>
    <cfRule type="expression" dxfId="727" priority="267">
      <formula>IF($V28&lt;&gt;0,AND(MID($A28,5,1)="C"))</formula>
    </cfRule>
    <cfRule type="expression" dxfId="726" priority="268">
      <formula>IF($V28&lt;&gt;0,AND(MID($A28,5,1)="D"))</formula>
    </cfRule>
  </conditionalFormatting>
  <conditionalFormatting sqref="A29">
    <cfRule type="expression" dxfId="725" priority="261">
      <formula>X29&lt;&gt;0</formula>
    </cfRule>
    <cfRule type="expression" dxfId="724" priority="262">
      <formula>IF($V29&lt;&gt;0,AND(MID($A29,5,1)=" "))</formula>
    </cfRule>
    <cfRule type="expression" dxfId="723" priority="263">
      <formula>IF($V29&lt;&gt;0,AND(MID($A29,5,1)="C"))</formula>
    </cfRule>
    <cfRule type="expression" dxfId="722" priority="264">
      <formula>IF($V29&lt;&gt;0,AND(MID($A29,5,1)="D"))</formula>
    </cfRule>
  </conditionalFormatting>
  <conditionalFormatting sqref="Y70">
    <cfRule type="cellIs" dxfId="721" priority="259" operator="lessThanOrEqual">
      <formula>0</formula>
    </cfRule>
    <cfRule type="expression" dxfId="720" priority="260">
      <formula>(C71)-(D70)&gt;(C71/100)*(1+$AD$1*$AE$1)</formula>
    </cfRule>
  </conditionalFormatting>
  <conditionalFormatting sqref="Y76">
    <cfRule type="cellIs" dxfId="719" priority="257" operator="lessThanOrEqual">
      <formula>0</formula>
    </cfRule>
    <cfRule type="expression" dxfId="718" priority="258">
      <formula>(C77)-(D76)&gt;(C77/100)*(1+$AD$1*$AE$1)</formula>
    </cfRule>
  </conditionalFormatting>
  <conditionalFormatting sqref="Y82">
    <cfRule type="cellIs" dxfId="717" priority="255" operator="lessThanOrEqual">
      <formula>0</formula>
    </cfRule>
    <cfRule type="expression" dxfId="716" priority="256">
      <formula>(C83)-(D82)&gt;(C83/100)*(1+$AD$1*$AE$1)</formula>
    </cfRule>
  </conditionalFormatting>
  <conditionalFormatting sqref="Y88">
    <cfRule type="cellIs" dxfId="715" priority="253" operator="lessThanOrEqual">
      <formula>0</formula>
    </cfRule>
    <cfRule type="expression" dxfId="714" priority="254">
      <formula>(C89)-(D88)&gt;(C89/100)*(1+$AD$1*$AE$1)</formula>
    </cfRule>
  </conditionalFormatting>
  <conditionalFormatting sqref="Y94">
    <cfRule type="cellIs" dxfId="713" priority="251" operator="lessThanOrEqual">
      <formula>0</formula>
    </cfRule>
    <cfRule type="expression" dxfId="712" priority="252">
      <formula>(C95)-(D94)&gt;(C95/100)*(1+$AD$1*$AE$1)</formula>
    </cfRule>
  </conditionalFormatting>
  <conditionalFormatting sqref="Y100">
    <cfRule type="cellIs" dxfId="711" priority="249" operator="lessThanOrEqual">
      <formula>0</formula>
    </cfRule>
    <cfRule type="expression" dxfId="710" priority="250">
      <formula>(C101)-(D100)&gt;(C101/100)*(1+$AD$1*$AE$1)</formula>
    </cfRule>
  </conditionalFormatting>
  <conditionalFormatting sqref="Y106">
    <cfRule type="cellIs" dxfId="709" priority="247" operator="lessThanOrEqual">
      <formula>0</formula>
    </cfRule>
    <cfRule type="expression" dxfId="708" priority="248">
      <formula>(C107)-(D106)&gt;(C107/100)*(1+$AD$1*$AE$1)</formula>
    </cfRule>
  </conditionalFormatting>
  <conditionalFormatting sqref="Y112">
    <cfRule type="cellIs" dxfId="707" priority="245" operator="lessThanOrEqual">
      <formula>0</formula>
    </cfRule>
    <cfRule type="expression" dxfId="706" priority="246">
      <formula>(C113)-(D112)&gt;(C113/100)*(1+$AD$1*$AE$1)</formula>
    </cfRule>
  </conditionalFormatting>
  <conditionalFormatting sqref="Y118">
    <cfRule type="cellIs" dxfId="705" priority="243" operator="lessThanOrEqual">
      <formula>0</formula>
    </cfRule>
    <cfRule type="expression" dxfId="704" priority="244">
      <formula>(C119)-(D118)&gt;(C119/100)*(1+$AD$1*$AE$1)</formula>
    </cfRule>
  </conditionalFormatting>
  <conditionalFormatting sqref="Y124">
    <cfRule type="cellIs" dxfId="703" priority="241" operator="lessThanOrEqual">
      <formula>0</formula>
    </cfRule>
    <cfRule type="expression" dxfId="702" priority="242">
      <formula>(C125)-(D124)&gt;(C125/100)*(1+$AD$1*$AE$1)</formula>
    </cfRule>
  </conditionalFormatting>
  <conditionalFormatting sqref="Y130">
    <cfRule type="cellIs" dxfId="701" priority="239" operator="lessThanOrEqual">
      <formula>0</formula>
    </cfRule>
    <cfRule type="expression" dxfId="700" priority="240">
      <formula>(C131)-(D130)&gt;(C131/100)*(1+$AD$1*$AE$1)</formula>
    </cfRule>
  </conditionalFormatting>
  <conditionalFormatting sqref="Y136">
    <cfRule type="cellIs" dxfId="699" priority="237" operator="lessThanOrEqual">
      <formula>0</formula>
    </cfRule>
    <cfRule type="expression" dxfId="698" priority="238">
      <formula>(C137)-(D136)&gt;(C137/100)*(1+$AD$1*$AE$1)</formula>
    </cfRule>
  </conditionalFormatting>
  <conditionalFormatting sqref="Y142">
    <cfRule type="cellIs" dxfId="697" priority="235" operator="lessThanOrEqual">
      <formula>0</formula>
    </cfRule>
    <cfRule type="expression" dxfId="696" priority="236">
      <formula>(C143)-(D142)&gt;(C143/100)*(1+$AD$1*$AE$1)</formula>
    </cfRule>
  </conditionalFormatting>
  <conditionalFormatting sqref="Y148">
    <cfRule type="cellIs" dxfId="695" priority="233" operator="lessThanOrEqual">
      <formula>0</formula>
    </cfRule>
    <cfRule type="expression" dxfId="694" priority="234">
      <formula>(C149)-(D148)&gt;(C149/100)*(1+$AD$1*$AE$1)</formula>
    </cfRule>
  </conditionalFormatting>
  <conditionalFormatting sqref="Y154">
    <cfRule type="cellIs" dxfId="693" priority="231" operator="lessThanOrEqual">
      <formula>0</formula>
    </cfRule>
    <cfRule type="expression" dxfId="692" priority="232">
      <formula>(C155)-(D154)&gt;(C155/100)*(1+$AD$1*$AE$1)</formula>
    </cfRule>
  </conditionalFormatting>
  <conditionalFormatting sqref="Y160">
    <cfRule type="cellIs" dxfId="691" priority="229" operator="lessThanOrEqual">
      <formula>0</formula>
    </cfRule>
    <cfRule type="expression" dxfId="690" priority="230">
      <formula>(C161)-(D160)&gt;(C161/100)*(1+$AD$1*$AE$1)</formula>
    </cfRule>
  </conditionalFormatting>
  <conditionalFormatting sqref="Y166">
    <cfRule type="cellIs" dxfId="689" priority="227" operator="lessThanOrEqual">
      <formula>0</formula>
    </cfRule>
    <cfRule type="expression" dxfId="688" priority="228">
      <formula>(C167)-(D166)&gt;(C167/100)*(1+$AD$1*$AE$1)</formula>
    </cfRule>
  </conditionalFormatting>
  <conditionalFormatting sqref="Y172">
    <cfRule type="cellIs" dxfId="687" priority="225" operator="lessThanOrEqual">
      <formula>0</formula>
    </cfRule>
    <cfRule type="expression" dxfId="686" priority="226">
      <formula>(C173)-(D172)&gt;(C173/100)*(1+$AD$1*$AE$1)</formula>
    </cfRule>
  </conditionalFormatting>
  <conditionalFormatting sqref="Y178">
    <cfRule type="cellIs" dxfId="685" priority="223" operator="lessThanOrEqual">
      <formula>0</formula>
    </cfRule>
    <cfRule type="expression" dxfId="684" priority="224">
      <formula>(C179)-(D178)&gt;(C179/100)*(1+$AD$1*$AE$1)</formula>
    </cfRule>
  </conditionalFormatting>
  <conditionalFormatting sqref="Y184">
    <cfRule type="cellIs" dxfId="683" priority="221" operator="lessThanOrEqual">
      <formula>0</formula>
    </cfRule>
    <cfRule type="expression" dxfId="682" priority="222">
      <formula>(C185)-(D184)&gt;(C185/100)*(1+$AD$1*$AE$1)</formula>
    </cfRule>
  </conditionalFormatting>
  <conditionalFormatting sqref="Y190">
    <cfRule type="cellIs" dxfId="681" priority="219" operator="lessThanOrEqual">
      <formula>0</formula>
    </cfRule>
    <cfRule type="expression" dxfId="680" priority="220">
      <formula>(C191)-(D190)&gt;(C191/100)*(1+$AD$1*$AE$1)</formula>
    </cfRule>
  </conditionalFormatting>
  <conditionalFormatting sqref="Y196">
    <cfRule type="cellIs" dxfId="679" priority="217" operator="lessThanOrEqual">
      <formula>0</formula>
    </cfRule>
    <cfRule type="expression" dxfId="678" priority="218">
      <formula>(C197)-(D196)&gt;(C197/100)*(1+$AD$1*$AE$1)</formula>
    </cfRule>
  </conditionalFormatting>
  <conditionalFormatting sqref="X41">
    <cfRule type="expression" dxfId="677" priority="213">
      <formula>X41*100&gt;C41</formula>
    </cfRule>
    <cfRule type="cellIs" dxfId="676" priority="214" operator="equal">
      <formula>0</formula>
    </cfRule>
  </conditionalFormatting>
  <conditionalFormatting sqref="X49">
    <cfRule type="expression" dxfId="675" priority="197">
      <formula>X49*100&lt;C49</formula>
    </cfRule>
    <cfRule type="cellIs" dxfId="674" priority="198" operator="equal">
      <formula>0</formula>
    </cfRule>
  </conditionalFormatting>
  <conditionalFormatting sqref="X50">
    <cfRule type="expression" dxfId="673" priority="195">
      <formula>X50*100&gt;C50</formula>
    </cfRule>
    <cfRule type="cellIs" dxfId="672" priority="196" operator="equal">
      <formula>0</formula>
    </cfRule>
  </conditionalFormatting>
  <conditionalFormatting sqref="X51">
    <cfRule type="expression" dxfId="671" priority="193">
      <formula>X51*100&gt;C51</formula>
    </cfRule>
    <cfRule type="cellIs" dxfId="670" priority="194" operator="equal">
      <formula>0</formula>
    </cfRule>
  </conditionalFormatting>
  <conditionalFormatting sqref="X52">
    <cfRule type="expression" dxfId="669" priority="191">
      <formula>X52*100&gt;C52</formula>
    </cfRule>
    <cfRule type="cellIs" dxfId="668" priority="192" operator="equal">
      <formula>0</formula>
    </cfRule>
  </conditionalFormatting>
  <conditionalFormatting sqref="X53">
    <cfRule type="expression" dxfId="667" priority="189">
      <formula>X53*100&gt;C53</formula>
    </cfRule>
    <cfRule type="cellIs" dxfId="666" priority="190" operator="equal">
      <formula>0</formula>
    </cfRule>
  </conditionalFormatting>
  <conditionalFormatting sqref="X54">
    <cfRule type="expression" dxfId="665" priority="187">
      <formula>X54*100&gt;C54</formula>
    </cfRule>
    <cfRule type="cellIs" dxfId="664" priority="188" operator="equal">
      <formula>0</formula>
    </cfRule>
  </conditionalFormatting>
  <conditionalFormatting sqref="X55">
    <cfRule type="expression" dxfId="663" priority="185">
      <formula>X55*100&gt;C55</formula>
    </cfRule>
    <cfRule type="cellIs" dxfId="662" priority="186" operator="equal">
      <formula>0</formula>
    </cfRule>
  </conditionalFormatting>
  <conditionalFormatting sqref="X56">
    <cfRule type="expression" dxfId="661" priority="183">
      <formula>X56*100&gt;C56</formula>
    </cfRule>
    <cfRule type="cellIs" dxfId="660" priority="184" operator="equal">
      <formula>0</formula>
    </cfRule>
  </conditionalFormatting>
  <conditionalFormatting sqref="X57">
    <cfRule type="expression" dxfId="659" priority="181">
      <formula>X57*100&gt;C57</formula>
    </cfRule>
    <cfRule type="cellIs" dxfId="658" priority="182" operator="equal">
      <formula>0</formula>
    </cfRule>
  </conditionalFormatting>
  <conditionalFormatting sqref="X58">
    <cfRule type="expression" dxfId="657" priority="179">
      <formula>X58*100&gt;C58</formula>
    </cfRule>
    <cfRule type="cellIs" dxfId="656" priority="180" operator="equal">
      <formula>0</formula>
    </cfRule>
  </conditionalFormatting>
  <conditionalFormatting sqref="X59">
    <cfRule type="expression" dxfId="655" priority="177">
      <formula>X59*100&gt;C59</formula>
    </cfRule>
    <cfRule type="cellIs" dxfId="654" priority="178" operator="equal">
      <formula>0</formula>
    </cfRule>
  </conditionalFormatting>
  <conditionalFormatting sqref="X10">
    <cfRule type="expression" dxfId="653" priority="175">
      <formula>X10*100&gt;C10</formula>
    </cfRule>
    <cfRule type="cellIs" dxfId="652" priority="176" operator="equal">
      <formula>0</formula>
    </cfRule>
  </conditionalFormatting>
  <conditionalFormatting sqref="X11">
    <cfRule type="expression" dxfId="651" priority="173">
      <formula>X11*100&gt;C11</formula>
    </cfRule>
    <cfRule type="cellIs" dxfId="650" priority="174" operator="equal">
      <formula>0</formula>
    </cfRule>
  </conditionalFormatting>
  <conditionalFormatting sqref="X12">
    <cfRule type="expression" dxfId="649" priority="171">
      <formula>X12*100&gt;C12</formula>
    </cfRule>
    <cfRule type="cellIs" dxfId="648" priority="172" operator="equal">
      <formula>0</formula>
    </cfRule>
  </conditionalFormatting>
  <conditionalFormatting sqref="X13">
    <cfRule type="expression" dxfId="647" priority="169">
      <formula>X13*100&gt;C13</formula>
    </cfRule>
    <cfRule type="cellIs" dxfId="646" priority="170" operator="equal">
      <formula>0</formula>
    </cfRule>
  </conditionalFormatting>
  <conditionalFormatting sqref="X14">
    <cfRule type="expression" dxfId="645" priority="167">
      <formula>X14*100&gt;C14</formula>
    </cfRule>
    <cfRule type="cellIs" dxfId="644" priority="168" operator="equal">
      <formula>0</formula>
    </cfRule>
  </conditionalFormatting>
  <conditionalFormatting sqref="X15">
    <cfRule type="expression" dxfId="643" priority="165">
      <formula>X15*100&gt;C15</formula>
    </cfRule>
    <cfRule type="cellIs" dxfId="642" priority="166" operator="equal">
      <formula>0</formula>
    </cfRule>
  </conditionalFormatting>
  <conditionalFormatting sqref="X16">
    <cfRule type="expression" dxfId="641" priority="163">
      <formula>X16*100&gt;C16</formula>
    </cfRule>
    <cfRule type="cellIs" dxfId="640" priority="164" operator="equal">
      <formula>0</formula>
    </cfRule>
  </conditionalFormatting>
  <conditionalFormatting sqref="X17">
    <cfRule type="expression" dxfId="639" priority="161">
      <formula>X17*100&gt;C17</formula>
    </cfRule>
    <cfRule type="cellIs" dxfId="638" priority="162" operator="equal">
      <formula>0</formula>
    </cfRule>
  </conditionalFormatting>
  <conditionalFormatting sqref="X18">
    <cfRule type="expression" dxfId="637" priority="159">
      <formula>X18*100&gt;C18</formula>
    </cfRule>
    <cfRule type="cellIs" dxfId="636" priority="160" operator="equal">
      <formula>0</formula>
    </cfRule>
  </conditionalFormatting>
  <conditionalFormatting sqref="X19">
    <cfRule type="expression" dxfId="635" priority="157">
      <formula>X19*100&gt;C19</formula>
    </cfRule>
    <cfRule type="cellIs" dxfId="634" priority="158" operator="equal">
      <formula>0</formula>
    </cfRule>
  </conditionalFormatting>
  <conditionalFormatting sqref="X20">
    <cfRule type="expression" dxfId="633" priority="155">
      <formula>X20*100&gt;C20</formula>
    </cfRule>
    <cfRule type="cellIs" dxfId="632" priority="156" operator="equal">
      <formula>0</formula>
    </cfRule>
  </conditionalFormatting>
  <conditionalFormatting sqref="X21">
    <cfRule type="expression" dxfId="631" priority="153">
      <formula>X21*100&gt;C21</formula>
    </cfRule>
    <cfRule type="cellIs" dxfId="630" priority="154" operator="equal">
      <formula>0</formula>
    </cfRule>
  </conditionalFormatting>
  <conditionalFormatting sqref="X22">
    <cfRule type="expression" dxfId="629" priority="151">
      <formula>X22*100&gt;C22</formula>
    </cfRule>
    <cfRule type="cellIs" dxfId="628" priority="152" operator="equal">
      <formula>0</formula>
    </cfRule>
  </conditionalFormatting>
  <conditionalFormatting sqref="X23">
    <cfRule type="expression" dxfId="627" priority="149">
      <formula>X23*100&gt;C23</formula>
    </cfRule>
    <cfRule type="cellIs" dxfId="626" priority="150" operator="equal">
      <formula>0</formula>
    </cfRule>
  </conditionalFormatting>
  <conditionalFormatting sqref="X24">
    <cfRule type="expression" dxfId="625" priority="147">
      <formula>X24*100&gt;C24</formula>
    </cfRule>
    <cfRule type="cellIs" dxfId="624" priority="148" operator="equal">
      <formula>0</formula>
    </cfRule>
  </conditionalFormatting>
  <conditionalFormatting sqref="X25">
    <cfRule type="expression" dxfId="623" priority="145">
      <formula>X25*100&gt;C25</formula>
    </cfRule>
    <cfRule type="cellIs" dxfId="622" priority="146" operator="equal">
      <formula>0</formula>
    </cfRule>
  </conditionalFormatting>
  <conditionalFormatting sqref="F76">
    <cfRule type="expression" dxfId="621" priority="136">
      <formula>IF($V76&lt;&gt;0,AND(MID($A76,5,1)=" "))</formula>
    </cfRule>
    <cfRule type="expression" dxfId="620" priority="137">
      <formula>IF($V76&lt;&gt;0,AND(MID($A76,5,1)="C"))</formula>
    </cfRule>
    <cfRule type="expression" dxfId="619" priority="138">
      <formula>IF($V76&lt;&gt;0,AND(MID($A76,5,1)="D"))</formula>
    </cfRule>
  </conditionalFormatting>
  <conditionalFormatting sqref="F77">
    <cfRule type="expression" dxfId="618" priority="133">
      <formula>IF($V77&lt;&gt;0,AND(MID($A77,5,1)=" "))</formula>
    </cfRule>
    <cfRule type="expression" dxfId="617" priority="134">
      <formula>IF($V77&lt;&gt;0,AND(MID($A77,5,1)="C"))</formula>
    </cfRule>
    <cfRule type="expression" dxfId="616" priority="135">
      <formula>IF($V77&lt;&gt;0,AND(MID($A77,5,1)="D"))</formula>
    </cfRule>
  </conditionalFormatting>
  <conditionalFormatting sqref="F82">
    <cfRule type="expression" dxfId="615" priority="130">
      <formula>IF($V82&lt;&gt;0,AND(MID($A82,5,1)=" "))</formula>
    </cfRule>
    <cfRule type="expression" dxfId="614" priority="131">
      <formula>IF($V82&lt;&gt;0,AND(MID($A82,5,1)="C"))</formula>
    </cfRule>
    <cfRule type="expression" dxfId="613" priority="132">
      <formula>IF($V82&lt;&gt;0,AND(MID($A82,5,1)="D"))</formula>
    </cfRule>
  </conditionalFormatting>
  <conditionalFormatting sqref="F83">
    <cfRule type="expression" dxfId="612" priority="127">
      <formula>IF($V83&lt;&gt;0,AND(MID($A83,5,1)=" "))</formula>
    </cfRule>
    <cfRule type="expression" dxfId="611" priority="128">
      <formula>IF($V83&lt;&gt;0,AND(MID($A83,5,1)="C"))</formula>
    </cfRule>
    <cfRule type="expression" dxfId="610" priority="129">
      <formula>IF($V83&lt;&gt;0,AND(MID($A83,5,1)="D"))</formula>
    </cfRule>
  </conditionalFormatting>
  <conditionalFormatting sqref="F88">
    <cfRule type="expression" dxfId="609" priority="124">
      <formula>IF($V88&lt;&gt;0,AND(MID($A88,5,1)=" "))</formula>
    </cfRule>
    <cfRule type="expression" dxfId="608" priority="125">
      <formula>IF($V88&lt;&gt;0,AND(MID($A88,5,1)="C"))</formula>
    </cfRule>
    <cfRule type="expression" dxfId="607" priority="126">
      <formula>IF($V88&lt;&gt;0,AND(MID($A88,5,1)="D"))</formula>
    </cfRule>
  </conditionalFormatting>
  <conditionalFormatting sqref="F89">
    <cfRule type="expression" dxfId="606" priority="121">
      <formula>IF($V89&lt;&gt;0,AND(MID($A89,5,1)=" "))</formula>
    </cfRule>
    <cfRule type="expression" dxfId="605" priority="122">
      <formula>IF($V89&lt;&gt;0,AND(MID($A89,5,1)="C"))</formula>
    </cfRule>
    <cfRule type="expression" dxfId="604" priority="123">
      <formula>IF($V89&lt;&gt;0,AND(MID($A89,5,1)="D"))</formula>
    </cfRule>
  </conditionalFormatting>
  <conditionalFormatting sqref="F94">
    <cfRule type="expression" dxfId="603" priority="118">
      <formula>IF($V94&lt;&gt;0,AND(MID($A94,5,1)=" "))</formula>
    </cfRule>
    <cfRule type="expression" dxfId="602" priority="119">
      <formula>IF($V94&lt;&gt;0,AND(MID($A94,5,1)="C"))</formula>
    </cfRule>
    <cfRule type="expression" dxfId="601" priority="120">
      <formula>IF($V94&lt;&gt;0,AND(MID($A94,5,1)="D"))</formula>
    </cfRule>
  </conditionalFormatting>
  <conditionalFormatting sqref="F95">
    <cfRule type="expression" dxfId="600" priority="115">
      <formula>IF($V95&lt;&gt;0,AND(MID($A95,5,1)=" "))</formula>
    </cfRule>
    <cfRule type="expression" dxfId="599" priority="116">
      <formula>IF($V95&lt;&gt;0,AND(MID($A95,5,1)="C"))</formula>
    </cfRule>
    <cfRule type="expression" dxfId="598" priority="117">
      <formula>IF($V95&lt;&gt;0,AND(MID($A95,5,1)="D"))</formula>
    </cfRule>
  </conditionalFormatting>
  <conditionalFormatting sqref="F100">
    <cfRule type="expression" dxfId="597" priority="112">
      <formula>IF($V100&lt;&gt;0,AND(MID($A100,5,1)=" "))</formula>
    </cfRule>
    <cfRule type="expression" dxfId="596" priority="113">
      <formula>IF($V100&lt;&gt;0,AND(MID($A100,5,1)="C"))</formula>
    </cfRule>
    <cfRule type="expression" dxfId="595" priority="114">
      <formula>IF($V100&lt;&gt;0,AND(MID($A100,5,1)="D"))</formula>
    </cfRule>
  </conditionalFormatting>
  <conditionalFormatting sqref="F101">
    <cfRule type="expression" dxfId="594" priority="109">
      <formula>IF($V101&lt;&gt;0,AND(MID($A101,5,1)=" "))</formula>
    </cfRule>
    <cfRule type="expression" dxfId="593" priority="110">
      <formula>IF($V101&lt;&gt;0,AND(MID($A101,5,1)="C"))</formula>
    </cfRule>
    <cfRule type="expression" dxfId="592" priority="111">
      <formula>IF($V101&lt;&gt;0,AND(MID($A101,5,1)="D"))</formula>
    </cfRule>
  </conditionalFormatting>
  <conditionalFormatting sqref="F106">
    <cfRule type="expression" dxfId="591" priority="106">
      <formula>IF($V106&lt;&gt;0,AND(MID($A106,5,1)=" "))</formula>
    </cfRule>
    <cfRule type="expression" dxfId="590" priority="107">
      <formula>IF($V106&lt;&gt;0,AND(MID($A106,5,1)="C"))</formula>
    </cfRule>
    <cfRule type="expression" dxfId="589" priority="108">
      <formula>IF($V106&lt;&gt;0,AND(MID($A106,5,1)="D"))</formula>
    </cfRule>
  </conditionalFormatting>
  <conditionalFormatting sqref="F107">
    <cfRule type="expression" dxfId="588" priority="103">
      <formula>IF($V107&lt;&gt;0,AND(MID($A107,5,1)=" "))</formula>
    </cfRule>
    <cfRule type="expression" dxfId="587" priority="104">
      <formula>IF($V107&lt;&gt;0,AND(MID($A107,5,1)="C"))</formula>
    </cfRule>
    <cfRule type="expression" dxfId="586" priority="105">
      <formula>IF($V107&lt;&gt;0,AND(MID($A107,5,1)="D"))</formula>
    </cfRule>
  </conditionalFormatting>
  <conditionalFormatting sqref="F112">
    <cfRule type="expression" dxfId="585" priority="100">
      <formula>IF($V112&lt;&gt;0,AND(MID($A112,5,1)=" "))</formula>
    </cfRule>
    <cfRule type="expression" dxfId="584" priority="101">
      <formula>IF($V112&lt;&gt;0,AND(MID($A112,5,1)="C"))</formula>
    </cfRule>
    <cfRule type="expression" dxfId="583" priority="102">
      <formula>IF($V112&lt;&gt;0,AND(MID($A112,5,1)="D"))</formula>
    </cfRule>
  </conditionalFormatting>
  <conditionalFormatting sqref="F113">
    <cfRule type="expression" dxfId="582" priority="97">
      <formula>IF($V113&lt;&gt;0,AND(MID($A113,5,1)=" "))</formula>
    </cfRule>
    <cfRule type="expression" dxfId="581" priority="98">
      <formula>IF($V113&lt;&gt;0,AND(MID($A113,5,1)="C"))</formula>
    </cfRule>
    <cfRule type="expression" dxfId="580" priority="99">
      <formula>IF($V113&lt;&gt;0,AND(MID($A113,5,1)="D"))</formula>
    </cfRule>
  </conditionalFormatting>
  <conditionalFormatting sqref="F118">
    <cfRule type="expression" dxfId="579" priority="94">
      <formula>IF($V118&lt;&gt;0,AND(MID($A118,5,1)=" "))</formula>
    </cfRule>
    <cfRule type="expression" dxfId="578" priority="95">
      <formula>IF($V118&lt;&gt;0,AND(MID($A118,5,1)="C"))</formula>
    </cfRule>
    <cfRule type="expression" dxfId="577" priority="96">
      <formula>IF($V118&lt;&gt;0,AND(MID($A118,5,1)="D"))</formula>
    </cfRule>
  </conditionalFormatting>
  <conditionalFormatting sqref="F119">
    <cfRule type="expression" dxfId="576" priority="91">
      <formula>IF($V119&lt;&gt;0,AND(MID($A119,5,1)=" "))</formula>
    </cfRule>
    <cfRule type="expression" dxfId="575" priority="92">
      <formula>IF($V119&lt;&gt;0,AND(MID($A119,5,1)="C"))</formula>
    </cfRule>
    <cfRule type="expression" dxfId="574" priority="93">
      <formula>IF($V119&lt;&gt;0,AND(MID($A119,5,1)="D"))</formula>
    </cfRule>
  </conditionalFormatting>
  <conditionalFormatting sqref="F124">
    <cfRule type="expression" dxfId="573" priority="88">
      <formula>IF($V124&lt;&gt;0,AND(MID($A124,5,1)=" "))</formula>
    </cfRule>
    <cfRule type="expression" dxfId="572" priority="89">
      <formula>IF($V124&lt;&gt;0,AND(MID($A124,5,1)="C"))</formula>
    </cfRule>
    <cfRule type="expression" dxfId="571" priority="90">
      <formula>IF($V124&lt;&gt;0,AND(MID($A124,5,1)="D"))</formula>
    </cfRule>
  </conditionalFormatting>
  <conditionalFormatting sqref="F125">
    <cfRule type="expression" dxfId="570" priority="85">
      <formula>IF($V125&lt;&gt;0,AND(MID($A125,5,1)=" "))</formula>
    </cfRule>
    <cfRule type="expression" dxfId="569" priority="86">
      <formula>IF($V125&lt;&gt;0,AND(MID($A125,5,1)="C"))</formula>
    </cfRule>
    <cfRule type="expression" dxfId="568" priority="87">
      <formula>IF($V125&lt;&gt;0,AND(MID($A125,5,1)="D"))</formula>
    </cfRule>
  </conditionalFormatting>
  <conditionalFormatting sqref="F130">
    <cfRule type="expression" dxfId="567" priority="82">
      <formula>IF($V130&lt;&gt;0,AND(MID($A130,5,1)=" "))</formula>
    </cfRule>
    <cfRule type="expression" dxfId="566" priority="83">
      <formula>IF($V130&lt;&gt;0,AND(MID($A130,5,1)="C"))</formula>
    </cfRule>
    <cfRule type="expression" dxfId="565" priority="84">
      <formula>IF($V130&lt;&gt;0,AND(MID($A130,5,1)="D"))</formula>
    </cfRule>
  </conditionalFormatting>
  <conditionalFormatting sqref="F131">
    <cfRule type="expression" dxfId="564" priority="79">
      <formula>IF($V131&lt;&gt;0,AND(MID($A131,5,1)=" "))</formula>
    </cfRule>
    <cfRule type="expression" dxfId="563" priority="80">
      <formula>IF($V131&lt;&gt;0,AND(MID($A131,5,1)="C"))</formula>
    </cfRule>
    <cfRule type="expression" dxfId="562" priority="81">
      <formula>IF($V131&lt;&gt;0,AND(MID($A131,5,1)="D"))</formula>
    </cfRule>
  </conditionalFormatting>
  <conditionalFormatting sqref="F136">
    <cfRule type="expression" dxfId="561" priority="76">
      <formula>IF($V136&lt;&gt;0,AND(MID($A136,5,1)=" "))</formula>
    </cfRule>
    <cfRule type="expression" dxfId="560" priority="77">
      <formula>IF($V136&lt;&gt;0,AND(MID($A136,5,1)="C"))</formula>
    </cfRule>
    <cfRule type="expression" dxfId="559" priority="78">
      <formula>IF($V136&lt;&gt;0,AND(MID($A136,5,1)="D"))</formula>
    </cfRule>
  </conditionalFormatting>
  <conditionalFormatting sqref="F137">
    <cfRule type="expression" dxfId="558" priority="73">
      <formula>IF($V137&lt;&gt;0,AND(MID($A137,5,1)=" "))</formula>
    </cfRule>
    <cfRule type="expression" dxfId="557" priority="74">
      <formula>IF($V137&lt;&gt;0,AND(MID($A137,5,1)="C"))</formula>
    </cfRule>
    <cfRule type="expression" dxfId="556" priority="75">
      <formula>IF($V137&lt;&gt;0,AND(MID($A137,5,1)="D"))</formula>
    </cfRule>
  </conditionalFormatting>
  <conditionalFormatting sqref="F142">
    <cfRule type="expression" dxfId="555" priority="70">
      <formula>IF($V142&lt;&gt;0,AND(MID($A142,5,1)=" "))</formula>
    </cfRule>
    <cfRule type="expression" dxfId="554" priority="71">
      <formula>IF($V142&lt;&gt;0,AND(MID($A142,5,1)="C"))</formula>
    </cfRule>
    <cfRule type="expression" dxfId="553" priority="72">
      <formula>IF($V142&lt;&gt;0,AND(MID($A142,5,1)="D"))</formula>
    </cfRule>
  </conditionalFormatting>
  <conditionalFormatting sqref="F143">
    <cfRule type="expression" dxfId="552" priority="67">
      <formula>IF($V143&lt;&gt;0,AND(MID($A143,5,1)=" "))</formula>
    </cfRule>
    <cfRule type="expression" dxfId="551" priority="68">
      <formula>IF($V143&lt;&gt;0,AND(MID($A143,5,1)="C"))</formula>
    </cfRule>
    <cfRule type="expression" dxfId="550" priority="69">
      <formula>IF($V143&lt;&gt;0,AND(MID($A143,5,1)="D"))</formula>
    </cfRule>
  </conditionalFormatting>
  <conditionalFormatting sqref="F148">
    <cfRule type="expression" dxfId="549" priority="64">
      <formula>IF($V148&lt;&gt;0,AND(MID($A148,5,1)=" "))</formula>
    </cfRule>
    <cfRule type="expression" dxfId="548" priority="65">
      <formula>IF($V148&lt;&gt;0,AND(MID($A148,5,1)="C"))</formula>
    </cfRule>
    <cfRule type="expression" dxfId="547" priority="66">
      <formula>IF($V148&lt;&gt;0,AND(MID($A148,5,1)="D"))</formula>
    </cfRule>
  </conditionalFormatting>
  <conditionalFormatting sqref="F149">
    <cfRule type="expression" dxfId="546" priority="61">
      <formula>IF($V149&lt;&gt;0,AND(MID($A149,5,1)=" "))</formula>
    </cfRule>
    <cfRule type="expression" dxfId="545" priority="62">
      <formula>IF($V149&lt;&gt;0,AND(MID($A149,5,1)="C"))</formula>
    </cfRule>
    <cfRule type="expression" dxfId="544" priority="63">
      <formula>IF($V149&lt;&gt;0,AND(MID($A149,5,1)="D"))</formula>
    </cfRule>
  </conditionalFormatting>
  <conditionalFormatting sqref="F154">
    <cfRule type="expression" dxfId="543" priority="58">
      <formula>IF($V154&lt;&gt;0,AND(MID($A154,5,1)=" "))</formula>
    </cfRule>
    <cfRule type="expression" dxfId="542" priority="59">
      <formula>IF($V154&lt;&gt;0,AND(MID($A154,5,1)="C"))</formula>
    </cfRule>
    <cfRule type="expression" dxfId="541" priority="60">
      <formula>IF($V154&lt;&gt;0,AND(MID($A154,5,1)="D"))</formula>
    </cfRule>
  </conditionalFormatting>
  <conditionalFormatting sqref="F155">
    <cfRule type="expression" dxfId="540" priority="55">
      <formula>IF($V155&lt;&gt;0,AND(MID($A155,5,1)=" "))</formula>
    </cfRule>
    <cfRule type="expression" dxfId="539" priority="56">
      <formula>IF($V155&lt;&gt;0,AND(MID($A155,5,1)="C"))</formula>
    </cfRule>
    <cfRule type="expression" dxfId="538" priority="57">
      <formula>IF($V155&lt;&gt;0,AND(MID($A155,5,1)="D"))</formula>
    </cfRule>
  </conditionalFormatting>
  <conditionalFormatting sqref="F166">
    <cfRule type="expression" dxfId="537" priority="52">
      <formula>IF($V166&lt;&gt;0,AND(MID($A166,5,1)=" "))</formula>
    </cfRule>
    <cfRule type="expression" dxfId="536" priority="53">
      <formula>IF($V166&lt;&gt;0,AND(MID($A166,5,1)="C"))</formula>
    </cfRule>
    <cfRule type="expression" dxfId="535" priority="54">
      <formula>IF($V166&lt;&gt;0,AND(MID($A166,5,1)="D"))</formula>
    </cfRule>
  </conditionalFormatting>
  <conditionalFormatting sqref="F167">
    <cfRule type="expression" dxfId="534" priority="49">
      <formula>IF($V167&lt;&gt;0,AND(MID($A167,5,1)=" "))</formula>
    </cfRule>
    <cfRule type="expression" dxfId="533" priority="50">
      <formula>IF($V167&lt;&gt;0,AND(MID($A167,5,1)="C"))</formula>
    </cfRule>
    <cfRule type="expression" dxfId="532" priority="51">
      <formula>IF($V167&lt;&gt;0,AND(MID($A167,5,1)="D"))</formula>
    </cfRule>
  </conditionalFormatting>
  <conditionalFormatting sqref="F172">
    <cfRule type="expression" dxfId="531" priority="46">
      <formula>IF($V172&lt;&gt;0,AND(MID($A172,5,1)=" "))</formula>
    </cfRule>
    <cfRule type="expression" dxfId="530" priority="47">
      <formula>IF($V172&lt;&gt;0,AND(MID($A172,5,1)="C"))</formula>
    </cfRule>
    <cfRule type="expression" dxfId="529" priority="48">
      <formula>IF($V172&lt;&gt;0,AND(MID($A172,5,1)="D"))</formula>
    </cfRule>
  </conditionalFormatting>
  <conditionalFormatting sqref="F173">
    <cfRule type="expression" dxfId="528" priority="43">
      <formula>IF($V173&lt;&gt;0,AND(MID($A173,5,1)=" "))</formula>
    </cfRule>
    <cfRule type="expression" dxfId="527" priority="44">
      <formula>IF($V173&lt;&gt;0,AND(MID($A173,5,1)="C"))</formula>
    </cfRule>
    <cfRule type="expression" dxfId="526" priority="45">
      <formula>IF($V173&lt;&gt;0,AND(MID($A173,5,1)="D"))</formula>
    </cfRule>
  </conditionalFormatting>
  <conditionalFormatting sqref="F178">
    <cfRule type="expression" dxfId="525" priority="40">
      <formula>IF($V178&lt;&gt;0,AND(MID($A178,5,1)=" "))</formula>
    </cfRule>
    <cfRule type="expression" dxfId="524" priority="41">
      <formula>IF($V178&lt;&gt;0,AND(MID($A178,5,1)="C"))</formula>
    </cfRule>
    <cfRule type="expression" dxfId="523" priority="42">
      <formula>IF($V178&lt;&gt;0,AND(MID($A178,5,1)="D"))</formula>
    </cfRule>
  </conditionalFormatting>
  <conditionalFormatting sqref="F179">
    <cfRule type="expression" dxfId="522" priority="37">
      <formula>IF($V179&lt;&gt;0,AND(MID($A179,5,1)=" "))</formula>
    </cfRule>
    <cfRule type="expression" dxfId="521" priority="38">
      <formula>IF($V179&lt;&gt;0,AND(MID($A179,5,1)="C"))</formula>
    </cfRule>
    <cfRule type="expression" dxfId="520" priority="39">
      <formula>IF($V179&lt;&gt;0,AND(MID($A179,5,1)="D"))</formula>
    </cfRule>
  </conditionalFormatting>
  <conditionalFormatting sqref="F184">
    <cfRule type="expression" dxfId="519" priority="34">
      <formula>IF($V184&lt;&gt;0,AND(MID($A184,5,1)=" "))</formula>
    </cfRule>
    <cfRule type="expression" dxfId="518" priority="35">
      <formula>IF($V184&lt;&gt;0,AND(MID($A184,5,1)="C"))</formula>
    </cfRule>
    <cfRule type="expression" dxfId="517" priority="36">
      <formula>IF($V184&lt;&gt;0,AND(MID($A184,5,1)="D"))</formula>
    </cfRule>
  </conditionalFormatting>
  <conditionalFormatting sqref="F185">
    <cfRule type="expression" dxfId="516" priority="31">
      <formula>IF($V185&lt;&gt;0,AND(MID($A185,5,1)=" "))</formula>
    </cfRule>
    <cfRule type="expression" dxfId="515" priority="32">
      <formula>IF($V185&lt;&gt;0,AND(MID($A185,5,1)="C"))</formula>
    </cfRule>
    <cfRule type="expression" dxfId="514" priority="33">
      <formula>IF($V185&lt;&gt;0,AND(MID($A185,5,1)="D"))</formula>
    </cfRule>
  </conditionalFormatting>
  <conditionalFormatting sqref="F190">
    <cfRule type="expression" dxfId="513" priority="28">
      <formula>IF($V190&lt;&gt;0,AND(MID($A190,5,1)=" "))</formula>
    </cfRule>
    <cfRule type="expression" dxfId="512" priority="29">
      <formula>IF($V190&lt;&gt;0,AND(MID($A190,5,1)="C"))</formula>
    </cfRule>
    <cfRule type="expression" dxfId="511" priority="30">
      <formula>IF($V190&lt;&gt;0,AND(MID($A190,5,1)="D"))</formula>
    </cfRule>
  </conditionalFormatting>
  <conditionalFormatting sqref="F191">
    <cfRule type="expression" dxfId="510" priority="25">
      <formula>IF($V191&lt;&gt;0,AND(MID($A191,5,1)=" "))</formula>
    </cfRule>
    <cfRule type="expression" dxfId="509" priority="26">
      <formula>IF($V191&lt;&gt;0,AND(MID($A191,5,1)="C"))</formula>
    </cfRule>
    <cfRule type="expression" dxfId="508" priority="27">
      <formula>IF($V191&lt;&gt;0,AND(MID($A191,5,1)="D"))</formula>
    </cfRule>
  </conditionalFormatting>
  <conditionalFormatting sqref="F196">
    <cfRule type="expression" dxfId="507" priority="22">
      <formula>IF($V196&lt;&gt;0,AND(MID($A196,5,1)=" "))</formula>
    </cfRule>
    <cfRule type="expression" dxfId="506" priority="23">
      <formula>IF($V196&lt;&gt;0,AND(MID($A196,5,1)="C"))</formula>
    </cfRule>
    <cfRule type="expression" dxfId="505" priority="24">
      <formula>IF($V196&lt;&gt;0,AND(MID($A196,5,1)="D"))</formula>
    </cfRule>
  </conditionalFormatting>
  <conditionalFormatting sqref="F197">
    <cfRule type="expression" dxfId="504" priority="19">
      <formula>IF($V197&lt;&gt;0,AND(MID($A197,5,1)=" "))</formula>
    </cfRule>
    <cfRule type="expression" dxfId="503" priority="20">
      <formula>IF($V197&lt;&gt;0,AND(MID($A197,5,1)="C"))</formula>
    </cfRule>
    <cfRule type="expression" dxfId="502" priority="21">
      <formula>IF($V197&lt;&gt;0,AND(MID($A197,5,1)="D"))</formula>
    </cfRule>
  </conditionalFormatting>
  <conditionalFormatting sqref="F64">
    <cfRule type="expression" dxfId="501" priority="16">
      <formula>IF($V64&lt;&gt;0,AND(MID($A64,5,1)=" "))</formula>
    </cfRule>
    <cfRule type="expression" dxfId="500" priority="17">
      <formula>IF($V64&lt;&gt;0,AND(MID($A64,5,1)="C"))</formula>
    </cfRule>
    <cfRule type="expression" dxfId="499" priority="18">
      <formula>IF($V64&lt;&gt;0,AND(MID($A64,5,1)="D"))</formula>
    </cfRule>
  </conditionalFormatting>
  <conditionalFormatting sqref="F65">
    <cfRule type="expression" dxfId="498" priority="13">
      <formula>IF($V65&lt;&gt;0,AND(MID($A65,5,1)=" "))</formula>
    </cfRule>
    <cfRule type="expression" dxfId="497" priority="14">
      <formula>IF($V65&lt;&gt;0,AND(MID($A65,5,1)="C"))</formula>
    </cfRule>
    <cfRule type="expression" dxfId="496" priority="15">
      <formula>IF($V65&lt;&gt;0,AND(MID($A65,5,1)="D"))</formula>
    </cfRule>
  </conditionalFormatting>
  <conditionalFormatting sqref="F70">
    <cfRule type="expression" dxfId="495" priority="10">
      <formula>IF($V70&lt;&gt;0,AND(MID($A70,5,1)=" "))</formula>
    </cfRule>
    <cfRule type="expression" dxfId="494" priority="11">
      <formula>IF($V70&lt;&gt;0,AND(MID($A70,5,1)="C"))</formula>
    </cfRule>
    <cfRule type="expression" dxfId="493" priority="12">
      <formula>IF($V70&lt;&gt;0,AND(MID($A70,5,1)="D"))</formula>
    </cfRule>
  </conditionalFormatting>
  <conditionalFormatting sqref="F71">
    <cfRule type="expression" dxfId="492" priority="7">
      <formula>IF($V71&lt;&gt;0,AND(MID($A71,5,1)=" "))</formula>
    </cfRule>
    <cfRule type="expression" dxfId="491" priority="8">
      <formula>IF($V71&lt;&gt;0,AND(MID($A71,5,1)="C"))</formula>
    </cfRule>
    <cfRule type="expression" dxfId="490" priority="9">
      <formula>IF($V71&lt;&gt;0,AND(MID($A71,5,1)="D"))</formula>
    </cfRule>
  </conditionalFormatting>
  <conditionalFormatting sqref="X40">
    <cfRule type="expression" dxfId="489" priority="5">
      <formula>X40*100&lt;C40</formula>
    </cfRule>
    <cfRule type="cellIs" dxfId="488" priority="6" operator="equal">
      <formula>0</formula>
    </cfRule>
  </conditionalFormatting>
  <conditionalFormatting sqref="X43 X45 X47">
    <cfRule type="expression" dxfId="487" priority="3">
      <formula>X43*100&gt;C43</formula>
    </cfRule>
    <cfRule type="cellIs" dxfId="486" priority="4" operator="equal">
      <formula>0</formula>
    </cfRule>
  </conditionalFormatting>
  <conditionalFormatting sqref="X42 X44 X46 X48">
    <cfRule type="expression" dxfId="485" priority="1">
      <formula>X42*100&lt;C42</formula>
    </cfRule>
    <cfRule type="cellIs" dxfId="484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609</v>
      </c>
      <c r="W2" s="459" t="s">
        <v>355</v>
      </c>
      <c r="X2" s="460" t="s">
        <v>356</v>
      </c>
      <c r="Y2" s="459" t="s">
        <v>357</v>
      </c>
      <c r="Z2" s="247" t="s">
        <v>609</v>
      </c>
      <c r="AA2" s="470" t="s">
        <v>358</v>
      </c>
      <c r="AB2" s="469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609</v>
      </c>
      <c r="AI2" s="459" t="s">
        <v>355</v>
      </c>
      <c r="AJ2" s="460" t="s">
        <v>356</v>
      </c>
      <c r="AK2" s="459" t="s">
        <v>357</v>
      </c>
      <c r="AL2" s="247" t="s">
        <v>609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20" t="s">
        <v>401</v>
      </c>
      <c r="B3" s="203">
        <v>1</v>
      </c>
      <c r="C3" s="200">
        <v>4200</v>
      </c>
      <c r="D3" s="432">
        <v>40.5</v>
      </c>
      <c r="E3" s="433">
        <f t="shared" ref="E3:E72" si="0">+B3*D3*-100</f>
        <v>-4050</v>
      </c>
      <c r="F3" s="434">
        <f t="shared" ref="F3:F34" si="1">IF(B3&gt;0,+B3*D3*(1+($N$53+0.002)*1.21)*-100,B3*D3*(1-($N$53+0.002)*1.21)*-100)</f>
        <v>-4085.2836000000002</v>
      </c>
      <c r="G3" s="202">
        <f t="shared" ref="G3:G37" si="2">IFERROR(VLOOKUP(C3,$R$3:$AA$50,7,0),"")</f>
        <v>48.5</v>
      </c>
      <c r="H3" s="438">
        <f>IFERROR(+G3*B3*-100,0)</f>
        <v>-4850</v>
      </c>
      <c r="I3" s="439">
        <f t="shared" ref="I3:I72" si="3">+IF(G3="",0,(F3-H3))</f>
        <v>764.71639999999979</v>
      </c>
      <c r="J3" s="62"/>
      <c r="K3" s="106"/>
      <c r="L3" s="577">
        <f t="shared" ref="L3:L17" si="4">+L4*(1-$N$42)</f>
        <v>1977.0102124850546</v>
      </c>
      <c r="M3" s="461">
        <f t="shared" ref="M3:M34" si="5">ET3</f>
        <v>-4085.28</v>
      </c>
      <c r="N3" s="461">
        <f t="shared" ref="N3:N34" ca="1" si="6">GK3</f>
        <v>-4085.28</v>
      </c>
      <c r="O3" s="62"/>
      <c r="P3" s="198">
        <f>IF(R3="","-",(R3+X3)-$L$18)</f>
        <v>307.00399999999991</v>
      </c>
      <c r="Q3" s="430">
        <f t="shared" ref="Q3:Q17" si="7">SUMIFS(B$3:B$37,C$3:C$37,R3)</f>
        <v>0</v>
      </c>
      <c r="R3" s="429">
        <v>2900</v>
      </c>
      <c r="S3" s="423">
        <f ca="1">IFERROR((NORMSDIST(((LN($L$18/$R3)+($N$48+($N$46^2)/2)*$N$51)/($N$46*SQRT($N$51))))*$L$18-NORMSDIST((((LN($L$18/$R3)+($N$48+($N$46^2)/2)*$N$51)/($N$46*SQRT($N$51)))-$N$46*SQRT(($N$51))))*$R3*EXP(-$N$48*$N$51)),0)</f>
        <v>631.34754849806313</v>
      </c>
      <c r="T3" s="34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4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8">
        <f>IFERROR(VLOOKUP($U3,HomeBroker!$A$30:$F$60,2,0),0)</f>
        <v>5</v>
      </c>
      <c r="W3" s="426">
        <f>IFERROR(VLOOKUP($U3,HomeBroker!$A$30:$F$60,3,0),0)</f>
        <v>500</v>
      </c>
      <c r="X3" s="575">
        <f>IFERROR(VLOOKUP($U3,HomeBroker!$A$30:$F$60,6,0),0)</f>
        <v>529.00400000000002</v>
      </c>
      <c r="Y3" s="425">
        <f>IFERROR(VLOOKUP($U3,HomeBroker!$A$30:$F$60,4,0),0)</f>
        <v>0</v>
      </c>
      <c r="Z3" s="338">
        <f>IFERROR(VLOOKUP($U3,HomeBroker!$A$30:$F$60,5,0),0)</f>
        <v>0</v>
      </c>
      <c r="AA3" s="341">
        <f>IFERROR(VLOOKUP($U3,HomeBroker!$A$30:$N$60,13,0),0)</f>
        <v>2</v>
      </c>
      <c r="AB3" s="199">
        <f>IF(AD3="","-",(AD3-AJ3)-$L$18)</f>
        <v>-1102</v>
      </c>
      <c r="AC3" s="431">
        <f t="shared" ref="AC3:AC17" si="9">SUMIFS(B$38:B$72,C$38:C$72,AD3)</f>
        <v>0</v>
      </c>
      <c r="AD3" s="429">
        <v>2020</v>
      </c>
      <c r="AE3" s="424">
        <f ca="1">IFERROR((NORMSDIST(-(((LN($L$18/$AD3)+($N$48+($N$47^2)/2)*$N$51)/($N$47*SQRT($N$51)))-$N$47*SQRT($N$51)))*$AD3*EXP(-$N$48*$N$51)-NORMSDIST(-((LN($L$18/$AD3)+($N$48+($N$47^2)/2)*$N$51)/($N$47*SQRT($N$51))))*$L$18),0)</f>
        <v>9.8054551587750041</v>
      </c>
      <c r="AF3" s="34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GFGV2020JU - 24hs</v>
      </c>
      <c r="AG3" s="34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GFGV2020JU</v>
      </c>
      <c r="AH3" s="392">
        <f>IFERROR(VLOOKUP($AG3,HomeBroker!$A$30:$F$60,2,0),0)</f>
        <v>0</v>
      </c>
      <c r="AI3" s="426">
        <f>IFERROR(VLOOKUP($AG3,HomeBroker!$A$30:$F$60,3,0),0)</f>
        <v>0</v>
      </c>
      <c r="AJ3" s="575">
        <f>IFERROR(VLOOKUP($AG3,HomeBroker!$A$30:$F$60,6,0),0)</f>
        <v>0</v>
      </c>
      <c r="AK3" s="426">
        <f>IFERROR(VLOOKUP($AG3,HomeBroker!$A$30:$F$60,4,0),0)</f>
        <v>0</v>
      </c>
      <c r="AL3" s="392">
        <f>IFERROR(VLOOKUP($AG3,HomeBroker!$A$30:$F$60,5,0),0)</f>
        <v>0</v>
      </c>
      <c r="AM3" s="427">
        <f>IFERROR(VLOOKUP($AG3,HomeBroker!$A$30:$N$60,13,0),0)</f>
        <v>0</v>
      </c>
      <c r="AN3" s="62"/>
      <c r="AO3" s="198" t="str">
        <f>IF(OR(R3="",X3=0,AJ3=0),"-",R3+X3-AJ3-$L$18)</f>
        <v>-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1977.0102124850546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-4085.2836000000002</v>
      </c>
      <c r="ES3" s="122"/>
      <c r="ET3" s="123">
        <f t="shared" ref="ET3:ET34" si="54">ROUND($ER$3+EP3+ET36+ET70+ET103,2)</f>
        <v>-4085.28</v>
      </c>
      <c r="EU3" s="72"/>
      <c r="EV3" s="117">
        <f t="shared" ref="EV3:EV34" si="55">$L3</f>
        <v>1977.0102124850546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-4085.2836000000002</v>
      </c>
      <c r="GJ3" s="122"/>
      <c r="GK3" s="123">
        <f t="shared" ref="GK3:GK34" ca="1" si="57">ROUND($GI$3+GG3+GK36+GK70+GK103,2)</f>
        <v>-4085.28</v>
      </c>
    </row>
    <row r="4" spans="1:193" ht="15">
      <c r="A4" s="420" t="s">
        <v>401</v>
      </c>
      <c r="B4" s="203"/>
      <c r="C4" s="200"/>
      <c r="D4" s="432"/>
      <c r="E4" s="433">
        <f t="shared" si="0"/>
        <v>0</v>
      </c>
      <c r="F4" s="434">
        <f t="shared" si="1"/>
        <v>0</v>
      </c>
      <c r="G4" s="202" t="str">
        <f t="shared" si="2"/>
        <v/>
      </c>
      <c r="H4" s="438">
        <f t="shared" ref="H4:H67" si="58">IFERROR(+G4*B4*-100,0)</f>
        <v>0</v>
      </c>
      <c r="I4" s="439">
        <f t="shared" si="3"/>
        <v>0</v>
      </c>
      <c r="J4" s="62"/>
      <c r="K4" s="106"/>
      <c r="L4" s="578">
        <f t="shared" si="4"/>
        <v>2038.1548582320152</v>
      </c>
      <c r="M4" s="462">
        <f t="shared" si="5"/>
        <v>-4085.28</v>
      </c>
      <c r="N4" s="462">
        <f t="shared" ca="1" si="6"/>
        <v>-4085.28</v>
      </c>
      <c r="O4" s="62"/>
      <c r="P4" s="198">
        <f t="shared" ref="P4:P42" si="59">IF(R4="","-",(R4+X4)-$L$18)</f>
        <v>368</v>
      </c>
      <c r="Q4" s="430">
        <f t="shared" si="7"/>
        <v>0</v>
      </c>
      <c r="R4" s="429">
        <v>3000</v>
      </c>
      <c r="S4" s="42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567.47326800592373</v>
      </c>
      <c r="T4" s="34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4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8">
        <f>IFERROR(VLOOKUP($U4,HomeBroker!$A$30:$F$60,2,0),0)</f>
        <v>2</v>
      </c>
      <c r="W4" s="426">
        <f>IFERROR(VLOOKUP($U4,HomeBroker!$A$30:$F$60,3,0),0)</f>
        <v>485</v>
      </c>
      <c r="X4" s="575">
        <f>IFERROR(VLOOKUP($U4,HomeBroker!$A$30:$F$60,6,0),0)</f>
        <v>490</v>
      </c>
      <c r="Y4" s="425">
        <f>IFERROR(VLOOKUP($U4,HomeBroker!$A$30:$F$60,4,0),0)</f>
        <v>495</v>
      </c>
      <c r="Z4" s="338">
        <f>IFERROR(VLOOKUP($U4,HomeBroker!$A$30:$F$60,5,0),0)</f>
        <v>1</v>
      </c>
      <c r="AA4" s="341">
        <f>IFERROR(VLOOKUP($U4,HomeBroker!$A$30:$N$60,13,0),0)</f>
        <v>1801</v>
      </c>
      <c r="AB4" s="199">
        <f t="shared" ref="AB4:AB42" si="63">IF(AD4="","-",(AD4-AJ4)-$L$18)</f>
        <v>-1022</v>
      </c>
      <c r="AC4" s="431">
        <f t="shared" si="9"/>
        <v>0</v>
      </c>
      <c r="AD4" s="429">
        <v>2100</v>
      </c>
      <c r="AE4" s="42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13.719399327011246</v>
      </c>
      <c r="AF4" s="34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GFGV2100JU - 24hs</v>
      </c>
      <c r="AG4" s="34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GFGV2100JU</v>
      </c>
      <c r="AH4" s="392">
        <f>IFERROR(VLOOKUP($AG4,HomeBroker!$A$30:$F$60,2,0),0)</f>
        <v>0</v>
      </c>
      <c r="AI4" s="426">
        <f>IFERROR(VLOOKUP($AG4,HomeBroker!$A$30:$F$60,3,0),0)</f>
        <v>0</v>
      </c>
      <c r="AJ4" s="575">
        <f>IFERROR(VLOOKUP($AG4,HomeBroker!$A$30:$F$60,6,0),0)</f>
        <v>0</v>
      </c>
      <c r="AK4" s="426">
        <f>IFERROR(VLOOKUP($AG4,HomeBroker!$A$30:$F$60,4,0),0)</f>
        <v>0</v>
      </c>
      <c r="AL4" s="392">
        <f>IFERROR(VLOOKUP($AG4,HomeBroker!$A$30:$F$60,5,0),0)</f>
        <v>0</v>
      </c>
      <c r="AM4" s="428">
        <f>IFERROR(VLOOKUP($AG4,HomeBroker!$A$30:$N$60,13,0),0)</f>
        <v>0</v>
      </c>
      <c r="AN4" s="62"/>
      <c r="AO4" s="198" t="str">
        <f t="shared" ref="AO4:AO42" si="67">IF(OR(R4="",X4=0,AJ4=0),"-",R4+X4-AJ4-$L$18)</f>
        <v>-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2038.1548582320152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-4085.28</v>
      </c>
      <c r="EU4" s="72"/>
      <c r="EV4" s="117">
        <f t="shared" si="55"/>
        <v>2038.1548582320152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-4085.28</v>
      </c>
    </row>
    <row r="5" spans="1:193" ht="15">
      <c r="A5" s="420" t="s">
        <v>401</v>
      </c>
      <c r="B5" s="203"/>
      <c r="C5" s="200"/>
      <c r="D5" s="432"/>
      <c r="E5" s="433">
        <f t="shared" si="0"/>
        <v>0</v>
      </c>
      <c r="F5" s="434">
        <f t="shared" si="1"/>
        <v>0</v>
      </c>
      <c r="G5" s="202" t="str">
        <f t="shared" si="2"/>
        <v/>
      </c>
      <c r="H5" s="438">
        <f t="shared" si="58"/>
        <v>0</v>
      </c>
      <c r="I5" s="439">
        <f t="shared" si="3"/>
        <v>0</v>
      </c>
      <c r="J5" s="62"/>
      <c r="K5" s="106"/>
      <c r="L5" s="578">
        <f t="shared" si="4"/>
        <v>2101.190575496923</v>
      </c>
      <c r="M5" s="462">
        <f t="shared" si="5"/>
        <v>-4085.28</v>
      </c>
      <c r="N5" s="462">
        <f t="shared" ca="1" si="6"/>
        <v>-4085.28</v>
      </c>
      <c r="O5" s="62"/>
      <c r="P5" s="198">
        <f t="shared" si="59"/>
        <v>378</v>
      </c>
      <c r="Q5" s="430">
        <f t="shared" si="7"/>
        <v>0</v>
      </c>
      <c r="R5" s="429">
        <v>3150</v>
      </c>
      <c r="S5" s="423">
        <f t="shared" ca="1" si="60"/>
        <v>479.54495313026837</v>
      </c>
      <c r="T5" s="340" t="str">
        <f t="shared" si="61"/>
        <v>MERV - XMEV - GFGC3150JU - 24hs</v>
      </c>
      <c r="U5" s="340" t="str">
        <f t="shared" si="62"/>
        <v>GFGC3150JU</v>
      </c>
      <c r="V5" s="338">
        <f>IFERROR(VLOOKUP($U5,HomeBroker!$A$30:$F$60,2,0),0)</f>
        <v>3</v>
      </c>
      <c r="W5" s="426">
        <f>IFERROR(VLOOKUP($U5,HomeBroker!$A$30:$F$60,3,0),0)</f>
        <v>360</v>
      </c>
      <c r="X5" s="575">
        <f>IFERROR(VLOOKUP($U5,HomeBroker!$A$30:$F$60,6,0),0)</f>
        <v>350</v>
      </c>
      <c r="Y5" s="425">
        <f>IFERROR(VLOOKUP($U5,HomeBroker!$A$30:$F$60,4,0),0)</f>
        <v>383.66399999999999</v>
      </c>
      <c r="Z5" s="338">
        <f>IFERROR(VLOOKUP($U5,HomeBroker!$A$30:$F$60,5,0),0)</f>
        <v>2</v>
      </c>
      <c r="AA5" s="341">
        <f>IFERROR(VLOOKUP($U5,HomeBroker!$A$30:$N$60,13,0),0)</f>
        <v>119</v>
      </c>
      <c r="AB5" s="199">
        <f t="shared" si="63"/>
        <v>-922</v>
      </c>
      <c r="AC5" s="431">
        <f t="shared" si="9"/>
        <v>0</v>
      </c>
      <c r="AD5" s="429">
        <v>2200</v>
      </c>
      <c r="AE5" s="424">
        <f t="shared" ca="1" si="64"/>
        <v>20.168138810179045</v>
      </c>
      <c r="AF5" s="340" t="str">
        <f t="shared" si="65"/>
        <v>MERV - XMEV - GFGV2200JU - 24hs</v>
      </c>
      <c r="AG5" s="340" t="str">
        <f t="shared" si="66"/>
        <v>GFGV2200JU</v>
      </c>
      <c r="AH5" s="392">
        <f>IFERROR(VLOOKUP($AG5,HomeBroker!$A$30:$F$60,2,0),0)</f>
        <v>0</v>
      </c>
      <c r="AI5" s="426">
        <f>IFERROR(VLOOKUP($AG5,HomeBroker!$A$30:$F$60,3,0),0)</f>
        <v>0</v>
      </c>
      <c r="AJ5" s="575">
        <f>IFERROR(VLOOKUP($AG5,HomeBroker!$A$30:$F$60,6,0),0)</f>
        <v>0</v>
      </c>
      <c r="AK5" s="426">
        <f>IFERROR(VLOOKUP($AG5,HomeBroker!$A$30:$F$60,4,0),0)</f>
        <v>0</v>
      </c>
      <c r="AL5" s="392">
        <f>IFERROR(VLOOKUP($AG5,HomeBroker!$A$30:$F$60,5,0),0)</f>
        <v>0</v>
      </c>
      <c r="AM5" s="428">
        <f>IFERROR(VLOOKUP($AG5,HomeBroker!$A$30:$N$60,13,0),0)</f>
        <v>0</v>
      </c>
      <c r="AN5" s="62"/>
      <c r="AO5" s="198" t="str">
        <f t="shared" si="67"/>
        <v>-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2101.190575496923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-4085.28</v>
      </c>
      <c r="EU5" s="72"/>
      <c r="EV5" s="117">
        <f t="shared" si="55"/>
        <v>2101.190575496923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-4085.28</v>
      </c>
    </row>
    <row r="6" spans="1:193" ht="15">
      <c r="A6" s="420" t="s">
        <v>401</v>
      </c>
      <c r="B6" s="203"/>
      <c r="C6" s="200"/>
      <c r="D6" s="432"/>
      <c r="E6" s="433">
        <f t="shared" si="0"/>
        <v>0</v>
      </c>
      <c r="F6" s="434">
        <f t="shared" si="1"/>
        <v>0</v>
      </c>
      <c r="G6" s="202" t="str">
        <f t="shared" si="2"/>
        <v/>
      </c>
      <c r="H6" s="438">
        <f t="shared" si="58"/>
        <v>0</v>
      </c>
      <c r="I6" s="439">
        <f t="shared" si="3"/>
        <v>0</v>
      </c>
      <c r="J6" s="62"/>
      <c r="K6" s="106"/>
      <c r="L6" s="578">
        <f t="shared" si="4"/>
        <v>2166.1758510277559</v>
      </c>
      <c r="M6" s="463">
        <f t="shared" si="5"/>
        <v>-4085.28</v>
      </c>
      <c r="N6" s="463">
        <f t="shared" ca="1" si="6"/>
        <v>-4085.28</v>
      </c>
      <c r="O6" s="62"/>
      <c r="P6" s="198">
        <f t="shared" si="59"/>
        <v>455</v>
      </c>
      <c r="Q6" s="430">
        <f t="shared" si="7"/>
        <v>0</v>
      </c>
      <c r="R6" s="429">
        <v>3300</v>
      </c>
      <c r="S6" s="423">
        <f t="shared" ca="1" si="60"/>
        <v>401.32409987663982</v>
      </c>
      <c r="T6" s="340" t="str">
        <f t="shared" si="61"/>
        <v>MERV - XMEV - GFGC3300JU - 24hs</v>
      </c>
      <c r="U6" s="340" t="str">
        <f t="shared" si="62"/>
        <v>GFGC3300JU</v>
      </c>
      <c r="V6" s="338">
        <f>IFERROR(VLOOKUP($U6,HomeBroker!$A$30:$F$60,2,0),0)</f>
        <v>17</v>
      </c>
      <c r="W6" s="426">
        <f>IFERROR(VLOOKUP($U6,HomeBroker!$A$30:$F$60,3,0),0)</f>
        <v>267</v>
      </c>
      <c r="X6" s="575">
        <f>IFERROR(VLOOKUP($U6,HomeBroker!$A$30:$F$60,6,0),0)</f>
        <v>277</v>
      </c>
      <c r="Y6" s="425">
        <f>IFERROR(VLOOKUP($U6,HomeBroker!$A$30:$F$60,4,0),0)</f>
        <v>284</v>
      </c>
      <c r="Z6" s="338">
        <f>IFERROR(VLOOKUP($U6,HomeBroker!$A$30:$F$60,5,0),0)</f>
        <v>2</v>
      </c>
      <c r="AA6" s="341">
        <f>IFERROR(VLOOKUP($U6,HomeBroker!$A$30:$N$60,13,0),0)</f>
        <v>1747</v>
      </c>
      <c r="AB6" s="199">
        <f t="shared" si="63"/>
        <v>-822</v>
      </c>
      <c r="AC6" s="431">
        <f t="shared" si="9"/>
        <v>0</v>
      </c>
      <c r="AD6" s="429">
        <v>2300</v>
      </c>
      <c r="AE6" s="424">
        <f t="shared" ca="1" si="64"/>
        <v>28.652820376385392</v>
      </c>
      <c r="AF6" s="340" t="str">
        <f t="shared" si="65"/>
        <v>MERV - XMEV - GFGV2300JU - 24hs</v>
      </c>
      <c r="AG6" s="340" t="str">
        <f t="shared" si="66"/>
        <v>GFGV2300JU</v>
      </c>
      <c r="AH6" s="392">
        <f>IFERROR(VLOOKUP($AG6,HomeBroker!$A$30:$F$60,2,0),0)</f>
        <v>0</v>
      </c>
      <c r="AI6" s="426">
        <f>IFERROR(VLOOKUP($AG6,HomeBroker!$A$30:$F$60,3,0),0)</f>
        <v>0</v>
      </c>
      <c r="AJ6" s="575">
        <f>IFERROR(VLOOKUP($AG6,HomeBroker!$A$30:$F$60,6,0),0)</f>
        <v>0</v>
      </c>
      <c r="AK6" s="426">
        <f>IFERROR(VLOOKUP($AG6,HomeBroker!$A$30:$F$60,4,0),0)</f>
        <v>0</v>
      </c>
      <c r="AL6" s="392">
        <f>IFERROR(VLOOKUP($AG6,HomeBroker!$A$30:$F$60,5,0),0)</f>
        <v>0</v>
      </c>
      <c r="AM6" s="428">
        <f>IFERROR(VLOOKUP($AG6,HomeBroker!$A$30:$N$60,13,0),0)</f>
        <v>0</v>
      </c>
      <c r="AN6" s="62"/>
      <c r="AO6" s="198" t="str">
        <f t="shared" si="67"/>
        <v>-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2166.1758510277559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-4085.28</v>
      </c>
      <c r="EU6" s="72"/>
      <c r="EV6" s="117">
        <f t="shared" si="55"/>
        <v>2166.1758510277559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-4085.28</v>
      </c>
    </row>
    <row r="7" spans="1:193" ht="15">
      <c r="A7" s="420" t="s">
        <v>401</v>
      </c>
      <c r="B7" s="203"/>
      <c r="C7" s="200"/>
      <c r="D7" s="432"/>
      <c r="E7" s="433">
        <f t="shared" si="0"/>
        <v>0</v>
      </c>
      <c r="F7" s="434">
        <f t="shared" si="1"/>
        <v>0</v>
      </c>
      <c r="G7" s="202" t="str">
        <f t="shared" si="2"/>
        <v/>
      </c>
      <c r="H7" s="438">
        <f t="shared" si="58"/>
        <v>0</v>
      </c>
      <c r="I7" s="439">
        <f t="shared" si="3"/>
        <v>0</v>
      </c>
      <c r="J7" s="62"/>
      <c r="K7" s="106">
        <f>IFERROR(-1+(L7/$L$18),"")</f>
        <v>-0.28469859691192001</v>
      </c>
      <c r="L7" s="578">
        <f t="shared" si="4"/>
        <v>2233.1709804409857</v>
      </c>
      <c r="M7" s="462">
        <f t="shared" si="5"/>
        <v>-4085.28</v>
      </c>
      <c r="N7" s="462">
        <f t="shared" ca="1" si="6"/>
        <v>-4085.28</v>
      </c>
      <c r="O7" s="62"/>
      <c r="P7" s="198">
        <f t="shared" si="59"/>
        <v>508</v>
      </c>
      <c r="Q7" s="430">
        <f t="shared" si="7"/>
        <v>0</v>
      </c>
      <c r="R7" s="429">
        <v>3450</v>
      </c>
      <c r="S7" s="423">
        <f t="shared" ca="1" si="60"/>
        <v>332.76274674989918</v>
      </c>
      <c r="T7" s="340" t="str">
        <f t="shared" si="61"/>
        <v>MERV - XMEV - GFGC3450JU - 24hs</v>
      </c>
      <c r="U7" s="340" t="str">
        <f t="shared" si="62"/>
        <v>GFGC3450JU</v>
      </c>
      <c r="V7" s="338">
        <f>IFERROR(VLOOKUP($U7,HomeBroker!$A$30:$F$60,2,0),0)</f>
        <v>50</v>
      </c>
      <c r="W7" s="426">
        <f>IFERROR(VLOOKUP($U7,HomeBroker!$A$30:$F$60,3,0),0)</f>
        <v>172</v>
      </c>
      <c r="X7" s="575">
        <f>IFERROR(VLOOKUP($U7,HomeBroker!$A$30:$F$60,6,0),0)</f>
        <v>180</v>
      </c>
      <c r="Y7" s="425">
        <f>IFERROR(VLOOKUP($U7,HomeBroker!$A$30:$F$60,4,0),0)</f>
        <v>223.62700000000001</v>
      </c>
      <c r="Z7" s="338">
        <f>IFERROR(VLOOKUP($U7,HomeBroker!$A$30:$F$60,5,0),0)</f>
        <v>2</v>
      </c>
      <c r="AA7" s="341">
        <f>IFERROR(VLOOKUP($U7,HomeBroker!$A$30:$N$60,13,0),0)</f>
        <v>27</v>
      </c>
      <c r="AB7" s="199">
        <f t="shared" si="63"/>
        <v>-722</v>
      </c>
      <c r="AC7" s="431">
        <f t="shared" si="9"/>
        <v>0</v>
      </c>
      <c r="AD7" s="429">
        <v>2400</v>
      </c>
      <c r="AE7" s="424">
        <f t="shared" ca="1" si="64"/>
        <v>39.494598164788869</v>
      </c>
      <c r="AF7" s="340" t="str">
        <f t="shared" si="65"/>
        <v>MERV - XMEV - GFGV2400JU - 24hs</v>
      </c>
      <c r="AG7" s="340" t="str">
        <f t="shared" si="66"/>
        <v>GFGV2400JU</v>
      </c>
      <c r="AH7" s="392">
        <f>IFERROR(VLOOKUP($AG7,HomeBroker!$A$30:$F$60,2,0),0)</f>
        <v>0</v>
      </c>
      <c r="AI7" s="426">
        <f>IFERROR(VLOOKUP($AG7,HomeBroker!$A$30:$F$60,3,0),0)</f>
        <v>0</v>
      </c>
      <c r="AJ7" s="575">
        <f>IFERROR(VLOOKUP($AG7,HomeBroker!$A$30:$F$60,6,0),0)</f>
        <v>0</v>
      </c>
      <c r="AK7" s="426">
        <f>IFERROR(VLOOKUP($AG7,HomeBroker!$A$30:$F$60,4,0),0)</f>
        <v>0</v>
      </c>
      <c r="AL7" s="392">
        <f>IFERROR(VLOOKUP($AG7,HomeBroker!$A$30:$F$60,5,0),0)</f>
        <v>0</v>
      </c>
      <c r="AM7" s="428">
        <f>IFERROR(VLOOKUP($AG7,HomeBroker!$A$30:$N$60,13,0),0)</f>
        <v>0</v>
      </c>
      <c r="AN7" s="62"/>
      <c r="AO7" s="198" t="str">
        <f t="shared" si="67"/>
        <v>-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2233.1709804409857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-4085.28</v>
      </c>
      <c r="EU7" s="72"/>
      <c r="EV7" s="117">
        <f t="shared" si="55"/>
        <v>2233.1709804409857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-4085.28</v>
      </c>
    </row>
    <row r="8" spans="1:193" ht="15">
      <c r="A8" s="420" t="s">
        <v>401</v>
      </c>
      <c r="B8" s="203"/>
      <c r="C8" s="200"/>
      <c r="D8" s="432"/>
      <c r="E8" s="433">
        <f t="shared" si="0"/>
        <v>0</v>
      </c>
      <c r="F8" s="434">
        <f t="shared" si="1"/>
        <v>0</v>
      </c>
      <c r="G8" s="202" t="str">
        <f t="shared" si="2"/>
        <v/>
      </c>
      <c r="H8" s="438">
        <f t="shared" si="58"/>
        <v>0</v>
      </c>
      <c r="I8" s="439">
        <f t="shared" si="3"/>
        <v>0</v>
      </c>
      <c r="J8" s="62"/>
      <c r="K8" s="403"/>
      <c r="L8" s="579">
        <f t="shared" si="4"/>
        <v>2302.2381241659646</v>
      </c>
      <c r="M8" s="462">
        <f t="shared" si="5"/>
        <v>-4085.28</v>
      </c>
      <c r="N8" s="462">
        <f t="shared" ca="1" si="6"/>
        <v>-4085.28</v>
      </c>
      <c r="O8" s="62"/>
      <c r="P8" s="198">
        <f t="shared" si="59"/>
        <v>615</v>
      </c>
      <c r="Q8" s="430">
        <f t="shared" si="7"/>
        <v>0</v>
      </c>
      <c r="R8" s="429">
        <v>3600</v>
      </c>
      <c r="S8" s="423">
        <f t="shared" ca="1" si="60"/>
        <v>273.50506182782237</v>
      </c>
      <c r="T8" s="340" t="str">
        <f t="shared" si="61"/>
        <v>MERV - XMEV - GFGC3600JU - 24hs</v>
      </c>
      <c r="U8" s="340" t="str">
        <f t="shared" si="62"/>
        <v>GFGC3600JU</v>
      </c>
      <c r="V8" s="338">
        <f>IFERROR(VLOOKUP($U8,HomeBroker!$A$30:$F$60,2,0),0)</f>
        <v>2</v>
      </c>
      <c r="W8" s="426">
        <f>IFERROR(VLOOKUP($U8,HomeBroker!$A$30:$F$60,3,0),0)</f>
        <v>133</v>
      </c>
      <c r="X8" s="575">
        <f>IFERROR(VLOOKUP($U8,HomeBroker!$A$30:$F$60,6,0),0)</f>
        <v>137</v>
      </c>
      <c r="Y8" s="425">
        <f>IFERROR(VLOOKUP($U8,HomeBroker!$A$30:$F$60,4,0),0)</f>
        <v>137</v>
      </c>
      <c r="Z8" s="338">
        <f>IFERROR(VLOOKUP($U8,HomeBroker!$A$30:$F$60,5,0),0)</f>
        <v>97</v>
      </c>
      <c r="AA8" s="341">
        <f>IFERROR(VLOOKUP($U8,HomeBroker!$A$30:$N$60,13,0),0)</f>
        <v>3275</v>
      </c>
      <c r="AB8" s="199">
        <f t="shared" si="63"/>
        <v>-622</v>
      </c>
      <c r="AC8" s="431">
        <f t="shared" si="9"/>
        <v>0</v>
      </c>
      <c r="AD8" s="429">
        <v>2500</v>
      </c>
      <c r="AE8" s="424">
        <f t="shared" ca="1" si="64"/>
        <v>52.994992895620612</v>
      </c>
      <c r="AF8" s="340" t="str">
        <f t="shared" si="65"/>
        <v>MERV - XMEV - GFGV2500JU - 24hs</v>
      </c>
      <c r="AG8" s="340" t="str">
        <f t="shared" si="66"/>
        <v>GFGV2500JU</v>
      </c>
      <c r="AH8" s="392">
        <f>IFERROR(VLOOKUP($AG8,HomeBroker!$A$30:$F$60,2,0),0)</f>
        <v>0</v>
      </c>
      <c r="AI8" s="426">
        <f>IFERROR(VLOOKUP($AG8,HomeBroker!$A$30:$F$60,3,0),0)</f>
        <v>0</v>
      </c>
      <c r="AJ8" s="575">
        <f>IFERROR(VLOOKUP($AG8,HomeBroker!$A$30:$F$60,6,0),0)</f>
        <v>0</v>
      </c>
      <c r="AK8" s="426">
        <f>IFERROR(VLOOKUP($AG8,HomeBroker!$A$30:$F$60,4,0),0)</f>
        <v>0</v>
      </c>
      <c r="AL8" s="392">
        <f>IFERROR(VLOOKUP($AG8,HomeBroker!$A$30:$F$60,5,0),0)</f>
        <v>0</v>
      </c>
      <c r="AM8" s="428">
        <f>IFERROR(VLOOKUP($AG8,HomeBroker!$A$30:$N$60,13,0),0)</f>
        <v>0</v>
      </c>
      <c r="AN8" s="62"/>
      <c r="AO8" s="198" t="str">
        <f t="shared" si="67"/>
        <v>-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2302.2381241659646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-4085.28</v>
      </c>
      <c r="EU8" s="72"/>
      <c r="EV8" s="117">
        <f t="shared" si="55"/>
        <v>2302.2381241659646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-4085.28</v>
      </c>
    </row>
    <row r="9" spans="1:193" ht="15">
      <c r="A9" s="420" t="s">
        <v>401</v>
      </c>
      <c r="B9" s="203"/>
      <c r="C9" s="200"/>
      <c r="D9" s="432"/>
      <c r="E9" s="433">
        <f t="shared" si="0"/>
        <v>0</v>
      </c>
      <c r="F9" s="434">
        <f t="shared" si="1"/>
        <v>0</v>
      </c>
      <c r="G9" s="202" t="str">
        <f t="shared" si="2"/>
        <v/>
      </c>
      <c r="H9" s="438">
        <f t="shared" si="58"/>
        <v>0</v>
      </c>
      <c r="I9" s="439">
        <f t="shared" si="3"/>
        <v>0</v>
      </c>
      <c r="J9" s="62"/>
      <c r="K9" s="404"/>
      <c r="L9" s="579">
        <f t="shared" si="4"/>
        <v>2373.4413651195514</v>
      </c>
      <c r="M9" s="463">
        <f t="shared" si="5"/>
        <v>-4085.28</v>
      </c>
      <c r="N9" s="463">
        <f t="shared" ca="1" si="6"/>
        <v>-4085.28</v>
      </c>
      <c r="O9" s="62"/>
      <c r="P9" s="198">
        <f t="shared" si="59"/>
        <v>738</v>
      </c>
      <c r="Q9" s="430">
        <f t="shared" si="7"/>
        <v>0</v>
      </c>
      <c r="R9" s="429">
        <v>3750</v>
      </c>
      <c r="S9" s="423">
        <f t="shared" ca="1" si="60"/>
        <v>222.95676548899405</v>
      </c>
      <c r="T9" s="340" t="str">
        <f t="shared" si="61"/>
        <v>MERV - XMEV - GFGC3750JU - 24hs</v>
      </c>
      <c r="U9" s="340" t="str">
        <f t="shared" si="62"/>
        <v>GFGC3750JU</v>
      </c>
      <c r="V9" s="338">
        <f>IFERROR(VLOOKUP($U9,HomeBroker!$A$30:$F$60,2,0),0)</f>
        <v>2</v>
      </c>
      <c r="W9" s="426">
        <f>IFERROR(VLOOKUP($U9,HomeBroker!$A$30:$F$60,3,0),0)</f>
        <v>81.010000000000005</v>
      </c>
      <c r="X9" s="575">
        <f>IFERROR(VLOOKUP($U9,HomeBroker!$A$30:$F$60,6,0),0)</f>
        <v>110</v>
      </c>
      <c r="Y9" s="425">
        <f>IFERROR(VLOOKUP($U9,HomeBroker!$A$30:$F$60,4,0),0)</f>
        <v>110</v>
      </c>
      <c r="Z9" s="338">
        <f>IFERROR(VLOOKUP($U9,HomeBroker!$A$30:$F$60,5,0),0)</f>
        <v>4</v>
      </c>
      <c r="AA9" s="341">
        <f>IFERROR(VLOOKUP($U9,HomeBroker!$A$30:$N$60,13,0),0)</f>
        <v>1</v>
      </c>
      <c r="AB9" s="199">
        <f t="shared" si="63"/>
        <v>-522</v>
      </c>
      <c r="AC9" s="431">
        <f t="shared" si="9"/>
        <v>0</v>
      </c>
      <c r="AD9" s="429">
        <v>2600</v>
      </c>
      <c r="AE9" s="424">
        <f t="shared" ca="1" si="64"/>
        <v>69.42535049862056</v>
      </c>
      <c r="AF9" s="340" t="str">
        <f t="shared" si="65"/>
        <v>MERV - XMEV - GFGV2600JU - 24hs</v>
      </c>
      <c r="AG9" s="340" t="str">
        <f t="shared" si="66"/>
        <v>GFGV2600JU</v>
      </c>
      <c r="AH9" s="392">
        <f>IFERROR(VLOOKUP($AG9,HomeBroker!$A$30:$F$60,2,0),0)</f>
        <v>0</v>
      </c>
      <c r="AI9" s="426">
        <f>IFERROR(VLOOKUP($AG9,HomeBroker!$A$30:$F$60,3,0),0)</f>
        <v>0</v>
      </c>
      <c r="AJ9" s="575">
        <f>IFERROR(VLOOKUP($AG9,HomeBroker!$A$30:$F$60,6,0),0)</f>
        <v>0</v>
      </c>
      <c r="AK9" s="426">
        <f>IFERROR(VLOOKUP($AG9,HomeBroker!$A$30:$F$60,4,0),0)</f>
        <v>0</v>
      </c>
      <c r="AL9" s="392">
        <f>IFERROR(VLOOKUP($AG9,HomeBroker!$A$30:$F$60,5,0),0)</f>
        <v>0</v>
      </c>
      <c r="AM9" s="428">
        <f>IFERROR(VLOOKUP($AG9,HomeBroker!$A$30:$N$60,13,0),0)</f>
        <v>0</v>
      </c>
      <c r="AN9" s="62"/>
      <c r="AO9" s="198" t="str">
        <f t="shared" si="67"/>
        <v>-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2373.4413651195514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-4085.28</v>
      </c>
      <c r="EU9" s="72"/>
      <c r="EV9" s="117">
        <f t="shared" si="55"/>
        <v>2373.4413651195514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-4085.28</v>
      </c>
    </row>
    <row r="10" spans="1:193" ht="15">
      <c r="A10" s="420" t="s">
        <v>401</v>
      </c>
      <c r="B10" s="203"/>
      <c r="C10" s="200"/>
      <c r="D10" s="432"/>
      <c r="E10" s="433">
        <f t="shared" si="0"/>
        <v>0</v>
      </c>
      <c r="F10" s="434">
        <f t="shared" si="1"/>
        <v>0</v>
      </c>
      <c r="G10" s="202" t="str">
        <f t="shared" si="2"/>
        <v/>
      </c>
      <c r="H10" s="438">
        <f t="shared" si="58"/>
        <v>0</v>
      </c>
      <c r="I10" s="439">
        <f t="shared" si="3"/>
        <v>0</v>
      </c>
      <c r="J10" s="62"/>
      <c r="K10" s="404"/>
      <c r="L10" s="579">
        <f t="shared" si="4"/>
        <v>2446.8467681644861</v>
      </c>
      <c r="M10" s="462">
        <f t="shared" si="5"/>
        <v>-4085.28</v>
      </c>
      <c r="N10" s="462">
        <f t="shared" ca="1" si="6"/>
        <v>-4085.28</v>
      </c>
      <c r="O10" s="62"/>
      <c r="P10" s="198">
        <f t="shared" si="59"/>
        <v>853</v>
      </c>
      <c r="Q10" s="430">
        <f t="shared" si="7"/>
        <v>0</v>
      </c>
      <c r="R10" s="429">
        <v>3900</v>
      </c>
      <c r="S10" s="423">
        <f t="shared" ca="1" si="60"/>
        <v>180.36047020967226</v>
      </c>
      <c r="T10" s="340" t="str">
        <f t="shared" si="61"/>
        <v>MERV - XMEV - GFGC3900JU - 24hs</v>
      </c>
      <c r="U10" s="340" t="str">
        <f t="shared" si="62"/>
        <v>GFGC3900JU</v>
      </c>
      <c r="V10" s="338">
        <f>IFERROR(VLOOKUP($U10,HomeBroker!$A$30:$F$60,2,0),0)</f>
        <v>30</v>
      </c>
      <c r="W10" s="426">
        <f>IFERROR(VLOOKUP($U10,HomeBroker!$A$30:$F$60,3,0),0)</f>
        <v>69.5</v>
      </c>
      <c r="X10" s="575">
        <f>IFERROR(VLOOKUP($U10,HomeBroker!$A$30:$F$60,6,0),0)</f>
        <v>75</v>
      </c>
      <c r="Y10" s="425">
        <f>IFERROR(VLOOKUP($U10,HomeBroker!$A$30:$F$60,4,0),0)</f>
        <v>96.5</v>
      </c>
      <c r="Z10" s="338">
        <f>IFERROR(VLOOKUP($U10,HomeBroker!$A$30:$F$60,5,0),0)</f>
        <v>7</v>
      </c>
      <c r="AA10" s="341">
        <f>IFERROR(VLOOKUP($U10,HomeBroker!$A$30:$N$60,13,0),0)</f>
        <v>1808</v>
      </c>
      <c r="AB10" s="199">
        <f t="shared" si="63"/>
        <v>-422</v>
      </c>
      <c r="AC10" s="431">
        <f t="shared" si="9"/>
        <v>0</v>
      </c>
      <c r="AD10" s="429">
        <v>2700</v>
      </c>
      <c r="AE10" s="424">
        <f t="shared" ca="1" si="64"/>
        <v>89.018603906151213</v>
      </c>
      <c r="AF10" s="340" t="str">
        <f t="shared" si="65"/>
        <v>MERV - XMEV - GFGV2700JU - 24hs</v>
      </c>
      <c r="AG10" s="340" t="str">
        <f t="shared" si="66"/>
        <v>GFGV2700JU</v>
      </c>
      <c r="AH10" s="392">
        <f>IFERROR(VLOOKUP($AG10,HomeBroker!$A$30:$F$60,2,0),0)</f>
        <v>0</v>
      </c>
      <c r="AI10" s="426">
        <f>IFERROR(VLOOKUP($AG10,HomeBroker!$A$30:$F$60,3,0),0)</f>
        <v>0</v>
      </c>
      <c r="AJ10" s="575">
        <f>IFERROR(VLOOKUP($AG10,HomeBroker!$A$30:$F$60,6,0),0)</f>
        <v>0</v>
      </c>
      <c r="AK10" s="426">
        <f>IFERROR(VLOOKUP($AG10,HomeBroker!$A$30:$F$60,4,0),0)</f>
        <v>0</v>
      </c>
      <c r="AL10" s="392">
        <f>IFERROR(VLOOKUP($AG10,HomeBroker!$A$30:$F$60,5,0),0)</f>
        <v>0</v>
      </c>
      <c r="AM10" s="428">
        <f>IFERROR(VLOOKUP($AG10,HomeBroker!$A$30:$N$60,13,0),0)</f>
        <v>0</v>
      </c>
      <c r="AN10" s="62"/>
      <c r="AO10" s="198" t="str">
        <f t="shared" si="67"/>
        <v>-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2446.8467681644861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-4085.28</v>
      </c>
      <c r="EU10" s="72"/>
      <c r="EV10" s="117">
        <f t="shared" si="55"/>
        <v>2446.8467681644861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-4085.28</v>
      </c>
    </row>
    <row r="11" spans="1:193" ht="15">
      <c r="A11" s="420" t="s">
        <v>401</v>
      </c>
      <c r="B11" s="203"/>
      <c r="C11" s="200"/>
      <c r="D11" s="432"/>
      <c r="E11" s="433">
        <f t="shared" si="0"/>
        <v>0</v>
      </c>
      <c r="F11" s="434">
        <f t="shared" si="1"/>
        <v>0</v>
      </c>
      <c r="G11" s="202" t="str">
        <f t="shared" si="2"/>
        <v/>
      </c>
      <c r="H11" s="438">
        <f t="shared" si="58"/>
        <v>0</v>
      </c>
      <c r="I11" s="439">
        <f t="shared" si="3"/>
        <v>0</v>
      </c>
      <c r="J11" s="62"/>
      <c r="K11" s="404"/>
      <c r="L11" s="579">
        <f t="shared" si="4"/>
        <v>2522.522441406687</v>
      </c>
      <c r="M11" s="462">
        <f t="shared" si="5"/>
        <v>-4085.28</v>
      </c>
      <c r="N11" s="462">
        <f t="shared" ca="1" si="6"/>
        <v>-4085.28</v>
      </c>
      <c r="O11" s="62"/>
      <c r="P11" s="198">
        <f t="shared" si="59"/>
        <v>979</v>
      </c>
      <c r="Q11" s="430">
        <f t="shared" si="7"/>
        <v>0</v>
      </c>
      <c r="R11" s="429">
        <v>4050</v>
      </c>
      <c r="S11" s="423">
        <f t="shared" ca="1" si="60"/>
        <v>144.8669092980557</v>
      </c>
      <c r="T11" s="340" t="str">
        <f t="shared" si="61"/>
        <v>MERV - XMEV - GFGC4050JU - 24hs</v>
      </c>
      <c r="U11" s="340" t="str">
        <f t="shared" si="62"/>
        <v>GFGC4050JU</v>
      </c>
      <c r="V11" s="338">
        <f>IFERROR(VLOOKUP($U11,HomeBroker!$A$30:$F$60,2,0),0)</f>
        <v>2</v>
      </c>
      <c r="W11" s="426">
        <f>IFERROR(VLOOKUP($U11,HomeBroker!$A$30:$F$60,3,0),0)</f>
        <v>54.274000000000001</v>
      </c>
      <c r="X11" s="575">
        <f>IFERROR(VLOOKUP($U11,HomeBroker!$A$30:$F$60,6,0),0)</f>
        <v>51</v>
      </c>
      <c r="Y11" s="425">
        <f>IFERROR(VLOOKUP($U11,HomeBroker!$A$30:$F$60,4,0),0)</f>
        <v>69.731999999999999</v>
      </c>
      <c r="Z11" s="338">
        <f>IFERROR(VLOOKUP($U11,HomeBroker!$A$30:$F$60,5,0),0)</f>
        <v>2</v>
      </c>
      <c r="AA11" s="341">
        <f>IFERROR(VLOOKUP($U11,HomeBroker!$A$30:$N$60,13,0),0)</f>
        <v>13</v>
      </c>
      <c r="AB11" s="199">
        <f t="shared" si="63"/>
        <v>-222</v>
      </c>
      <c r="AC11" s="431">
        <f t="shared" si="9"/>
        <v>0</v>
      </c>
      <c r="AD11" s="429">
        <v>2900</v>
      </c>
      <c r="AE11" s="424">
        <f t="shared" ca="1" si="64"/>
        <v>138.40185693764784</v>
      </c>
      <c r="AF11" s="340" t="str">
        <f t="shared" si="65"/>
        <v>MERV - XMEV - GFGV2900JU - 24hs</v>
      </c>
      <c r="AG11" s="340" t="str">
        <f t="shared" si="66"/>
        <v>GFGV2900JU</v>
      </c>
      <c r="AH11" s="392">
        <f>IFERROR(VLOOKUP($AG11,HomeBroker!$A$30:$F$60,2,0),0)</f>
        <v>0</v>
      </c>
      <c r="AI11" s="426">
        <f>IFERROR(VLOOKUP($AG11,HomeBroker!$A$30:$F$60,3,0),0)</f>
        <v>0</v>
      </c>
      <c r="AJ11" s="575">
        <f>IFERROR(VLOOKUP($AG11,HomeBroker!$A$30:$F$60,6,0),0)</f>
        <v>0</v>
      </c>
      <c r="AK11" s="426">
        <f>IFERROR(VLOOKUP($AG11,HomeBroker!$A$30:$F$60,4,0),0)</f>
        <v>0</v>
      </c>
      <c r="AL11" s="392">
        <f>IFERROR(VLOOKUP($AG11,HomeBroker!$A$30:$F$60,5,0),0)</f>
        <v>0</v>
      </c>
      <c r="AM11" s="428">
        <f>IFERROR(VLOOKUP($AG11,HomeBroker!$A$30:$N$60,13,0),0)</f>
        <v>0</v>
      </c>
      <c r="AN11" s="62"/>
      <c r="AO11" s="198" t="str">
        <f t="shared" si="67"/>
        <v>-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2522.522441406687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-4085.28</v>
      </c>
      <c r="EU11" s="72"/>
      <c r="EV11" s="117">
        <f t="shared" si="55"/>
        <v>2522.522441406687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-4085.28</v>
      </c>
    </row>
    <row r="12" spans="1:193" ht="15">
      <c r="A12" s="420" t="s">
        <v>401</v>
      </c>
      <c r="B12" s="203"/>
      <c r="C12" s="200"/>
      <c r="D12" s="432"/>
      <c r="E12" s="433">
        <f t="shared" si="0"/>
        <v>0</v>
      </c>
      <c r="F12" s="434">
        <f t="shared" si="1"/>
        <v>0</v>
      </c>
      <c r="G12" s="202" t="str">
        <f t="shared" si="2"/>
        <v/>
      </c>
      <c r="H12" s="438">
        <f t="shared" si="58"/>
        <v>0</v>
      </c>
      <c r="I12" s="439">
        <f t="shared" si="3"/>
        <v>0</v>
      </c>
      <c r="J12" s="62"/>
      <c r="K12" s="404">
        <f>IFERROR(-1+(L12/$L$18),"")</f>
        <v>-0.16702799507100019</v>
      </c>
      <c r="L12" s="579">
        <f t="shared" si="4"/>
        <v>2600.5385993883374</v>
      </c>
      <c r="M12" s="463">
        <f t="shared" si="5"/>
        <v>-4085.28</v>
      </c>
      <c r="N12" s="463">
        <f t="shared" ca="1" si="6"/>
        <v>-4085.28</v>
      </c>
      <c r="O12" s="62"/>
      <c r="P12" s="198">
        <f t="shared" si="59"/>
        <v>1126.5</v>
      </c>
      <c r="Q12" s="430">
        <f t="shared" si="7"/>
        <v>1</v>
      </c>
      <c r="R12" s="429">
        <v>4200</v>
      </c>
      <c r="S12" s="423">
        <f t="shared" ca="1" si="60"/>
        <v>115.59578158685144</v>
      </c>
      <c r="T12" s="340" t="str">
        <f t="shared" si="61"/>
        <v>MERV - XMEV - GFGC4200JU - 24hs</v>
      </c>
      <c r="U12" s="340" t="str">
        <f t="shared" si="62"/>
        <v>GFGC4200JU</v>
      </c>
      <c r="V12" s="338">
        <f>IFERROR(VLOOKUP($U12,HomeBroker!$A$30:$F$60,2,0),0)</f>
        <v>10</v>
      </c>
      <c r="W12" s="426">
        <f>IFERROR(VLOOKUP($U12,HomeBroker!$A$30:$F$60,3,0),0)</f>
        <v>45.5</v>
      </c>
      <c r="X12" s="575">
        <f>IFERROR(VLOOKUP($U12,HomeBroker!$A$30:$F$60,6,0),0)</f>
        <v>48.5</v>
      </c>
      <c r="Y12" s="425">
        <f>IFERROR(VLOOKUP($U12,HomeBroker!$A$30:$F$60,4,0),0)</f>
        <v>48.499000000000002</v>
      </c>
      <c r="Z12" s="338">
        <f>IFERROR(VLOOKUP($U12,HomeBroker!$A$30:$F$60,5,0),0)</f>
        <v>1</v>
      </c>
      <c r="AA12" s="341">
        <f>IFERROR(VLOOKUP($U12,HomeBroker!$A$30:$N$60,13,0),0)</f>
        <v>1146</v>
      </c>
      <c r="AB12" s="199">
        <f t="shared" si="63"/>
        <v>-122</v>
      </c>
      <c r="AC12" s="431">
        <f t="shared" si="9"/>
        <v>0</v>
      </c>
      <c r="AD12" s="429">
        <v>3000</v>
      </c>
      <c r="AE12" s="424">
        <f t="shared" ca="1" si="64"/>
        <v>168.42693042581959</v>
      </c>
      <c r="AF12" s="340" t="str">
        <f t="shared" si="65"/>
        <v>MERV - XMEV - GFGV3000JU - 24hs</v>
      </c>
      <c r="AG12" s="340" t="str">
        <f t="shared" si="66"/>
        <v>GFGV3000JU</v>
      </c>
      <c r="AH12" s="392">
        <f>IFERROR(VLOOKUP($AG12,HomeBroker!$A$30:$F$60,2,0),0)</f>
        <v>0</v>
      </c>
      <c r="AI12" s="426">
        <f>IFERROR(VLOOKUP($AG12,HomeBroker!$A$30:$F$60,3,0),0)</f>
        <v>0</v>
      </c>
      <c r="AJ12" s="575">
        <f>IFERROR(VLOOKUP($AG12,HomeBroker!$A$30:$F$60,6,0),0)</f>
        <v>0</v>
      </c>
      <c r="AK12" s="426">
        <f>IFERROR(VLOOKUP($AG12,HomeBroker!$A$30:$F$60,4,0),0)</f>
        <v>0</v>
      </c>
      <c r="AL12" s="392">
        <f>IFERROR(VLOOKUP($AG12,HomeBroker!$A$30:$F$60,5,0),0)</f>
        <v>0</v>
      </c>
      <c r="AM12" s="428">
        <f>IFERROR(VLOOKUP($AG12,HomeBroker!$A$30:$N$60,13,0),0)</f>
        <v>0</v>
      </c>
      <c r="AN12" s="62"/>
      <c r="AO12" s="198" t="str">
        <f t="shared" si="67"/>
        <v>-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2600.5385993883374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-4085.28</v>
      </c>
      <c r="EU12" s="72"/>
      <c r="EV12" s="117">
        <f t="shared" si="55"/>
        <v>2600.5385993883374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-4085.28</v>
      </c>
    </row>
    <row r="13" spans="1:193" ht="15">
      <c r="A13" s="420" t="s">
        <v>401</v>
      </c>
      <c r="B13" s="203"/>
      <c r="C13" s="200"/>
      <c r="D13" s="432"/>
      <c r="E13" s="433">
        <f t="shared" si="0"/>
        <v>0</v>
      </c>
      <c r="F13" s="434">
        <f t="shared" si="1"/>
        <v>0</v>
      </c>
      <c r="G13" s="202" t="str">
        <f t="shared" si="2"/>
        <v/>
      </c>
      <c r="H13" s="438">
        <f t="shared" si="58"/>
        <v>0</v>
      </c>
      <c r="I13" s="439">
        <f t="shared" si="3"/>
        <v>0</v>
      </c>
      <c r="J13" s="62"/>
      <c r="K13" s="405">
        <f>IFERROR(-1+(L13/$L$18),"")</f>
        <v>-0.14126597430000021</v>
      </c>
      <c r="L13" s="580">
        <f t="shared" si="4"/>
        <v>2680.9676282353994</v>
      </c>
      <c r="M13" s="462">
        <f t="shared" si="5"/>
        <v>-4085.28</v>
      </c>
      <c r="N13" s="462">
        <f t="shared" ca="1" si="6"/>
        <v>-4085.28</v>
      </c>
      <c r="O13" s="62"/>
      <c r="P13" s="198" t="str">
        <f t="shared" si="59"/>
        <v>-</v>
      </c>
      <c r="Q13" s="430">
        <f t="shared" si="7"/>
        <v>0</v>
      </c>
      <c r="R13" s="429"/>
      <c r="S13" s="423">
        <f t="shared" ca="1" si="60"/>
        <v>0</v>
      </c>
      <c r="T13" s="340" t="str">
        <f t="shared" si="61"/>
        <v/>
      </c>
      <c r="U13" s="340" t="str">
        <f t="shared" si="62"/>
        <v/>
      </c>
      <c r="V13" s="338">
        <f>IFERROR(VLOOKUP($U13,HomeBroker!$A$30:$F$60,2,0),0)</f>
        <v>0</v>
      </c>
      <c r="W13" s="426">
        <f>IFERROR(VLOOKUP($U13,HomeBroker!$A$30:$F$60,3,0),0)</f>
        <v>0</v>
      </c>
      <c r="X13" s="575">
        <f>IFERROR(VLOOKUP($U13,HomeBroker!$A$30:$F$60,6,0),0)</f>
        <v>0</v>
      </c>
      <c r="Y13" s="425">
        <f>IFERROR(VLOOKUP($U13,HomeBroker!$A$30:$F$60,4,0),0)</f>
        <v>0</v>
      </c>
      <c r="Z13" s="338">
        <f>IFERROR(VLOOKUP($U13,HomeBroker!$A$30:$F$60,5,0),0)</f>
        <v>0</v>
      </c>
      <c r="AA13" s="341">
        <f>IFERROR(VLOOKUP($U13,HomeBroker!$A$30:$N$60,13,0),0)</f>
        <v>0</v>
      </c>
      <c r="AB13" s="199" t="str">
        <f t="shared" si="63"/>
        <v>-</v>
      </c>
      <c r="AC13" s="431">
        <f t="shared" si="9"/>
        <v>0</v>
      </c>
      <c r="AD13" s="429"/>
      <c r="AE13" s="424">
        <f t="shared" ca="1" si="64"/>
        <v>0</v>
      </c>
      <c r="AF13" s="340" t="str">
        <f t="shared" si="65"/>
        <v/>
      </c>
      <c r="AG13" s="340" t="str">
        <f t="shared" si="66"/>
        <v/>
      </c>
      <c r="AH13" s="392">
        <f>IFERROR(VLOOKUP($AG13,HomeBroker!$A$30:$F$60,2,0),0)</f>
        <v>0</v>
      </c>
      <c r="AI13" s="426">
        <f>IFERROR(VLOOKUP($AG13,HomeBroker!$A$30:$F$60,3,0),0)</f>
        <v>0</v>
      </c>
      <c r="AJ13" s="575">
        <f>IFERROR(VLOOKUP($AG13,HomeBroker!$A$30:$F$60,6,0),0)</f>
        <v>0</v>
      </c>
      <c r="AK13" s="426">
        <f>IFERROR(VLOOKUP($AG13,HomeBroker!$A$30:$F$60,4,0),0)</f>
        <v>0</v>
      </c>
      <c r="AL13" s="392">
        <f>IFERROR(VLOOKUP($AG13,HomeBroker!$A$30:$F$60,5,0),0)</f>
        <v>0</v>
      </c>
      <c r="AM13" s="428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2680.9676282353994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-4085.28</v>
      </c>
      <c r="EU13" s="72"/>
      <c r="EV13" s="117">
        <f t="shared" si="55"/>
        <v>2680.9676282353994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-4085.28</v>
      </c>
    </row>
    <row r="14" spans="1:193" ht="15">
      <c r="A14" s="420" t="s">
        <v>401</v>
      </c>
      <c r="B14" s="203"/>
      <c r="C14" s="200"/>
      <c r="D14" s="432"/>
      <c r="E14" s="433">
        <f t="shared" si="0"/>
        <v>0</v>
      </c>
      <c r="F14" s="434">
        <f t="shared" si="1"/>
        <v>0</v>
      </c>
      <c r="G14" s="202" t="str">
        <f t="shared" si="2"/>
        <v/>
      </c>
      <c r="H14" s="438">
        <f t="shared" si="58"/>
        <v>0</v>
      </c>
      <c r="I14" s="439">
        <f t="shared" si="3"/>
        <v>0</v>
      </c>
      <c r="J14" s="62"/>
      <c r="K14" s="406">
        <f>IFERROR(-1+(L14/$L$18),"")</f>
        <v>-0.11470719000000018</v>
      </c>
      <c r="L14" s="580">
        <f t="shared" si="4"/>
        <v>2763.8841528199996</v>
      </c>
      <c r="M14" s="462">
        <f t="shared" si="5"/>
        <v>-4085.28</v>
      </c>
      <c r="N14" s="462">
        <f t="shared" ca="1" si="6"/>
        <v>-4085.28</v>
      </c>
      <c r="O14" s="62"/>
      <c r="P14" s="198" t="str">
        <f t="shared" si="59"/>
        <v>-</v>
      </c>
      <c r="Q14" s="430">
        <f t="shared" si="7"/>
        <v>0</v>
      </c>
      <c r="R14" s="429"/>
      <c r="S14" s="423">
        <f t="shared" ca="1" si="60"/>
        <v>0</v>
      </c>
      <c r="T14" s="340" t="str">
        <f t="shared" si="61"/>
        <v/>
      </c>
      <c r="U14" s="340" t="str">
        <f t="shared" si="62"/>
        <v/>
      </c>
      <c r="V14" s="338">
        <f>IFERROR(VLOOKUP($U14,HomeBroker!$A$30:$F$60,2,0),0)</f>
        <v>0</v>
      </c>
      <c r="W14" s="426">
        <f>IFERROR(VLOOKUP($U14,HomeBroker!$A$30:$F$60,3,0),0)</f>
        <v>0</v>
      </c>
      <c r="X14" s="575">
        <f>IFERROR(VLOOKUP($U14,HomeBroker!$A$30:$F$60,6,0),0)</f>
        <v>0</v>
      </c>
      <c r="Y14" s="425">
        <f>IFERROR(VLOOKUP($U14,HomeBroker!$A$30:$F$60,4,0),0)</f>
        <v>0</v>
      </c>
      <c r="Z14" s="338">
        <f>IFERROR(VLOOKUP($U14,HomeBroker!$A$30:$F$60,5,0),0)</f>
        <v>0</v>
      </c>
      <c r="AA14" s="341">
        <f>IFERROR(VLOOKUP($U14,HomeBroker!$A$30:$N$60,13,0),0)</f>
        <v>0</v>
      </c>
      <c r="AB14" s="199" t="str">
        <f t="shared" si="63"/>
        <v>-</v>
      </c>
      <c r="AC14" s="431">
        <f t="shared" si="9"/>
        <v>0</v>
      </c>
      <c r="AD14" s="429"/>
      <c r="AE14" s="424">
        <f t="shared" ca="1" si="64"/>
        <v>0</v>
      </c>
      <c r="AF14" s="340" t="str">
        <f t="shared" si="65"/>
        <v/>
      </c>
      <c r="AG14" s="340" t="str">
        <f t="shared" si="66"/>
        <v/>
      </c>
      <c r="AH14" s="392">
        <f>IFERROR(VLOOKUP($AG14,HomeBroker!$A$30:$F$60,2,0),0)</f>
        <v>0</v>
      </c>
      <c r="AI14" s="426">
        <f>IFERROR(VLOOKUP($AG14,HomeBroker!$A$30:$F$60,3,0),0)</f>
        <v>0</v>
      </c>
      <c r="AJ14" s="575">
        <f>IFERROR(VLOOKUP($AG14,HomeBroker!$A$30:$F$60,6,0),0)</f>
        <v>0</v>
      </c>
      <c r="AK14" s="426">
        <f>IFERROR(VLOOKUP($AG14,HomeBroker!$A$30:$F$60,4,0),0)</f>
        <v>0</v>
      </c>
      <c r="AL14" s="392">
        <f>IFERROR(VLOOKUP($AG14,HomeBroker!$A$30:$F$60,5,0),0)</f>
        <v>0</v>
      </c>
      <c r="AM14" s="428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2763.8841528199996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-4085.28</v>
      </c>
      <c r="EU14" s="72"/>
      <c r="EV14" s="117">
        <f t="shared" si="55"/>
        <v>2763.8841528199996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-4085.28</v>
      </c>
    </row>
    <row r="15" spans="1:193" ht="15">
      <c r="A15" s="420" t="s">
        <v>401</v>
      </c>
      <c r="B15" s="203"/>
      <c r="C15" s="200"/>
      <c r="D15" s="432"/>
      <c r="E15" s="433">
        <f t="shared" si="0"/>
        <v>0</v>
      </c>
      <c r="F15" s="434">
        <f t="shared" si="1"/>
        <v>0</v>
      </c>
      <c r="G15" s="202" t="str">
        <f t="shared" si="2"/>
        <v/>
      </c>
      <c r="H15" s="438">
        <f t="shared" si="58"/>
        <v>0</v>
      </c>
      <c r="I15" s="439">
        <f t="shared" si="3"/>
        <v>0</v>
      </c>
      <c r="J15" s="62"/>
      <c r="K15" s="406">
        <f t="shared" ref="K15:K17" si="68">IFERROR(-1+(L15/$L$18),"")</f>
        <v>-8.7327000000000043E-2</v>
      </c>
      <c r="L15" s="580">
        <f t="shared" si="4"/>
        <v>2849.3651059999997</v>
      </c>
      <c r="M15" s="463">
        <f t="shared" si="5"/>
        <v>-4085.28</v>
      </c>
      <c r="N15" s="463">
        <f t="shared" ca="1" si="6"/>
        <v>-4085.28</v>
      </c>
      <c r="O15" s="62"/>
      <c r="P15" s="198" t="str">
        <f t="shared" si="59"/>
        <v>-</v>
      </c>
      <c r="Q15" s="430">
        <f t="shared" si="7"/>
        <v>0</v>
      </c>
      <c r="R15" s="429"/>
      <c r="S15" s="423">
        <f t="shared" ca="1" si="60"/>
        <v>0</v>
      </c>
      <c r="T15" s="340" t="str">
        <f t="shared" si="61"/>
        <v/>
      </c>
      <c r="U15" s="340" t="str">
        <f t="shared" si="62"/>
        <v/>
      </c>
      <c r="V15" s="338">
        <f>IFERROR(VLOOKUP($U15,HomeBroker!$A$30:$F$60,2,0),0)</f>
        <v>0</v>
      </c>
      <c r="W15" s="426">
        <f>IFERROR(VLOOKUP($U15,HomeBroker!$A$30:$F$60,3,0),0)</f>
        <v>0</v>
      </c>
      <c r="X15" s="575">
        <f>IFERROR(VLOOKUP($U15,HomeBroker!$A$30:$F$60,6,0),0)</f>
        <v>0</v>
      </c>
      <c r="Y15" s="425">
        <f>IFERROR(VLOOKUP($U15,HomeBroker!$A$30:$F$60,4,0),0)</f>
        <v>0</v>
      </c>
      <c r="Z15" s="338">
        <f>IFERROR(VLOOKUP($U15,HomeBroker!$A$30:$F$60,5,0),0)</f>
        <v>0</v>
      </c>
      <c r="AA15" s="341">
        <f>IFERROR(VLOOKUP($U15,HomeBroker!$A$30:$N$60,13,0),0)</f>
        <v>0</v>
      </c>
      <c r="AB15" s="199" t="str">
        <f t="shared" si="63"/>
        <v>-</v>
      </c>
      <c r="AC15" s="431">
        <f t="shared" si="9"/>
        <v>0</v>
      </c>
      <c r="AD15" s="429"/>
      <c r="AE15" s="424">
        <f t="shared" ca="1" si="64"/>
        <v>0</v>
      </c>
      <c r="AF15" s="340" t="str">
        <f t="shared" si="65"/>
        <v/>
      </c>
      <c r="AG15" s="340" t="str">
        <f t="shared" si="66"/>
        <v/>
      </c>
      <c r="AH15" s="392">
        <f>IFERROR(VLOOKUP($AG15,HomeBroker!$A$30:$F$60,2,0),0)</f>
        <v>0</v>
      </c>
      <c r="AI15" s="426">
        <f>IFERROR(VLOOKUP($AG15,HomeBroker!$A$30:$F$60,3,0),0)</f>
        <v>0</v>
      </c>
      <c r="AJ15" s="575">
        <f>IFERROR(VLOOKUP($AG15,HomeBroker!$A$30:$F$60,6,0),0)</f>
        <v>0</v>
      </c>
      <c r="AK15" s="426">
        <f>IFERROR(VLOOKUP($AG15,HomeBroker!$A$30:$F$60,4,0),0)</f>
        <v>0</v>
      </c>
      <c r="AL15" s="392">
        <f>IFERROR(VLOOKUP($AG15,HomeBroker!$A$30:$F$60,5,0),0)</f>
        <v>0</v>
      </c>
      <c r="AM15" s="428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2849.3651059999997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-4085.28</v>
      </c>
      <c r="EU15" s="72"/>
      <c r="EV15" s="117">
        <f t="shared" si="55"/>
        <v>2849.3651059999997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-4085.28</v>
      </c>
    </row>
    <row r="16" spans="1:193" ht="15">
      <c r="A16" s="420" t="s">
        <v>401</v>
      </c>
      <c r="B16" s="203"/>
      <c r="C16" s="200"/>
      <c r="D16" s="432"/>
      <c r="E16" s="433">
        <f>+B16*D16*-100</f>
        <v>0</v>
      </c>
      <c r="F16" s="434">
        <f t="shared" si="1"/>
        <v>0</v>
      </c>
      <c r="G16" s="202" t="str">
        <f t="shared" si="2"/>
        <v/>
      </c>
      <c r="H16" s="438">
        <f>IFERROR(+G16*B16*-100,0)</f>
        <v>0</v>
      </c>
      <c r="I16" s="439">
        <f t="shared" si="3"/>
        <v>0</v>
      </c>
      <c r="J16" s="62"/>
      <c r="K16" s="406">
        <f t="shared" si="68"/>
        <v>-5.9100000000000041E-2</v>
      </c>
      <c r="L16" s="580">
        <f t="shared" si="4"/>
        <v>2937.4897999999998</v>
      </c>
      <c r="M16" s="462">
        <f t="shared" si="5"/>
        <v>-4085.28</v>
      </c>
      <c r="N16" s="462">
        <f t="shared" ca="1" si="6"/>
        <v>-4085.28</v>
      </c>
      <c r="O16" s="62"/>
      <c r="P16" s="198" t="str">
        <f t="shared" si="59"/>
        <v>-</v>
      </c>
      <c r="Q16" s="430">
        <f t="shared" si="7"/>
        <v>0</v>
      </c>
      <c r="R16" s="429"/>
      <c r="S16" s="423">
        <f t="shared" ca="1" si="60"/>
        <v>0</v>
      </c>
      <c r="T16" s="340" t="str">
        <f t="shared" si="61"/>
        <v/>
      </c>
      <c r="U16" s="340" t="str">
        <f t="shared" si="62"/>
        <v/>
      </c>
      <c r="V16" s="338">
        <f>IFERROR(VLOOKUP($U16,HomeBroker!$A$30:$F$60,2,0),0)</f>
        <v>0</v>
      </c>
      <c r="W16" s="426">
        <f>IFERROR(VLOOKUP($U16,HomeBroker!$A$30:$F$60,3,0),0)</f>
        <v>0</v>
      </c>
      <c r="X16" s="575">
        <f>IFERROR(VLOOKUP($U16,HomeBroker!$A$30:$F$60,6,0),0)</f>
        <v>0</v>
      </c>
      <c r="Y16" s="425">
        <f>IFERROR(VLOOKUP($U16,HomeBroker!$A$30:$F$60,4,0),0)</f>
        <v>0</v>
      </c>
      <c r="Z16" s="338">
        <f>IFERROR(VLOOKUP($U16,HomeBroker!$A$30:$F$60,5,0),0)</f>
        <v>0</v>
      </c>
      <c r="AA16" s="341">
        <f>IFERROR(VLOOKUP($U16,HomeBroker!$A$30:$N$60,13,0),0)</f>
        <v>0</v>
      </c>
      <c r="AB16" s="199" t="str">
        <f t="shared" si="63"/>
        <v>-</v>
      </c>
      <c r="AC16" s="431">
        <f t="shared" si="9"/>
        <v>0</v>
      </c>
      <c r="AD16" s="429"/>
      <c r="AE16" s="424">
        <f t="shared" ca="1" si="64"/>
        <v>0</v>
      </c>
      <c r="AF16" s="340" t="str">
        <f t="shared" si="65"/>
        <v/>
      </c>
      <c r="AG16" s="340" t="str">
        <f t="shared" si="66"/>
        <v/>
      </c>
      <c r="AH16" s="392">
        <f>IFERROR(VLOOKUP($AG16,HomeBroker!$A$30:$F$60,2,0),0)</f>
        <v>0</v>
      </c>
      <c r="AI16" s="426">
        <f>IFERROR(VLOOKUP($AG16,HomeBroker!$A$30:$F$60,3,0),0)</f>
        <v>0</v>
      </c>
      <c r="AJ16" s="575">
        <f>IFERROR(VLOOKUP($AG16,HomeBroker!$A$30:$F$60,6,0),0)</f>
        <v>0</v>
      </c>
      <c r="AK16" s="426">
        <f>IFERROR(VLOOKUP($AG16,HomeBroker!$A$30:$F$60,4,0),0)</f>
        <v>0</v>
      </c>
      <c r="AL16" s="392">
        <f>IFERROR(VLOOKUP($AG16,HomeBroker!$A$30:$F$60,5,0),0)</f>
        <v>0</v>
      </c>
      <c r="AM16" s="428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2937.4897999999998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-4085.28</v>
      </c>
      <c r="EU16" s="72"/>
      <c r="EV16" s="117">
        <f t="shared" si="55"/>
        <v>2937.4897999999998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-4085.28</v>
      </c>
    </row>
    <row r="17" spans="1:193" ht="15.75">
      <c r="A17" s="420" t="s">
        <v>401</v>
      </c>
      <c r="B17" s="204"/>
      <c r="C17" s="200"/>
      <c r="D17" s="432"/>
      <c r="E17" s="433">
        <f>+B17*D17*-100</f>
        <v>0</v>
      </c>
      <c r="F17" s="434">
        <f t="shared" si="1"/>
        <v>0</v>
      </c>
      <c r="G17" s="202" t="str">
        <f t="shared" si="2"/>
        <v/>
      </c>
      <c r="H17" s="438">
        <f>IFERROR(+G17*B17*-100,0)</f>
        <v>0</v>
      </c>
      <c r="I17" s="439">
        <f t="shared" si="3"/>
        <v>0</v>
      </c>
      <c r="J17" s="62"/>
      <c r="K17" s="406">
        <f t="shared" si="68"/>
        <v>-3.0000000000000138E-2</v>
      </c>
      <c r="L17" s="580">
        <f t="shared" si="4"/>
        <v>3028.3399999999997</v>
      </c>
      <c r="M17" s="462">
        <f t="shared" si="5"/>
        <v>-4085.28</v>
      </c>
      <c r="N17" s="462">
        <f t="shared" ca="1" si="6"/>
        <v>-4085.28</v>
      </c>
      <c r="O17" s="62"/>
      <c r="P17" s="198" t="str">
        <f t="shared" si="59"/>
        <v>-</v>
      </c>
      <c r="Q17" s="430">
        <f t="shared" si="7"/>
        <v>0</v>
      </c>
      <c r="R17" s="429"/>
      <c r="S17" s="423">
        <f t="shared" ca="1" si="60"/>
        <v>0</v>
      </c>
      <c r="T17" s="340" t="str">
        <f t="shared" si="61"/>
        <v/>
      </c>
      <c r="U17" s="340" t="str">
        <f t="shared" si="62"/>
        <v/>
      </c>
      <c r="V17" s="338">
        <f>IFERROR(VLOOKUP($U17,HomeBroker!$A$30:$F$60,2,0),0)</f>
        <v>0</v>
      </c>
      <c r="W17" s="426">
        <f>IFERROR(VLOOKUP($U17,HomeBroker!$A$30:$F$60,3,0),0)</f>
        <v>0</v>
      </c>
      <c r="X17" s="575">
        <f>IFERROR(VLOOKUP($U17,HomeBroker!$A$30:$F$60,6,0),0)</f>
        <v>0</v>
      </c>
      <c r="Y17" s="425">
        <f>IFERROR(VLOOKUP($U17,HomeBroker!$A$30:$F$60,4,0),0)</f>
        <v>0</v>
      </c>
      <c r="Z17" s="338">
        <f>IFERROR(VLOOKUP($U17,HomeBroker!$A$30:$F$60,5,0),0)</f>
        <v>0</v>
      </c>
      <c r="AA17" s="341">
        <f>IFERROR(VLOOKUP($U17,HomeBroker!$A$30:$N$60,13,0),0)</f>
        <v>0</v>
      </c>
      <c r="AB17" s="199" t="str">
        <f t="shared" si="63"/>
        <v>-</v>
      </c>
      <c r="AC17" s="431">
        <f t="shared" si="9"/>
        <v>0</v>
      </c>
      <c r="AD17" s="429"/>
      <c r="AE17" s="424">
        <f t="shared" ca="1" si="64"/>
        <v>0</v>
      </c>
      <c r="AF17" s="340" t="str">
        <f t="shared" si="65"/>
        <v/>
      </c>
      <c r="AG17" s="340" t="str">
        <f t="shared" si="66"/>
        <v/>
      </c>
      <c r="AH17" s="392">
        <f>IFERROR(VLOOKUP($AG17,HomeBroker!$A$30:$F$60,2,0),0)</f>
        <v>0</v>
      </c>
      <c r="AI17" s="426">
        <f>IFERROR(VLOOKUP($AG17,HomeBroker!$A$30:$F$60,3,0),0)</f>
        <v>0</v>
      </c>
      <c r="AJ17" s="575">
        <f>IFERROR(VLOOKUP($AG17,HomeBroker!$A$30:$F$60,6,0),0)</f>
        <v>0</v>
      </c>
      <c r="AK17" s="426">
        <f>IFERROR(VLOOKUP($AG17,HomeBroker!$A$30:$F$60,4,0),0)</f>
        <v>0</v>
      </c>
      <c r="AL17" s="392">
        <f>IFERROR(VLOOKUP($AG17,HomeBroker!$A$30:$F$60,5,0),0)</f>
        <v>0</v>
      </c>
      <c r="AM17" s="428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3028.3399999999997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-4085.28</v>
      </c>
      <c r="EU17" s="72"/>
      <c r="EV17" s="117">
        <f t="shared" si="55"/>
        <v>3028.3399999999997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-4085.28</v>
      </c>
    </row>
    <row r="18" spans="1:193" ht="15">
      <c r="A18" s="420" t="s">
        <v>401</v>
      </c>
      <c r="B18" s="203"/>
      <c r="C18" s="200"/>
      <c r="D18" s="432"/>
      <c r="E18" s="433">
        <f>+B18*D18*-100</f>
        <v>0</v>
      </c>
      <c r="F18" s="434">
        <f t="shared" si="1"/>
        <v>0</v>
      </c>
      <c r="G18" s="202" t="str">
        <f t="shared" si="2"/>
        <v/>
      </c>
      <c r="H18" s="438">
        <f>IFERROR(+G18*B18*-100,0)</f>
        <v>0</v>
      </c>
      <c r="I18" s="439">
        <f t="shared" si="3"/>
        <v>0</v>
      </c>
      <c r="J18" s="62"/>
      <c r="K18" s="131">
        <v>0</v>
      </c>
      <c r="L18" s="576">
        <f>IF($N$45&lt;&gt;"",$N$45,$B$76)</f>
        <v>3122</v>
      </c>
      <c r="M18" s="463">
        <f t="shared" si="5"/>
        <v>-4085.28</v>
      </c>
      <c r="N18" s="463">
        <f t="shared" ca="1" si="6"/>
        <v>-4085.28</v>
      </c>
      <c r="O18" s="62"/>
      <c r="P18" s="198" t="str">
        <f t="shared" si="59"/>
        <v>-</v>
      </c>
      <c r="Q18" s="391">
        <f t="shared" ref="Q18:Q42" si="69">SUMIFS(AU:AU,AV:AV,R18)</f>
        <v>0</v>
      </c>
      <c r="R18" s="429"/>
      <c r="S18" s="423">
        <f t="shared" ca="1" si="60"/>
        <v>0</v>
      </c>
      <c r="T18" s="340" t="str">
        <f t="shared" si="61"/>
        <v/>
      </c>
      <c r="U18" s="340" t="str">
        <f t="shared" si="62"/>
        <v/>
      </c>
      <c r="V18" s="338">
        <f>IFERROR(VLOOKUP($U18,HomeBroker!$A$30:$F$60,2,0),0)</f>
        <v>0</v>
      </c>
      <c r="W18" s="426">
        <f>IFERROR(VLOOKUP($U18,HomeBroker!$A$30:$F$60,3,0),0)</f>
        <v>0</v>
      </c>
      <c r="X18" s="575">
        <f>IFERROR(VLOOKUP($U18,HomeBroker!$A$30:$F$60,6,0),0)</f>
        <v>0</v>
      </c>
      <c r="Y18" s="425">
        <f>IFERROR(VLOOKUP($U18,HomeBroker!$A$30:$F$60,4,0),0)</f>
        <v>0</v>
      </c>
      <c r="Z18" s="338">
        <f>IFERROR(VLOOKUP($U18,HomeBroker!$A$30:$F$60,5,0),0)</f>
        <v>0</v>
      </c>
      <c r="AA18" s="341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9"/>
      <c r="AE18" s="339">
        <f t="shared" ca="1" si="64"/>
        <v>0</v>
      </c>
      <c r="AF18" s="340" t="str">
        <f t="shared" si="65"/>
        <v/>
      </c>
      <c r="AG18" s="340" t="str">
        <f t="shared" si="66"/>
        <v/>
      </c>
      <c r="AH18" s="392">
        <f>IFERROR(VLOOKUP($AG18,HomeBroker!$A$30:$F$60,2,0),0)</f>
        <v>0</v>
      </c>
      <c r="AI18" s="426">
        <f>IFERROR(VLOOKUP($AG18,HomeBroker!$A$30:$F$60,3,0),0)</f>
        <v>0</v>
      </c>
      <c r="AJ18" s="575">
        <f>IFERROR(VLOOKUP($AG18,HomeBroker!$A$30:$F$60,6,0),0)</f>
        <v>0</v>
      </c>
      <c r="AK18" s="426">
        <f>IFERROR(VLOOKUP($AG18,HomeBroker!$A$30:$F$60,4,0),0)</f>
        <v>0</v>
      </c>
      <c r="AL18" s="392">
        <f>IFERROR(VLOOKUP($AG18,HomeBroker!$A$30:$F$60,5,0),0)</f>
        <v>0</v>
      </c>
      <c r="AM18" s="428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3122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-4085.28</v>
      </c>
      <c r="EU18" s="72"/>
      <c r="EV18" s="117">
        <f t="shared" si="55"/>
        <v>3122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-4085.28</v>
      </c>
    </row>
    <row r="19" spans="1:193" ht="15">
      <c r="A19" s="420" t="s">
        <v>401</v>
      </c>
      <c r="B19" s="203"/>
      <c r="C19" s="200"/>
      <c r="D19" s="432"/>
      <c r="E19" s="433">
        <f t="shared" si="0"/>
        <v>0</v>
      </c>
      <c r="F19" s="434">
        <f t="shared" si="1"/>
        <v>0</v>
      </c>
      <c r="G19" s="202" t="str">
        <f t="shared" si="2"/>
        <v/>
      </c>
      <c r="H19" s="438">
        <f t="shared" si="58"/>
        <v>0</v>
      </c>
      <c r="I19" s="439">
        <f t="shared" si="3"/>
        <v>0</v>
      </c>
      <c r="J19" s="62"/>
      <c r="K19" s="405">
        <f>IFERROR(+L19/$L$18-1,"")</f>
        <v>3.0000000000000027E-2</v>
      </c>
      <c r="L19" s="580">
        <f t="shared" ref="L19:L34" si="71">+L18*(1+$N$42)</f>
        <v>3215.6600000000003</v>
      </c>
      <c r="M19" s="462">
        <f t="shared" si="5"/>
        <v>-4085.28</v>
      </c>
      <c r="N19" s="462">
        <f t="shared" ca="1" si="6"/>
        <v>-4085.28</v>
      </c>
      <c r="O19" s="62"/>
      <c r="P19" s="198" t="str">
        <f t="shared" si="59"/>
        <v>-</v>
      </c>
      <c r="Q19" s="391">
        <f t="shared" si="69"/>
        <v>0</v>
      </c>
      <c r="R19" s="429"/>
      <c r="S19" s="423">
        <f t="shared" ca="1" si="60"/>
        <v>0</v>
      </c>
      <c r="T19" s="340" t="str">
        <f t="shared" si="61"/>
        <v/>
      </c>
      <c r="U19" s="340" t="str">
        <f t="shared" si="62"/>
        <v/>
      </c>
      <c r="V19" s="338">
        <f>IFERROR(VLOOKUP($U19,HomeBroker!$A$30:$F$60,2,0),0)</f>
        <v>0</v>
      </c>
      <c r="W19" s="426">
        <f>IFERROR(VLOOKUP($U19,HomeBroker!$A$30:$F$60,3,0),0)</f>
        <v>0</v>
      </c>
      <c r="X19" s="575">
        <f>IFERROR(VLOOKUP($U19,HomeBroker!$A$30:$F$60,6,0),0)</f>
        <v>0</v>
      </c>
      <c r="Y19" s="425">
        <f>IFERROR(VLOOKUP($U19,HomeBroker!$A$30:$F$60,4,0),0)</f>
        <v>0</v>
      </c>
      <c r="Z19" s="338">
        <f>IFERROR(VLOOKUP($U19,HomeBroker!$A$30:$F$60,5,0),0)</f>
        <v>0</v>
      </c>
      <c r="AA19" s="341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9"/>
      <c r="AE19" s="339">
        <f t="shared" ca="1" si="64"/>
        <v>0</v>
      </c>
      <c r="AF19" s="340" t="str">
        <f t="shared" si="65"/>
        <v/>
      </c>
      <c r="AG19" s="340" t="str">
        <f t="shared" si="66"/>
        <v/>
      </c>
      <c r="AH19" s="392">
        <f>IFERROR(VLOOKUP($AG19,HomeBroker!$A$30:$F$60,2,0),0)</f>
        <v>0</v>
      </c>
      <c r="AI19" s="426">
        <f>IFERROR(VLOOKUP($AG19,HomeBroker!$A$30:$F$60,3,0),0)</f>
        <v>0</v>
      </c>
      <c r="AJ19" s="575">
        <f>IFERROR(VLOOKUP($AG19,HomeBroker!$A$30:$F$60,6,0),0)</f>
        <v>0</v>
      </c>
      <c r="AK19" s="426">
        <f>IFERROR(VLOOKUP($AG19,HomeBroker!$A$30:$F$60,4,0),0)</f>
        <v>0</v>
      </c>
      <c r="AL19" s="392">
        <f>IFERROR(VLOOKUP($AG19,HomeBroker!$A$30:$F$60,5,0),0)</f>
        <v>0</v>
      </c>
      <c r="AM19" s="428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3215.6600000000003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-4085.28</v>
      </c>
      <c r="EU19" s="72"/>
      <c r="EV19" s="117">
        <f t="shared" si="55"/>
        <v>3215.6600000000003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-4085.28</v>
      </c>
    </row>
    <row r="20" spans="1:193" ht="15">
      <c r="A20" s="420" t="s">
        <v>401</v>
      </c>
      <c r="B20" s="203"/>
      <c r="C20" s="200"/>
      <c r="D20" s="432"/>
      <c r="E20" s="433">
        <f t="shared" si="0"/>
        <v>0</v>
      </c>
      <c r="F20" s="434">
        <f t="shared" si="1"/>
        <v>0</v>
      </c>
      <c r="G20" s="202" t="str">
        <f t="shared" si="2"/>
        <v/>
      </c>
      <c r="H20" s="438">
        <f t="shared" si="58"/>
        <v>0</v>
      </c>
      <c r="I20" s="439">
        <f t="shared" si="3"/>
        <v>0</v>
      </c>
      <c r="J20" s="62"/>
      <c r="K20" s="406">
        <f t="shared" ref="K20:K23" si="72">IFERROR(+L20/$L$18-1,"")</f>
        <v>6.0900000000000176E-2</v>
      </c>
      <c r="L20" s="580">
        <f t="shared" si="71"/>
        <v>3312.1298000000006</v>
      </c>
      <c r="M20" s="462">
        <f t="shared" si="5"/>
        <v>-4085.28</v>
      </c>
      <c r="N20" s="462">
        <f t="shared" ca="1" si="6"/>
        <v>-4085.28</v>
      </c>
      <c r="O20" s="62"/>
      <c r="P20" s="198" t="str">
        <f t="shared" si="59"/>
        <v>-</v>
      </c>
      <c r="Q20" s="391">
        <f t="shared" si="69"/>
        <v>0</v>
      </c>
      <c r="R20" s="429"/>
      <c r="S20" s="423">
        <f t="shared" ca="1" si="60"/>
        <v>0</v>
      </c>
      <c r="T20" s="340" t="str">
        <f t="shared" si="61"/>
        <v/>
      </c>
      <c r="U20" s="340" t="str">
        <f t="shared" si="62"/>
        <v/>
      </c>
      <c r="V20" s="338">
        <f>IFERROR(VLOOKUP($U20,HomeBroker!$A$30:$F$60,2,0),0)</f>
        <v>0</v>
      </c>
      <c r="W20" s="426">
        <f>IFERROR(VLOOKUP($U20,HomeBroker!$A$30:$F$60,3,0),0)</f>
        <v>0</v>
      </c>
      <c r="X20" s="575">
        <f>IFERROR(VLOOKUP($U20,HomeBroker!$A$30:$F$60,6,0),0)</f>
        <v>0</v>
      </c>
      <c r="Y20" s="425">
        <f>IFERROR(VLOOKUP($U20,HomeBroker!$A$30:$F$60,4,0),0)</f>
        <v>0</v>
      </c>
      <c r="Z20" s="338">
        <f>IFERROR(VLOOKUP($U20,HomeBroker!$A$30:$F$60,5,0),0)</f>
        <v>0</v>
      </c>
      <c r="AA20" s="341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9"/>
      <c r="AE20" s="339">
        <f t="shared" ca="1" si="64"/>
        <v>0</v>
      </c>
      <c r="AF20" s="340" t="str">
        <f t="shared" si="65"/>
        <v/>
      </c>
      <c r="AG20" s="340" t="str">
        <f t="shared" si="66"/>
        <v/>
      </c>
      <c r="AH20" s="392">
        <f>IFERROR(VLOOKUP($AG20,HomeBroker!$A$30:$F$60,2,0),0)</f>
        <v>0</v>
      </c>
      <c r="AI20" s="426">
        <f>IFERROR(VLOOKUP($AG20,HomeBroker!$A$30:$F$60,3,0),0)</f>
        <v>0</v>
      </c>
      <c r="AJ20" s="575">
        <f>IFERROR(VLOOKUP($AG20,HomeBroker!$A$30:$F$60,6,0),0)</f>
        <v>0</v>
      </c>
      <c r="AK20" s="426">
        <f>IFERROR(VLOOKUP($AG20,HomeBroker!$A$30:$F$60,4,0),0)</f>
        <v>0</v>
      </c>
      <c r="AL20" s="392">
        <f>IFERROR(VLOOKUP($AG20,HomeBroker!$A$30:$F$60,5,0),0)</f>
        <v>0</v>
      </c>
      <c r="AM20" s="428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3312.1298000000006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-4085.28</v>
      </c>
      <c r="EU20" s="72"/>
      <c r="EV20" s="117">
        <f t="shared" si="55"/>
        <v>3312.1298000000006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-4085.28</v>
      </c>
    </row>
    <row r="21" spans="1:193" ht="15">
      <c r="A21" s="420" t="s">
        <v>401</v>
      </c>
      <c r="B21" s="203"/>
      <c r="C21" s="200"/>
      <c r="D21" s="432"/>
      <c r="E21" s="433">
        <f t="shared" si="0"/>
        <v>0</v>
      </c>
      <c r="F21" s="434">
        <f t="shared" si="1"/>
        <v>0</v>
      </c>
      <c r="G21" s="202" t="str">
        <f t="shared" si="2"/>
        <v/>
      </c>
      <c r="H21" s="438">
        <f t="shared" si="58"/>
        <v>0</v>
      </c>
      <c r="I21" s="439">
        <f t="shared" si="3"/>
        <v>0</v>
      </c>
      <c r="J21" s="62"/>
      <c r="K21" s="406">
        <f t="shared" si="72"/>
        <v>9.2727000000000226E-2</v>
      </c>
      <c r="L21" s="580">
        <f t="shared" si="71"/>
        <v>3411.4936940000007</v>
      </c>
      <c r="M21" s="463">
        <f t="shared" si="5"/>
        <v>-4085.28</v>
      </c>
      <c r="N21" s="463">
        <f t="shared" ca="1" si="6"/>
        <v>-4085.28</v>
      </c>
      <c r="O21" s="62"/>
      <c r="P21" s="198" t="str">
        <f t="shared" si="59"/>
        <v>-</v>
      </c>
      <c r="Q21" s="391">
        <f t="shared" si="69"/>
        <v>0</v>
      </c>
      <c r="R21" s="429"/>
      <c r="S21" s="423">
        <f t="shared" ca="1" si="60"/>
        <v>0</v>
      </c>
      <c r="T21" s="340" t="str">
        <f t="shared" si="61"/>
        <v/>
      </c>
      <c r="U21" s="340" t="str">
        <f t="shared" si="62"/>
        <v/>
      </c>
      <c r="V21" s="338">
        <f>IFERROR(VLOOKUP($U21,HomeBroker!$A$30:$F$60,2,0),0)</f>
        <v>0</v>
      </c>
      <c r="W21" s="426">
        <f>IFERROR(VLOOKUP($U21,HomeBroker!$A$30:$F$60,3,0),0)</f>
        <v>0</v>
      </c>
      <c r="X21" s="575">
        <f>IFERROR(VLOOKUP($U21,HomeBroker!$A$30:$F$60,6,0),0)</f>
        <v>0</v>
      </c>
      <c r="Y21" s="425">
        <f>IFERROR(VLOOKUP($U21,HomeBroker!$A$30:$F$60,4,0),0)</f>
        <v>0</v>
      </c>
      <c r="Z21" s="338">
        <f>IFERROR(VLOOKUP($U21,HomeBroker!$A$30:$F$60,5,0),0)</f>
        <v>0</v>
      </c>
      <c r="AA21" s="341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9"/>
      <c r="AE21" s="339">
        <f t="shared" ca="1" si="64"/>
        <v>0</v>
      </c>
      <c r="AF21" s="340" t="str">
        <f t="shared" si="65"/>
        <v/>
      </c>
      <c r="AG21" s="340" t="str">
        <f t="shared" si="66"/>
        <v/>
      </c>
      <c r="AH21" s="392">
        <f>IFERROR(VLOOKUP($AG21,HomeBroker!$A$30:$F$60,2,0),0)</f>
        <v>0</v>
      </c>
      <c r="AI21" s="426">
        <f>IFERROR(VLOOKUP($AG21,HomeBroker!$A$30:$F$60,3,0),0)</f>
        <v>0</v>
      </c>
      <c r="AJ21" s="575">
        <f>IFERROR(VLOOKUP($AG21,HomeBroker!$A$30:$F$60,6,0),0)</f>
        <v>0</v>
      </c>
      <c r="AK21" s="426">
        <f>IFERROR(VLOOKUP($AG21,HomeBroker!$A$30:$F$60,4,0),0)</f>
        <v>0</v>
      </c>
      <c r="AL21" s="392">
        <f>IFERROR(VLOOKUP($AG21,HomeBroker!$A$30:$F$60,5,0),0)</f>
        <v>0</v>
      </c>
      <c r="AM21" s="428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3411.4936940000007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-4085.28</v>
      </c>
      <c r="EU21" s="72"/>
      <c r="EV21" s="117">
        <f t="shared" si="55"/>
        <v>3411.4936940000007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-4085.28</v>
      </c>
    </row>
    <row r="22" spans="1:193" ht="15">
      <c r="A22" s="420" t="s">
        <v>401</v>
      </c>
      <c r="B22" s="203"/>
      <c r="C22" s="200"/>
      <c r="D22" s="432"/>
      <c r="E22" s="433">
        <f t="shared" si="0"/>
        <v>0</v>
      </c>
      <c r="F22" s="434">
        <f t="shared" si="1"/>
        <v>0</v>
      </c>
      <c r="G22" s="202" t="str">
        <f t="shared" si="2"/>
        <v/>
      </c>
      <c r="H22" s="438">
        <f t="shared" si="58"/>
        <v>0</v>
      </c>
      <c r="I22" s="439">
        <f t="shared" si="3"/>
        <v>0</v>
      </c>
      <c r="J22" s="62"/>
      <c r="K22" s="406">
        <f t="shared" si="72"/>
        <v>0.12550881000000014</v>
      </c>
      <c r="L22" s="580">
        <f t="shared" si="71"/>
        <v>3513.8385048200007</v>
      </c>
      <c r="M22" s="462">
        <f t="shared" si="5"/>
        <v>-4085.28</v>
      </c>
      <c r="N22" s="462">
        <f t="shared" ca="1" si="6"/>
        <v>-4085.28</v>
      </c>
      <c r="O22" s="62"/>
      <c r="P22" s="198" t="str">
        <f t="shared" si="59"/>
        <v>-</v>
      </c>
      <c r="Q22" s="391">
        <f t="shared" si="69"/>
        <v>0</v>
      </c>
      <c r="R22" s="429"/>
      <c r="S22" s="423">
        <f t="shared" ca="1" si="60"/>
        <v>0</v>
      </c>
      <c r="T22" s="340" t="str">
        <f t="shared" si="61"/>
        <v/>
      </c>
      <c r="U22" s="340" t="str">
        <f t="shared" si="62"/>
        <v/>
      </c>
      <c r="V22" s="338">
        <f>IFERROR(VLOOKUP($U22,HomeBroker!$A$30:$F$60,2,0),0)</f>
        <v>0</v>
      </c>
      <c r="W22" s="426">
        <f>IFERROR(VLOOKUP($U22,HomeBroker!$A$30:$F$60,3,0),0)</f>
        <v>0</v>
      </c>
      <c r="X22" s="575">
        <f>IFERROR(VLOOKUP($U22,HomeBroker!$A$30:$F$60,6,0),0)</f>
        <v>0</v>
      </c>
      <c r="Y22" s="425">
        <f>IFERROR(VLOOKUP($U22,HomeBroker!$A$30:$F$60,4,0),0)</f>
        <v>0</v>
      </c>
      <c r="Z22" s="338">
        <f>IFERROR(VLOOKUP($U22,HomeBroker!$A$30:$F$60,5,0),0)</f>
        <v>0</v>
      </c>
      <c r="AA22" s="341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9"/>
      <c r="AE22" s="339">
        <f t="shared" ca="1" si="64"/>
        <v>0</v>
      </c>
      <c r="AF22" s="340" t="str">
        <f t="shared" si="65"/>
        <v/>
      </c>
      <c r="AG22" s="340" t="str">
        <f t="shared" si="66"/>
        <v/>
      </c>
      <c r="AH22" s="392">
        <f>IFERROR(VLOOKUP($AG22,HomeBroker!$A$30:$F$60,2,0),0)</f>
        <v>0</v>
      </c>
      <c r="AI22" s="426">
        <f>IFERROR(VLOOKUP($AG22,HomeBroker!$A$30:$F$60,3,0),0)</f>
        <v>0</v>
      </c>
      <c r="AJ22" s="575">
        <f>IFERROR(VLOOKUP($AG22,HomeBroker!$A$30:$F$60,6,0),0)</f>
        <v>0</v>
      </c>
      <c r="AK22" s="426">
        <f>IFERROR(VLOOKUP($AG22,HomeBroker!$A$30:$F$60,4,0),0)</f>
        <v>0</v>
      </c>
      <c r="AL22" s="392">
        <f>IFERROR(VLOOKUP($AG22,HomeBroker!$A$30:$F$60,5,0),0)</f>
        <v>0</v>
      </c>
      <c r="AM22" s="428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3513.8385048200007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-4085.28</v>
      </c>
      <c r="EU22" s="72"/>
      <c r="EV22" s="117">
        <f t="shared" si="55"/>
        <v>3513.8385048200007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-4085.28</v>
      </c>
    </row>
    <row r="23" spans="1:193" ht="15">
      <c r="A23" s="420" t="s">
        <v>401</v>
      </c>
      <c r="B23" s="203"/>
      <c r="C23" s="200"/>
      <c r="D23" s="432"/>
      <c r="E23" s="433">
        <f t="shared" si="0"/>
        <v>0</v>
      </c>
      <c r="F23" s="434">
        <f t="shared" si="1"/>
        <v>0</v>
      </c>
      <c r="G23" s="202" t="str">
        <f t="shared" si="2"/>
        <v/>
      </c>
      <c r="H23" s="438">
        <f t="shared" si="58"/>
        <v>0</v>
      </c>
      <c r="I23" s="439">
        <f t="shared" si="3"/>
        <v>0</v>
      </c>
      <c r="J23" s="62"/>
      <c r="K23" s="406">
        <f t="shared" si="72"/>
        <v>0.15927407430000029</v>
      </c>
      <c r="L23" s="580">
        <f t="shared" si="71"/>
        <v>3619.253659964601</v>
      </c>
      <c r="M23" s="462">
        <f t="shared" si="5"/>
        <v>-4085.28</v>
      </c>
      <c r="N23" s="462">
        <f t="shared" ca="1" si="6"/>
        <v>-4085.28</v>
      </c>
      <c r="O23" s="62"/>
      <c r="P23" s="198" t="str">
        <f t="shared" si="59"/>
        <v>-</v>
      </c>
      <c r="Q23" s="391">
        <f t="shared" si="69"/>
        <v>0</v>
      </c>
      <c r="R23" s="194"/>
      <c r="S23" s="423">
        <f t="shared" ca="1" si="60"/>
        <v>0</v>
      </c>
      <c r="T23" s="340" t="str">
        <f t="shared" si="61"/>
        <v/>
      </c>
      <c r="U23" s="340" t="str">
        <f t="shared" si="62"/>
        <v/>
      </c>
      <c r="V23" s="338">
        <f>IFERROR(VLOOKUP($U23,HomeBroker!$A$30:$F$60,2,0),0)</f>
        <v>0</v>
      </c>
      <c r="W23" s="426">
        <f>IFERROR(VLOOKUP($U23,HomeBroker!$A$30:$F$60,3,0),0)</f>
        <v>0</v>
      </c>
      <c r="X23" s="575">
        <f>IFERROR(VLOOKUP($U23,HomeBroker!$A$30:$F$60,6,0),0)</f>
        <v>0</v>
      </c>
      <c r="Y23" s="425">
        <f>IFERROR(VLOOKUP($U23,HomeBroker!$A$30:$F$60,4,0),0)</f>
        <v>0</v>
      </c>
      <c r="Z23" s="338">
        <f>IFERROR(VLOOKUP($U23,HomeBroker!$A$30:$F$60,5,0),0)</f>
        <v>0</v>
      </c>
      <c r="AA23" s="341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9">
        <f t="shared" ca="1" si="64"/>
        <v>0</v>
      </c>
      <c r="AF23" s="340" t="str">
        <f t="shared" si="65"/>
        <v/>
      </c>
      <c r="AG23" s="340" t="str">
        <f t="shared" si="66"/>
        <v/>
      </c>
      <c r="AH23" s="392">
        <f>IFERROR(VLOOKUP($AG23,HomeBroker!$A$30:$F$60,2,0),0)</f>
        <v>0</v>
      </c>
      <c r="AI23" s="426">
        <f>IFERROR(VLOOKUP($AG23,HomeBroker!$A$30:$F$60,3,0),0)</f>
        <v>0</v>
      </c>
      <c r="AJ23" s="575">
        <f>IFERROR(VLOOKUP($AG23,HomeBroker!$A$30:$F$60,6,0),0)</f>
        <v>0</v>
      </c>
      <c r="AK23" s="426">
        <f>IFERROR(VLOOKUP($AG23,HomeBroker!$A$30:$F$60,4,0),0)</f>
        <v>0</v>
      </c>
      <c r="AL23" s="392">
        <f>IFERROR(VLOOKUP($AG23,HomeBroker!$A$30:$F$60,5,0),0)</f>
        <v>0</v>
      </c>
      <c r="AM23" s="428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3619.253659964601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-4085.28</v>
      </c>
      <c r="EU23" s="72"/>
      <c r="EV23" s="117">
        <f t="shared" si="55"/>
        <v>3619.253659964601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-4085.28</v>
      </c>
    </row>
    <row r="24" spans="1:193" ht="15">
      <c r="A24" s="420" t="s">
        <v>401</v>
      </c>
      <c r="B24" s="203"/>
      <c r="C24" s="200"/>
      <c r="D24" s="432"/>
      <c r="E24" s="433">
        <f t="shared" si="0"/>
        <v>0</v>
      </c>
      <c r="F24" s="434">
        <f t="shared" si="1"/>
        <v>0</v>
      </c>
      <c r="G24" s="202" t="str">
        <f t="shared" si="2"/>
        <v/>
      </c>
      <c r="H24" s="438">
        <f t="shared" si="58"/>
        <v>0</v>
      </c>
      <c r="I24" s="439">
        <f t="shared" si="3"/>
        <v>0</v>
      </c>
      <c r="J24" s="62"/>
      <c r="K24" s="403">
        <f>IFERROR(+L24/$L$18-1,"")</f>
        <v>0.19405229652900036</v>
      </c>
      <c r="L24" s="579">
        <f t="shared" si="71"/>
        <v>3727.8312697635392</v>
      </c>
      <c r="M24" s="463">
        <f t="shared" si="5"/>
        <v>-4085.28</v>
      </c>
      <c r="N24" s="463">
        <f t="shared" ca="1" si="6"/>
        <v>-4085.28</v>
      </c>
      <c r="O24" s="62"/>
      <c r="P24" s="198" t="str">
        <f t="shared" si="59"/>
        <v>-</v>
      </c>
      <c r="Q24" s="391">
        <f t="shared" si="69"/>
        <v>0</v>
      </c>
      <c r="R24" s="194"/>
      <c r="S24" s="423">
        <f t="shared" ca="1" si="60"/>
        <v>0</v>
      </c>
      <c r="T24" s="340" t="str">
        <f t="shared" si="61"/>
        <v/>
      </c>
      <c r="U24" s="340" t="str">
        <f t="shared" si="62"/>
        <v/>
      </c>
      <c r="V24" s="338">
        <f>IFERROR(VLOOKUP($U24,HomeBroker!$A$30:$F$60,2,0),0)</f>
        <v>0</v>
      </c>
      <c r="W24" s="426">
        <f>IFERROR(VLOOKUP($U24,HomeBroker!$A$30:$F$60,3,0),0)</f>
        <v>0</v>
      </c>
      <c r="X24" s="575">
        <f>IFERROR(VLOOKUP($U24,HomeBroker!$A$30:$F$60,6,0),0)</f>
        <v>0</v>
      </c>
      <c r="Y24" s="425">
        <f>IFERROR(VLOOKUP($U24,HomeBroker!$A$30:$F$60,4,0),0)</f>
        <v>0</v>
      </c>
      <c r="Z24" s="338">
        <f>IFERROR(VLOOKUP($U24,HomeBroker!$A$30:$F$60,5,0),0)</f>
        <v>0</v>
      </c>
      <c r="AA24" s="341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9">
        <f t="shared" ca="1" si="64"/>
        <v>0</v>
      </c>
      <c r="AF24" s="340" t="str">
        <f t="shared" si="65"/>
        <v/>
      </c>
      <c r="AG24" s="340" t="str">
        <f t="shared" si="66"/>
        <v/>
      </c>
      <c r="AH24" s="392">
        <f>IFERROR(VLOOKUP($AG24,HomeBroker!$A$30:$F$60,2,0),0)</f>
        <v>0</v>
      </c>
      <c r="AI24" s="426">
        <f>IFERROR(VLOOKUP($AG24,HomeBroker!$A$30:$F$60,3,0),0)</f>
        <v>0</v>
      </c>
      <c r="AJ24" s="575">
        <f>IFERROR(VLOOKUP($AG24,HomeBroker!$A$30:$F$60,6,0),0)</f>
        <v>0</v>
      </c>
      <c r="AK24" s="426">
        <f>IFERROR(VLOOKUP($AG24,HomeBroker!$A$30:$F$60,4,0),0)</f>
        <v>0</v>
      </c>
      <c r="AL24" s="392">
        <f>IFERROR(VLOOKUP($AG24,HomeBroker!$A$30:$F$60,5,0),0)</f>
        <v>0</v>
      </c>
      <c r="AM24" s="428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3727.8312697635392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-4085.28</v>
      </c>
      <c r="EU24" s="72"/>
      <c r="EV24" s="117">
        <f t="shared" si="55"/>
        <v>3727.8312697635392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-4085.28</v>
      </c>
    </row>
    <row r="25" spans="1:193" ht="15">
      <c r="A25" s="420" t="s">
        <v>401</v>
      </c>
      <c r="B25" s="203"/>
      <c r="C25" s="200"/>
      <c r="D25" s="432"/>
      <c r="E25" s="433">
        <f t="shared" si="0"/>
        <v>0</v>
      </c>
      <c r="F25" s="434">
        <f t="shared" si="1"/>
        <v>0</v>
      </c>
      <c r="G25" s="202" t="str">
        <f t="shared" si="2"/>
        <v/>
      </c>
      <c r="H25" s="438">
        <f t="shared" si="58"/>
        <v>0</v>
      </c>
      <c r="I25" s="439">
        <f t="shared" si="3"/>
        <v>0</v>
      </c>
      <c r="J25" s="62"/>
      <c r="K25" s="404"/>
      <c r="L25" s="579">
        <f t="shared" si="71"/>
        <v>3839.6662078564455</v>
      </c>
      <c r="M25" s="462">
        <f t="shared" si="5"/>
        <v>-4085.28</v>
      </c>
      <c r="N25" s="462">
        <f t="shared" ca="1" si="6"/>
        <v>-4085.28</v>
      </c>
      <c r="O25" s="62"/>
      <c r="P25" s="198" t="str">
        <f t="shared" si="59"/>
        <v>-</v>
      </c>
      <c r="Q25" s="391">
        <f t="shared" si="69"/>
        <v>0</v>
      </c>
      <c r="R25" s="194"/>
      <c r="S25" s="423">
        <f t="shared" ca="1" si="60"/>
        <v>0</v>
      </c>
      <c r="T25" s="340" t="str">
        <f t="shared" si="61"/>
        <v/>
      </c>
      <c r="U25" s="340" t="str">
        <f t="shared" si="62"/>
        <v/>
      </c>
      <c r="V25" s="338">
        <f>IFERROR(VLOOKUP($U25,HomeBroker!$A$30:$F$60,2,0),0)</f>
        <v>0</v>
      </c>
      <c r="W25" s="426">
        <f>IFERROR(VLOOKUP($U25,HomeBroker!$A$30:$F$60,3,0),0)</f>
        <v>0</v>
      </c>
      <c r="X25" s="575">
        <f>IFERROR(VLOOKUP($U25,HomeBroker!$A$30:$F$60,6,0),0)</f>
        <v>0</v>
      </c>
      <c r="Y25" s="425">
        <f>IFERROR(VLOOKUP($U25,HomeBroker!$A$30:$F$60,4,0),0)</f>
        <v>0</v>
      </c>
      <c r="Z25" s="338">
        <f>IFERROR(VLOOKUP($U25,HomeBroker!$A$30:$F$60,5,0),0)</f>
        <v>0</v>
      </c>
      <c r="AA25" s="341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9">
        <f t="shared" ca="1" si="64"/>
        <v>0</v>
      </c>
      <c r="AF25" s="340" t="str">
        <f t="shared" si="65"/>
        <v/>
      </c>
      <c r="AG25" s="340" t="str">
        <f t="shared" si="66"/>
        <v/>
      </c>
      <c r="AH25" s="392">
        <f>IFERROR(VLOOKUP($AG25,HomeBroker!$A$30:$F$60,2,0),0)</f>
        <v>0</v>
      </c>
      <c r="AI25" s="426">
        <f>IFERROR(VLOOKUP($AG25,HomeBroker!$A$30:$F$60,3,0),0)</f>
        <v>0</v>
      </c>
      <c r="AJ25" s="575">
        <f>IFERROR(VLOOKUP($AG25,HomeBroker!$A$30:$F$60,6,0),0)</f>
        <v>0</v>
      </c>
      <c r="AK25" s="426">
        <f>IFERROR(VLOOKUP($AG25,HomeBroker!$A$30:$F$60,4,0),0)</f>
        <v>0</v>
      </c>
      <c r="AL25" s="392">
        <f>IFERROR(VLOOKUP($AG25,HomeBroker!$A$30:$F$60,5,0),0)</f>
        <v>0</v>
      </c>
      <c r="AM25" s="428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3839.6662078564455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-4085.28</v>
      </c>
      <c r="EU25" s="72"/>
      <c r="EV25" s="117">
        <f t="shared" si="55"/>
        <v>3839.6662078564455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-4085.28</v>
      </c>
    </row>
    <row r="26" spans="1:193" ht="15">
      <c r="A26" s="420" t="s">
        <v>401</v>
      </c>
      <c r="B26" s="203"/>
      <c r="C26" s="200"/>
      <c r="D26" s="432"/>
      <c r="E26" s="433">
        <f t="shared" si="0"/>
        <v>0</v>
      </c>
      <c r="F26" s="434">
        <f t="shared" si="1"/>
        <v>0</v>
      </c>
      <c r="G26" s="202" t="str">
        <f t="shared" si="2"/>
        <v/>
      </c>
      <c r="H26" s="438">
        <f t="shared" si="58"/>
        <v>0</v>
      </c>
      <c r="I26" s="439">
        <f t="shared" si="3"/>
        <v>0</v>
      </c>
      <c r="J26" s="62"/>
      <c r="K26" s="404"/>
      <c r="L26" s="579">
        <f t="shared" si="71"/>
        <v>3954.856194092139</v>
      </c>
      <c r="M26" s="462">
        <f t="shared" si="5"/>
        <v>-4085.28</v>
      </c>
      <c r="N26" s="462">
        <f t="shared" ca="1" si="6"/>
        <v>-4085.28</v>
      </c>
      <c r="O26" s="62"/>
      <c r="P26" s="198" t="str">
        <f t="shared" si="59"/>
        <v>-</v>
      </c>
      <c r="Q26" s="391">
        <f t="shared" si="69"/>
        <v>0</v>
      </c>
      <c r="R26" s="194"/>
      <c r="S26" s="423">
        <f t="shared" ca="1" si="60"/>
        <v>0</v>
      </c>
      <c r="T26" s="340" t="str">
        <f t="shared" si="61"/>
        <v/>
      </c>
      <c r="U26" s="340" t="str">
        <f t="shared" si="62"/>
        <v/>
      </c>
      <c r="V26" s="338">
        <f>IFERROR(VLOOKUP($U26,HomeBroker!$A$30:$F$60,2,0),0)</f>
        <v>0</v>
      </c>
      <c r="W26" s="426">
        <f>IFERROR(VLOOKUP($U26,HomeBroker!$A$30:$F$60,3,0),0)</f>
        <v>0</v>
      </c>
      <c r="X26" s="575">
        <f>IFERROR(VLOOKUP($U26,HomeBroker!$A$30:$F$60,6,0),0)</f>
        <v>0</v>
      </c>
      <c r="Y26" s="425">
        <f>IFERROR(VLOOKUP($U26,HomeBroker!$A$30:$F$60,4,0),0)</f>
        <v>0</v>
      </c>
      <c r="Z26" s="338">
        <f>IFERROR(VLOOKUP($U26,HomeBroker!$A$30:$F$60,5,0),0)</f>
        <v>0</v>
      </c>
      <c r="AA26" s="341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9">
        <f t="shared" ca="1" si="64"/>
        <v>0</v>
      </c>
      <c r="AF26" s="340" t="str">
        <f t="shared" si="65"/>
        <v/>
      </c>
      <c r="AG26" s="340" t="str">
        <f t="shared" si="66"/>
        <v/>
      </c>
      <c r="AH26" s="392">
        <f>IFERROR(VLOOKUP($AG26,HomeBroker!$A$30:$F$60,2,0),0)</f>
        <v>0</v>
      </c>
      <c r="AI26" s="426">
        <f>IFERROR(VLOOKUP($AG26,HomeBroker!$A$30:$F$60,3,0),0)</f>
        <v>0</v>
      </c>
      <c r="AJ26" s="575">
        <f>IFERROR(VLOOKUP($AG26,HomeBroker!$A$30:$F$60,6,0),0)</f>
        <v>0</v>
      </c>
      <c r="AK26" s="426">
        <f>IFERROR(VLOOKUP($AG26,HomeBroker!$A$30:$F$60,4,0),0)</f>
        <v>0</v>
      </c>
      <c r="AL26" s="392">
        <f>IFERROR(VLOOKUP($AG26,HomeBroker!$A$30:$F$60,5,0),0)</f>
        <v>0</v>
      </c>
      <c r="AM26" s="428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3954.856194092139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-4085.28</v>
      </c>
      <c r="EU26" s="72"/>
      <c r="EV26" s="117">
        <f t="shared" si="55"/>
        <v>3954.856194092139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-4085.28</v>
      </c>
    </row>
    <row r="27" spans="1:193" ht="15">
      <c r="A27" s="420" t="s">
        <v>401</v>
      </c>
      <c r="B27" s="205"/>
      <c r="C27" s="200"/>
      <c r="D27" s="432"/>
      <c r="E27" s="433">
        <f t="shared" si="0"/>
        <v>0</v>
      </c>
      <c r="F27" s="434">
        <f t="shared" si="1"/>
        <v>0</v>
      </c>
      <c r="G27" s="202" t="str">
        <f t="shared" si="2"/>
        <v/>
      </c>
      <c r="H27" s="438">
        <f t="shared" si="58"/>
        <v>0</v>
      </c>
      <c r="I27" s="439">
        <f t="shared" si="3"/>
        <v>0</v>
      </c>
      <c r="J27" s="62"/>
      <c r="K27" s="404"/>
      <c r="L27" s="579">
        <f t="shared" si="71"/>
        <v>4073.5018799149034</v>
      </c>
      <c r="M27" s="463">
        <f t="shared" si="5"/>
        <v>-4085.28</v>
      </c>
      <c r="N27" s="463">
        <f t="shared" ca="1" si="6"/>
        <v>-4085.28</v>
      </c>
      <c r="O27" s="62"/>
      <c r="P27" s="198" t="str">
        <f t="shared" si="59"/>
        <v>-</v>
      </c>
      <c r="Q27" s="391">
        <f t="shared" si="69"/>
        <v>0</v>
      </c>
      <c r="R27" s="194"/>
      <c r="S27" s="423">
        <f t="shared" ca="1" si="60"/>
        <v>0</v>
      </c>
      <c r="T27" s="34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0" t="str">
        <f t="shared" si="62"/>
        <v/>
      </c>
      <c r="V27" s="338">
        <f>IFERROR(VLOOKUP($U27,HomeBroker!$A$30:$F$60,2,0),0)</f>
        <v>0</v>
      </c>
      <c r="W27" s="426">
        <f>IFERROR(VLOOKUP($U27,HomeBroker!$A$30:$F$60,3,0),0)</f>
        <v>0</v>
      </c>
      <c r="X27" s="575">
        <f>IFERROR(VLOOKUP($U27,HomeBroker!$A$30:$F$60,6,0),0)</f>
        <v>0</v>
      </c>
      <c r="Y27" s="425">
        <f>IFERROR(VLOOKUP($U27,HomeBroker!$A$30:$F$60,4,0),0)</f>
        <v>0</v>
      </c>
      <c r="Z27" s="338">
        <f>IFERROR(VLOOKUP($U27,HomeBroker!$A$30:$F$60,5,0),0)</f>
        <v>0</v>
      </c>
      <c r="AA27" s="341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9">
        <f t="shared" ca="1" si="64"/>
        <v>0</v>
      </c>
      <c r="AF27" s="34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92">
        <f>IFERROR(VLOOKUP($AG27,HomeBroker!$A$30:$F$60,2,0),0)</f>
        <v>0</v>
      </c>
      <c r="AI27" s="426">
        <f>IFERROR(VLOOKUP($AG27,HomeBroker!$A$30:$F$60,3,0),0)</f>
        <v>0</v>
      </c>
      <c r="AJ27" s="575">
        <f>IFERROR(VLOOKUP($AG27,HomeBroker!$A$30:$F$60,6,0),0)</f>
        <v>0</v>
      </c>
      <c r="AK27" s="426">
        <f>IFERROR(VLOOKUP($AG27,HomeBroker!$A$30:$F$60,4,0),0)</f>
        <v>0</v>
      </c>
      <c r="AL27" s="392">
        <f>IFERROR(VLOOKUP($AG27,HomeBroker!$A$30:$F$60,5,0),0)</f>
        <v>0</v>
      </c>
      <c r="AM27" s="428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4073.5018799149034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-4085.28</v>
      </c>
      <c r="EU27" s="72"/>
      <c r="EV27" s="117">
        <f t="shared" si="55"/>
        <v>4073.5018799149034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-4085.28</v>
      </c>
    </row>
    <row r="28" spans="1:193" ht="15">
      <c r="A28" s="420" t="s">
        <v>401</v>
      </c>
      <c r="B28" s="203"/>
      <c r="C28" s="200"/>
      <c r="D28" s="432"/>
      <c r="E28" s="433">
        <f t="shared" si="0"/>
        <v>0</v>
      </c>
      <c r="F28" s="434">
        <f t="shared" si="1"/>
        <v>0</v>
      </c>
      <c r="G28" s="202" t="str">
        <f t="shared" si="2"/>
        <v/>
      </c>
      <c r="H28" s="438">
        <f t="shared" si="58"/>
        <v>0</v>
      </c>
      <c r="I28" s="439">
        <f t="shared" si="3"/>
        <v>0</v>
      </c>
      <c r="J28" s="62"/>
      <c r="K28" s="407"/>
      <c r="L28" s="579">
        <f t="shared" si="71"/>
        <v>4195.706936312351</v>
      </c>
      <c r="M28" s="462">
        <f t="shared" si="5"/>
        <v>-4085.28</v>
      </c>
      <c r="N28" s="462">
        <f t="shared" ca="1" si="6"/>
        <v>-4085.28</v>
      </c>
      <c r="O28" s="62"/>
      <c r="P28" s="198" t="str">
        <f t="shared" si="59"/>
        <v>-</v>
      </c>
      <c r="Q28" s="391">
        <f t="shared" si="69"/>
        <v>0</v>
      </c>
      <c r="R28" s="194"/>
      <c r="S28" s="423">
        <f t="shared" ca="1" si="60"/>
        <v>0</v>
      </c>
      <c r="T28" s="340" t="str">
        <f t="shared" si="73"/>
        <v/>
      </c>
      <c r="U28" s="340" t="str">
        <f t="shared" si="62"/>
        <v/>
      </c>
      <c r="V28" s="338">
        <f>IFERROR(VLOOKUP($U28,HomeBroker!$A$30:$F$60,2,0),0)</f>
        <v>0</v>
      </c>
      <c r="W28" s="426">
        <f>IFERROR(VLOOKUP($U28,HomeBroker!$A$30:$F$60,3,0),0)</f>
        <v>0</v>
      </c>
      <c r="X28" s="575">
        <f>IFERROR(VLOOKUP($U28,HomeBroker!$A$30:$F$60,6,0),0)</f>
        <v>0</v>
      </c>
      <c r="Y28" s="425">
        <f>IFERROR(VLOOKUP($U28,HomeBroker!$A$30:$F$60,4,0),0)</f>
        <v>0</v>
      </c>
      <c r="Z28" s="338">
        <f>IFERROR(VLOOKUP($U28,HomeBroker!$A$30:$F$60,5,0),0)</f>
        <v>0</v>
      </c>
      <c r="AA28" s="341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9">
        <f t="shared" ca="1" si="64"/>
        <v>0</v>
      </c>
      <c r="AF28" s="340" t="str">
        <f t="shared" si="74"/>
        <v/>
      </c>
      <c r="AG28" s="340" t="str">
        <f t="shared" si="75"/>
        <v/>
      </c>
      <c r="AH28" s="392">
        <f>IFERROR(VLOOKUP($AG28,HomeBroker!$A$30:$F$60,2,0),0)</f>
        <v>0</v>
      </c>
      <c r="AI28" s="426">
        <f>IFERROR(VLOOKUP($AG28,HomeBroker!$A$30:$F$60,3,0),0)</f>
        <v>0</v>
      </c>
      <c r="AJ28" s="575">
        <f>IFERROR(VLOOKUP($AG28,HomeBroker!$A$30:$F$60,6,0),0)</f>
        <v>0</v>
      </c>
      <c r="AK28" s="426">
        <f>IFERROR(VLOOKUP($AG28,HomeBroker!$A$30:$F$60,4,0),0)</f>
        <v>0</v>
      </c>
      <c r="AL28" s="392">
        <f>IFERROR(VLOOKUP($AG28,HomeBroker!$A$30:$F$60,5,0),0)</f>
        <v>0</v>
      </c>
      <c r="AM28" s="428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4195.706936312351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-4085.28</v>
      </c>
      <c r="EU28" s="72"/>
      <c r="EV28" s="117">
        <f t="shared" si="55"/>
        <v>4195.706936312351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-4085.28</v>
      </c>
    </row>
    <row r="29" spans="1:193" ht="15">
      <c r="A29" s="420" t="s">
        <v>401</v>
      </c>
      <c r="B29" s="203"/>
      <c r="C29" s="200"/>
      <c r="D29" s="432"/>
      <c r="E29" s="433">
        <f t="shared" si="0"/>
        <v>0</v>
      </c>
      <c r="F29" s="434">
        <f t="shared" si="1"/>
        <v>0</v>
      </c>
      <c r="G29" s="202" t="str">
        <f t="shared" si="2"/>
        <v/>
      </c>
      <c r="H29" s="438">
        <f t="shared" si="58"/>
        <v>0</v>
      </c>
      <c r="I29" s="439">
        <f t="shared" si="3"/>
        <v>0</v>
      </c>
      <c r="J29" s="62"/>
      <c r="K29" s="106">
        <f>IFERROR(+L29/$L$18-1,"")</f>
        <v>0.38423387072444659</v>
      </c>
      <c r="L29" s="581">
        <f t="shared" si="71"/>
        <v>4321.5781444017221</v>
      </c>
      <c r="M29" s="462">
        <f t="shared" si="5"/>
        <v>20230.349999999999</v>
      </c>
      <c r="N29" s="462">
        <f t="shared" ca="1" si="6"/>
        <v>-4085.28</v>
      </c>
      <c r="O29" s="62"/>
      <c r="P29" s="198" t="str">
        <f t="shared" si="59"/>
        <v>-</v>
      </c>
      <c r="Q29" s="391">
        <f t="shared" si="69"/>
        <v>0</v>
      </c>
      <c r="R29" s="194"/>
      <c r="S29" s="423">
        <f t="shared" ca="1" si="60"/>
        <v>0</v>
      </c>
      <c r="T29" s="340" t="str">
        <f t="shared" si="73"/>
        <v/>
      </c>
      <c r="U29" s="340" t="str">
        <f t="shared" si="62"/>
        <v/>
      </c>
      <c r="V29" s="338">
        <f>IFERROR(VLOOKUP($U29,HomeBroker!$A$30:$F$60,2,0),0)</f>
        <v>0</v>
      </c>
      <c r="W29" s="426">
        <f>IFERROR(VLOOKUP($U29,HomeBroker!$A$30:$F$60,3,0),0)</f>
        <v>0</v>
      </c>
      <c r="X29" s="575">
        <f>IFERROR(VLOOKUP($U29,HomeBroker!$A$30:$F$60,6,0),0)</f>
        <v>0</v>
      </c>
      <c r="Y29" s="425">
        <f>IFERROR(VLOOKUP($U29,HomeBroker!$A$30:$F$60,4,0),0)</f>
        <v>0</v>
      </c>
      <c r="Z29" s="338">
        <f>IFERROR(VLOOKUP($U29,HomeBroker!$A$30:$F$60,5,0),0)</f>
        <v>0</v>
      </c>
      <c r="AA29" s="341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9">
        <f t="shared" ca="1" si="64"/>
        <v>0</v>
      </c>
      <c r="AF29" s="340" t="str">
        <f t="shared" si="74"/>
        <v/>
      </c>
      <c r="AG29" s="340" t="str">
        <f t="shared" si="75"/>
        <v/>
      </c>
      <c r="AH29" s="392">
        <f>IFERROR(VLOOKUP($AG29,HomeBroker!$A$30:$F$60,2,0),0)</f>
        <v>0</v>
      </c>
      <c r="AI29" s="426">
        <f>IFERROR(VLOOKUP($AG29,HomeBroker!$A$30:$F$60,3,0),0)</f>
        <v>0</v>
      </c>
      <c r="AJ29" s="575">
        <f>IFERROR(VLOOKUP($AG29,HomeBroker!$A$30:$F$60,6,0),0)</f>
        <v>0</v>
      </c>
      <c r="AK29" s="426">
        <f>IFERROR(VLOOKUP($AG29,HomeBroker!$A$30:$F$60,4,0),0)</f>
        <v>0</v>
      </c>
      <c r="AL29" s="392">
        <f>IFERROR(VLOOKUP($AG29,HomeBroker!$A$30:$F$60,5,0),0)</f>
        <v>0</v>
      </c>
      <c r="AM29" s="428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4321.5781444017221</v>
      </c>
      <c r="DF29" s="118">
        <f t="shared" si="18"/>
        <v>12157.814440172206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12157.814440172206</v>
      </c>
      <c r="EQ29" s="119"/>
      <c r="ER29" s="126"/>
      <c r="ES29" s="122"/>
      <c r="ET29" s="123">
        <f t="shared" si="54"/>
        <v>20230.349999999999</v>
      </c>
      <c r="EU29" s="72"/>
      <c r="EV29" s="117">
        <f t="shared" si="55"/>
        <v>4321.5781444017221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-4085.28</v>
      </c>
    </row>
    <row r="30" spans="1:193" ht="15">
      <c r="A30" s="420" t="s">
        <v>401</v>
      </c>
      <c r="B30" s="203"/>
      <c r="C30" s="200"/>
      <c r="D30" s="432"/>
      <c r="E30" s="433">
        <f t="shared" si="0"/>
        <v>0</v>
      </c>
      <c r="F30" s="434">
        <f t="shared" si="1"/>
        <v>0</v>
      </c>
      <c r="G30" s="202" t="str">
        <f t="shared" si="2"/>
        <v/>
      </c>
      <c r="H30" s="438">
        <f t="shared" si="58"/>
        <v>0</v>
      </c>
      <c r="I30" s="439">
        <f t="shared" si="3"/>
        <v>0</v>
      </c>
      <c r="J30" s="62"/>
      <c r="K30" s="106"/>
      <c r="L30" s="581">
        <f t="shared" si="71"/>
        <v>4451.225488733774</v>
      </c>
      <c r="M30" s="463">
        <f t="shared" si="5"/>
        <v>46159.81</v>
      </c>
      <c r="N30" s="463">
        <f t="shared" ca="1" si="6"/>
        <v>-4085.28</v>
      </c>
      <c r="O30" s="62"/>
      <c r="P30" s="198" t="str">
        <f t="shared" si="59"/>
        <v>-</v>
      </c>
      <c r="Q30" s="391">
        <f t="shared" si="69"/>
        <v>0</v>
      </c>
      <c r="R30" s="194"/>
      <c r="S30" s="423">
        <f t="shared" ca="1" si="60"/>
        <v>0</v>
      </c>
      <c r="T30" s="340" t="str">
        <f t="shared" si="73"/>
        <v/>
      </c>
      <c r="U30" s="340" t="str">
        <f t="shared" si="62"/>
        <v/>
      </c>
      <c r="V30" s="338">
        <f>IFERROR(VLOOKUP($U30,HomeBroker!$A$30:$F$60,2,0),0)</f>
        <v>0</v>
      </c>
      <c r="W30" s="426">
        <f>IFERROR(VLOOKUP($U30,HomeBroker!$A$30:$F$60,3,0),0)</f>
        <v>0</v>
      </c>
      <c r="X30" s="575">
        <f>IFERROR(VLOOKUP($U30,HomeBroker!$A$30:$F$60,6,0),0)</f>
        <v>0</v>
      </c>
      <c r="Y30" s="425">
        <f>IFERROR(VLOOKUP($U30,HomeBroker!$A$30:$F$60,4,0),0)</f>
        <v>0</v>
      </c>
      <c r="Z30" s="338">
        <f>IFERROR(VLOOKUP($U30,HomeBroker!$A$30:$F$60,5,0),0)</f>
        <v>0</v>
      </c>
      <c r="AA30" s="341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9">
        <f t="shared" ca="1" si="64"/>
        <v>0</v>
      </c>
      <c r="AF30" s="340" t="str">
        <f t="shared" si="74"/>
        <v/>
      </c>
      <c r="AG30" s="340" t="str">
        <f t="shared" si="75"/>
        <v/>
      </c>
      <c r="AH30" s="392">
        <f>IFERROR(VLOOKUP($AG30,HomeBroker!$A$30:$F$60,2,0),0)</f>
        <v>0</v>
      </c>
      <c r="AI30" s="426">
        <f>IFERROR(VLOOKUP($AG30,HomeBroker!$A$30:$F$60,3,0),0)</f>
        <v>0</v>
      </c>
      <c r="AJ30" s="575">
        <f>IFERROR(VLOOKUP($AG30,HomeBroker!$A$30:$F$60,6,0),0)</f>
        <v>0</v>
      </c>
      <c r="AK30" s="426">
        <f>IFERROR(VLOOKUP($AG30,HomeBroker!$A$30:$F$60,4,0),0)</f>
        <v>0</v>
      </c>
      <c r="AL30" s="392">
        <f>IFERROR(VLOOKUP($AG30,HomeBroker!$A$30:$F$60,5,0),0)</f>
        <v>0</v>
      </c>
      <c r="AM30" s="428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4451.225488733774</v>
      </c>
      <c r="DF30" s="118">
        <f t="shared" si="18"/>
        <v>25122.5488733774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25122.5488733774</v>
      </c>
      <c r="EQ30" s="119"/>
      <c r="ER30" s="126"/>
      <c r="ES30" s="122"/>
      <c r="ET30" s="123">
        <f t="shared" si="54"/>
        <v>46159.81</v>
      </c>
      <c r="EU30" s="72"/>
      <c r="EV30" s="117">
        <f t="shared" si="55"/>
        <v>4451.225488733774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-4085.28</v>
      </c>
    </row>
    <row r="31" spans="1:193" ht="15">
      <c r="A31" s="420" t="s">
        <v>401</v>
      </c>
      <c r="B31" s="203"/>
      <c r="C31" s="200"/>
      <c r="D31" s="432"/>
      <c r="E31" s="433">
        <f t="shared" si="0"/>
        <v>0</v>
      </c>
      <c r="F31" s="434">
        <f t="shared" si="1"/>
        <v>0</v>
      </c>
      <c r="G31" s="202" t="str">
        <f t="shared" si="2"/>
        <v/>
      </c>
      <c r="H31" s="438">
        <f t="shared" si="58"/>
        <v>0</v>
      </c>
      <c r="I31" s="439">
        <f t="shared" si="3"/>
        <v>0</v>
      </c>
      <c r="J31" s="62"/>
      <c r="K31" s="106"/>
      <c r="L31" s="581">
        <f t="shared" si="71"/>
        <v>4584.7622533957874</v>
      </c>
      <c r="M31" s="462">
        <f t="shared" si="5"/>
        <v>72867.17</v>
      </c>
      <c r="N31" s="462">
        <f t="shared" ca="1" si="6"/>
        <v>-4085.28</v>
      </c>
      <c r="O31" s="62"/>
      <c r="P31" s="198" t="str">
        <f t="shared" si="59"/>
        <v>-</v>
      </c>
      <c r="Q31" s="391">
        <f t="shared" si="69"/>
        <v>0</v>
      </c>
      <c r="R31" s="194"/>
      <c r="S31" s="423">
        <f t="shared" ca="1" si="60"/>
        <v>0</v>
      </c>
      <c r="T31" s="340" t="str">
        <f t="shared" si="73"/>
        <v/>
      </c>
      <c r="U31" s="340" t="str">
        <f t="shared" si="62"/>
        <v/>
      </c>
      <c r="V31" s="338">
        <f>IFERROR(VLOOKUP($U31,HomeBroker!$A$30:$F$60,2,0),0)</f>
        <v>0</v>
      </c>
      <c r="W31" s="426">
        <f>IFERROR(VLOOKUP($U31,HomeBroker!$A$30:$F$60,3,0),0)</f>
        <v>0</v>
      </c>
      <c r="X31" s="575">
        <f>IFERROR(VLOOKUP($U31,HomeBroker!$A$30:$F$60,6,0),0)</f>
        <v>0</v>
      </c>
      <c r="Y31" s="425">
        <f>IFERROR(VLOOKUP($U31,HomeBroker!$A$30:$F$60,4,0),0)</f>
        <v>0</v>
      </c>
      <c r="Z31" s="338">
        <f>IFERROR(VLOOKUP($U31,HomeBroker!$A$30:$F$60,5,0),0)</f>
        <v>0</v>
      </c>
      <c r="AA31" s="341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9">
        <f t="shared" ca="1" si="64"/>
        <v>0</v>
      </c>
      <c r="AF31" s="340" t="str">
        <f t="shared" si="74"/>
        <v/>
      </c>
      <c r="AG31" s="340" t="str">
        <f t="shared" si="75"/>
        <v/>
      </c>
      <c r="AH31" s="392">
        <f>IFERROR(VLOOKUP($AG31,HomeBroker!$A$30:$F$60,2,0),0)</f>
        <v>0</v>
      </c>
      <c r="AI31" s="426">
        <f>IFERROR(VLOOKUP($AG31,HomeBroker!$A$30:$F$60,3,0),0)</f>
        <v>0</v>
      </c>
      <c r="AJ31" s="575">
        <f>IFERROR(VLOOKUP($AG31,HomeBroker!$A$30:$F$60,6,0),0)</f>
        <v>0</v>
      </c>
      <c r="AK31" s="426">
        <f>IFERROR(VLOOKUP($AG31,HomeBroker!$A$30:$F$60,4,0),0)</f>
        <v>0</v>
      </c>
      <c r="AL31" s="392">
        <f>IFERROR(VLOOKUP($AG31,HomeBroker!$A$30:$F$60,5,0),0)</f>
        <v>0</v>
      </c>
      <c r="AM31" s="428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4584.7622533957874</v>
      </c>
      <c r="DF31" s="118">
        <f t="shared" si="18"/>
        <v>38476.225339578741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38476.225339578741</v>
      </c>
      <c r="EQ31" s="119"/>
      <c r="ER31" s="126"/>
      <c r="ES31" s="122"/>
      <c r="ET31" s="123">
        <f t="shared" si="54"/>
        <v>72867.17</v>
      </c>
      <c r="EU31" s="72"/>
      <c r="EV31" s="117">
        <f t="shared" si="55"/>
        <v>4584.7622533957874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-4085.28</v>
      </c>
    </row>
    <row r="32" spans="1:193" ht="15">
      <c r="A32" s="420" t="s">
        <v>401</v>
      </c>
      <c r="B32" s="203"/>
      <c r="C32" s="200"/>
      <c r="D32" s="432"/>
      <c r="E32" s="433">
        <f t="shared" si="0"/>
        <v>0</v>
      </c>
      <c r="F32" s="434">
        <f t="shared" si="1"/>
        <v>0</v>
      </c>
      <c r="G32" s="202" t="str">
        <f t="shared" si="2"/>
        <v/>
      </c>
      <c r="H32" s="438">
        <f t="shared" si="58"/>
        <v>0</v>
      </c>
      <c r="I32" s="439">
        <f t="shared" si="3"/>
        <v>0</v>
      </c>
      <c r="J32" s="62"/>
      <c r="K32" s="106"/>
      <c r="L32" s="581">
        <f t="shared" si="71"/>
        <v>4722.3051209976611</v>
      </c>
      <c r="M32" s="462">
        <f t="shared" si="5"/>
        <v>100375.74</v>
      </c>
      <c r="N32" s="462">
        <f t="shared" ca="1" si="6"/>
        <v>-4085.28</v>
      </c>
      <c r="O32" s="62"/>
      <c r="P32" s="198" t="str">
        <f t="shared" si="59"/>
        <v>-</v>
      </c>
      <c r="Q32" s="391">
        <f t="shared" si="69"/>
        <v>0</v>
      </c>
      <c r="R32" s="194"/>
      <c r="S32" s="423">
        <f t="shared" ca="1" si="60"/>
        <v>0</v>
      </c>
      <c r="T32" s="340" t="str">
        <f t="shared" si="73"/>
        <v/>
      </c>
      <c r="U32" s="340" t="str">
        <f t="shared" si="62"/>
        <v/>
      </c>
      <c r="V32" s="338">
        <f>IFERROR(VLOOKUP($U32,HomeBroker!$A$30:$F$60,2,0),0)</f>
        <v>0</v>
      </c>
      <c r="W32" s="426">
        <f>IFERROR(VLOOKUP($U32,HomeBroker!$A$30:$F$60,3,0),0)</f>
        <v>0</v>
      </c>
      <c r="X32" s="575">
        <f>IFERROR(VLOOKUP($U32,HomeBroker!$A$30:$F$60,6,0),0)</f>
        <v>0</v>
      </c>
      <c r="Y32" s="425">
        <f>IFERROR(VLOOKUP($U32,HomeBroker!$A$30:$F$60,4,0),0)</f>
        <v>0</v>
      </c>
      <c r="Z32" s="338">
        <f>IFERROR(VLOOKUP($U32,HomeBroker!$A$30:$F$60,5,0),0)</f>
        <v>0</v>
      </c>
      <c r="AA32" s="341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9">
        <f t="shared" ca="1" si="64"/>
        <v>0</v>
      </c>
      <c r="AF32" s="340" t="str">
        <f t="shared" si="74"/>
        <v/>
      </c>
      <c r="AG32" s="340" t="str">
        <f t="shared" si="75"/>
        <v/>
      </c>
      <c r="AH32" s="392">
        <f>IFERROR(VLOOKUP($AG32,HomeBroker!$A$30:$F$60,2,0),0)</f>
        <v>0</v>
      </c>
      <c r="AI32" s="426">
        <f>IFERROR(VLOOKUP($AG32,HomeBroker!$A$30:$F$60,3,0),0)</f>
        <v>0</v>
      </c>
      <c r="AJ32" s="575">
        <f>IFERROR(VLOOKUP($AG32,HomeBroker!$A$30:$F$60,6,0),0)</f>
        <v>0</v>
      </c>
      <c r="AK32" s="426">
        <f>IFERROR(VLOOKUP($AG32,HomeBroker!$A$30:$F$60,4,0),0)</f>
        <v>0</v>
      </c>
      <c r="AL32" s="392">
        <f>IFERROR(VLOOKUP($AG32,HomeBroker!$A$30:$F$60,5,0),0)</f>
        <v>0</v>
      </c>
      <c r="AM32" s="428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4722.3051209976611</v>
      </c>
      <c r="DF32" s="118">
        <f t="shared" si="18"/>
        <v>52230.512099766114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52230.512099766114</v>
      </c>
      <c r="EQ32" s="119"/>
      <c r="ER32" s="126"/>
      <c r="ES32" s="122"/>
      <c r="ET32" s="123">
        <f t="shared" si="54"/>
        <v>100375.74</v>
      </c>
      <c r="EU32" s="72"/>
      <c r="EV32" s="117">
        <f t="shared" si="55"/>
        <v>4722.3051209976611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-4085.28</v>
      </c>
    </row>
    <row r="33" spans="1:193" ht="15">
      <c r="A33" s="420" t="s">
        <v>401</v>
      </c>
      <c r="B33" s="203"/>
      <c r="C33" s="200"/>
      <c r="D33" s="432"/>
      <c r="E33" s="433">
        <f t="shared" si="0"/>
        <v>0</v>
      </c>
      <c r="F33" s="434">
        <f t="shared" si="1"/>
        <v>0</v>
      </c>
      <c r="G33" s="202" t="str">
        <f t="shared" si="2"/>
        <v/>
      </c>
      <c r="H33" s="438">
        <f t="shared" si="58"/>
        <v>0</v>
      </c>
      <c r="I33" s="439">
        <f t="shared" si="3"/>
        <v>0</v>
      </c>
      <c r="J33" s="62"/>
      <c r="K33" s="106"/>
      <c r="L33" s="581">
        <f t="shared" si="71"/>
        <v>4863.9742746275915</v>
      </c>
      <c r="M33" s="463">
        <f t="shared" si="5"/>
        <v>128709.57</v>
      </c>
      <c r="N33" s="463">
        <f t="shared" ca="1" si="6"/>
        <v>-4085.28</v>
      </c>
      <c r="O33" s="62"/>
      <c r="P33" s="198" t="str">
        <f t="shared" si="59"/>
        <v>-</v>
      </c>
      <c r="Q33" s="391">
        <f t="shared" si="69"/>
        <v>0</v>
      </c>
      <c r="R33" s="194"/>
      <c r="S33" s="423">
        <f t="shared" ca="1" si="60"/>
        <v>0</v>
      </c>
      <c r="T33" s="340" t="str">
        <f t="shared" si="73"/>
        <v/>
      </c>
      <c r="U33" s="340" t="str">
        <f t="shared" si="62"/>
        <v/>
      </c>
      <c r="V33" s="338">
        <f>IFERROR(VLOOKUP($U33,HomeBroker!$A$30:$F$60,2,0),0)</f>
        <v>0</v>
      </c>
      <c r="W33" s="426">
        <f>IFERROR(VLOOKUP($U33,HomeBroker!$A$30:$F$60,3,0),0)</f>
        <v>0</v>
      </c>
      <c r="X33" s="575">
        <f>IFERROR(VLOOKUP($U33,HomeBroker!$A$30:$F$60,6,0),0)</f>
        <v>0</v>
      </c>
      <c r="Y33" s="425">
        <f>IFERROR(VLOOKUP($U33,HomeBroker!$A$30:$F$60,4,0),0)</f>
        <v>0</v>
      </c>
      <c r="Z33" s="338">
        <f>IFERROR(VLOOKUP($U33,HomeBroker!$A$30:$F$60,5,0),0)</f>
        <v>0</v>
      </c>
      <c r="AA33" s="341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9">
        <f t="shared" ca="1" si="64"/>
        <v>0</v>
      </c>
      <c r="AF33" s="340" t="str">
        <f t="shared" si="74"/>
        <v/>
      </c>
      <c r="AG33" s="340" t="str">
        <f t="shared" si="75"/>
        <v/>
      </c>
      <c r="AH33" s="392">
        <f>IFERROR(VLOOKUP($AG33,HomeBroker!$A$30:$F$60,2,0),0)</f>
        <v>0</v>
      </c>
      <c r="AI33" s="426">
        <f>IFERROR(VLOOKUP($AG33,HomeBroker!$A$30:$F$60,3,0),0)</f>
        <v>0</v>
      </c>
      <c r="AJ33" s="575">
        <f>IFERROR(VLOOKUP($AG33,HomeBroker!$A$30:$F$60,6,0),0)</f>
        <v>0</v>
      </c>
      <c r="AK33" s="426">
        <f>IFERROR(VLOOKUP($AG33,HomeBroker!$A$30:$F$60,4,0),0)</f>
        <v>0</v>
      </c>
      <c r="AL33" s="392">
        <f>IFERROR(VLOOKUP($AG33,HomeBroker!$A$30:$F$60,5,0),0)</f>
        <v>0</v>
      </c>
      <c r="AM33" s="428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4863.9742746275915</v>
      </c>
      <c r="DF33" s="118">
        <f t="shared" si="18"/>
        <v>66397.427462759151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66397.427462759151</v>
      </c>
      <c r="EQ33" s="119"/>
      <c r="ER33" s="126"/>
      <c r="ES33" s="122"/>
      <c r="ET33" s="123">
        <f t="shared" si="54"/>
        <v>128709.57</v>
      </c>
      <c r="EU33" s="72"/>
      <c r="EV33" s="117">
        <f t="shared" si="55"/>
        <v>4863.9742746275915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-4085.28</v>
      </c>
    </row>
    <row r="34" spans="1:193" ht="15.75" thickBot="1">
      <c r="A34" s="420" t="s">
        <v>401</v>
      </c>
      <c r="B34" s="203"/>
      <c r="C34" s="200"/>
      <c r="D34" s="432"/>
      <c r="E34" s="433">
        <f t="shared" si="0"/>
        <v>0</v>
      </c>
      <c r="F34" s="434">
        <f t="shared" si="1"/>
        <v>0</v>
      </c>
      <c r="G34" s="202" t="str">
        <f t="shared" si="2"/>
        <v/>
      </c>
      <c r="H34" s="438">
        <f t="shared" si="58"/>
        <v>0</v>
      </c>
      <c r="I34" s="439">
        <f t="shared" si="3"/>
        <v>0</v>
      </c>
      <c r="J34" s="62"/>
      <c r="K34" s="133"/>
      <c r="L34" s="582">
        <f t="shared" si="71"/>
        <v>5009.8935028664191</v>
      </c>
      <c r="M34" s="464">
        <f t="shared" si="5"/>
        <v>157893.42000000001</v>
      </c>
      <c r="N34" s="464">
        <f t="shared" ca="1" si="6"/>
        <v>-4085.28</v>
      </c>
      <c r="O34" s="134"/>
      <c r="P34" s="198" t="str">
        <f t="shared" si="59"/>
        <v>-</v>
      </c>
      <c r="Q34" s="391">
        <f t="shared" si="69"/>
        <v>0</v>
      </c>
      <c r="R34" s="194"/>
      <c r="S34" s="423">
        <f t="shared" ca="1" si="60"/>
        <v>0</v>
      </c>
      <c r="T34" s="340" t="str">
        <f t="shared" si="73"/>
        <v/>
      </c>
      <c r="U34" s="340" t="str">
        <f t="shared" si="62"/>
        <v/>
      </c>
      <c r="V34" s="338">
        <f>IFERROR(VLOOKUP($U34,HomeBroker!$A$30:$F$60,2,0),0)</f>
        <v>0</v>
      </c>
      <c r="W34" s="426">
        <f>IFERROR(VLOOKUP($U34,HomeBroker!$A$30:$F$60,3,0),0)</f>
        <v>0</v>
      </c>
      <c r="X34" s="575">
        <f>IFERROR(VLOOKUP($U34,HomeBroker!$A$30:$F$60,6,0),0)</f>
        <v>0</v>
      </c>
      <c r="Y34" s="425">
        <f>IFERROR(VLOOKUP($U34,HomeBroker!$A$30:$F$60,4,0),0)</f>
        <v>0</v>
      </c>
      <c r="Z34" s="338">
        <f>IFERROR(VLOOKUP($U34,HomeBroker!$A$30:$F$60,5,0),0)</f>
        <v>0</v>
      </c>
      <c r="AA34" s="341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9">
        <f t="shared" ca="1" si="64"/>
        <v>0</v>
      </c>
      <c r="AF34" s="340" t="str">
        <f t="shared" si="74"/>
        <v/>
      </c>
      <c r="AG34" s="340" t="str">
        <f t="shared" si="75"/>
        <v/>
      </c>
      <c r="AH34" s="392">
        <f>IFERROR(VLOOKUP($AG34,HomeBroker!$A$30:$F$60,2,0),0)</f>
        <v>0</v>
      </c>
      <c r="AI34" s="426">
        <f>IFERROR(VLOOKUP($AG34,HomeBroker!$A$30:$F$60,3,0),0)</f>
        <v>0</v>
      </c>
      <c r="AJ34" s="575">
        <f>IFERROR(VLOOKUP($AG34,HomeBroker!$A$30:$F$60,6,0),0)</f>
        <v>0</v>
      </c>
      <c r="AK34" s="426">
        <f>IFERROR(VLOOKUP($AG34,HomeBroker!$A$30:$F$60,4,0),0)</f>
        <v>0</v>
      </c>
      <c r="AL34" s="392">
        <f>IFERROR(VLOOKUP($AG34,HomeBroker!$A$30:$F$60,5,0),0)</f>
        <v>0</v>
      </c>
      <c r="AM34" s="428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5009.8935028664191</v>
      </c>
      <c r="DF34" s="118">
        <f t="shared" si="18"/>
        <v>80989.350286641915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80989.350286641915</v>
      </c>
      <c r="EQ34" s="119"/>
      <c r="ER34" s="135"/>
      <c r="ES34" s="136"/>
      <c r="ET34" s="137">
        <f t="shared" si="54"/>
        <v>157893.42000000001</v>
      </c>
      <c r="EU34" s="72"/>
      <c r="EV34" s="117">
        <f t="shared" si="55"/>
        <v>5009.8935028664191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-4085.28</v>
      </c>
    </row>
    <row r="35" spans="1:193" ht="15">
      <c r="A35" s="420" t="s">
        <v>401</v>
      </c>
      <c r="B35" s="203"/>
      <c r="C35" s="200"/>
      <c r="D35" s="432"/>
      <c r="E35" s="433">
        <f t="shared" si="0"/>
        <v>0</v>
      </c>
      <c r="F35" s="434">
        <f t="shared" ref="F35:F66" si="76">IF(B35&gt;0,+B35*D35*(1+($N$53+0.002)*1.21)*-100,B35*D35*(1-($N$53+0.002)*1.21)*-100)</f>
        <v>0</v>
      </c>
      <c r="G35" s="202" t="str">
        <f t="shared" si="2"/>
        <v/>
      </c>
      <c r="H35" s="438">
        <f t="shared" si="58"/>
        <v>0</v>
      </c>
      <c r="I35" s="439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91">
        <f t="shared" si="69"/>
        <v>0</v>
      </c>
      <c r="R35" s="194"/>
      <c r="S35" s="423">
        <f t="shared" ca="1" si="60"/>
        <v>0</v>
      </c>
      <c r="T35" s="340" t="str">
        <f t="shared" si="73"/>
        <v/>
      </c>
      <c r="U35" s="340" t="str">
        <f t="shared" si="62"/>
        <v/>
      </c>
      <c r="V35" s="338">
        <f>IFERROR(VLOOKUP($U35,HomeBroker!$A$30:$F$60,2,0),0)</f>
        <v>0</v>
      </c>
      <c r="W35" s="426">
        <f>IFERROR(VLOOKUP($U35,HomeBroker!$A$30:$F$60,3,0),0)</f>
        <v>0</v>
      </c>
      <c r="X35" s="575">
        <f>IFERROR(VLOOKUP($U35,HomeBroker!$A$30:$F$60,6,0),0)</f>
        <v>0</v>
      </c>
      <c r="Y35" s="425">
        <f>IFERROR(VLOOKUP($U35,HomeBroker!$A$30:$F$60,4,0),0)</f>
        <v>0</v>
      </c>
      <c r="Z35" s="338">
        <f>IFERROR(VLOOKUP($U35,HomeBroker!$A$30:$F$60,5,0),0)</f>
        <v>0</v>
      </c>
      <c r="AA35" s="341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9">
        <f t="shared" ca="1" si="64"/>
        <v>0</v>
      </c>
      <c r="AF35" s="340" t="str">
        <f t="shared" si="74"/>
        <v/>
      </c>
      <c r="AG35" s="340" t="str">
        <f t="shared" si="75"/>
        <v/>
      </c>
      <c r="AH35" s="392">
        <f>IFERROR(VLOOKUP($AG35,HomeBroker!$A$30:$F$60,2,0),0)</f>
        <v>0</v>
      </c>
      <c r="AI35" s="426">
        <f>IFERROR(VLOOKUP($AG35,HomeBroker!$A$30:$F$60,3,0),0)</f>
        <v>0</v>
      </c>
      <c r="AJ35" s="575">
        <f>IFERROR(VLOOKUP($AG35,HomeBroker!$A$30:$F$60,6,0),0)</f>
        <v>0</v>
      </c>
      <c r="AK35" s="426">
        <f>IFERROR(VLOOKUP($AG35,HomeBroker!$A$30:$F$60,4,0),0)</f>
        <v>0</v>
      </c>
      <c r="AL35" s="392">
        <f>IFERROR(VLOOKUP($AG35,HomeBroker!$A$30:$F$60,5,0),0)</f>
        <v>0</v>
      </c>
      <c r="AM35" s="428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20" t="s">
        <v>401</v>
      </c>
      <c r="B36" s="203"/>
      <c r="C36" s="200"/>
      <c r="D36" s="432"/>
      <c r="E36" s="433">
        <f t="shared" si="0"/>
        <v>0</v>
      </c>
      <c r="F36" s="434">
        <f t="shared" si="76"/>
        <v>0</v>
      </c>
      <c r="G36" s="202" t="str">
        <f t="shared" si="2"/>
        <v/>
      </c>
      <c r="H36" s="438">
        <f t="shared" si="58"/>
        <v>0</v>
      </c>
      <c r="I36" s="439">
        <f t="shared" si="3"/>
        <v>0</v>
      </c>
      <c r="J36" s="62"/>
      <c r="K36" s="880" t="s">
        <v>442</v>
      </c>
      <c r="L36" s="859"/>
      <c r="M36" s="860"/>
      <c r="N36" s="410">
        <f>SUM(AY:AY)+SUM(BE:BE)+SUM(BJ:BJ)+$F$76</f>
        <v>-4085.2836000000002</v>
      </c>
      <c r="O36" s="62"/>
      <c r="P36" s="198" t="str">
        <f t="shared" si="59"/>
        <v>-</v>
      </c>
      <c r="Q36" s="391">
        <f t="shared" si="69"/>
        <v>0</v>
      </c>
      <c r="R36" s="194"/>
      <c r="S36" s="423">
        <f t="shared" ca="1" si="60"/>
        <v>0</v>
      </c>
      <c r="T36" s="340" t="str">
        <f t="shared" si="73"/>
        <v/>
      </c>
      <c r="U36" s="340" t="str">
        <f t="shared" si="62"/>
        <v/>
      </c>
      <c r="V36" s="338">
        <f>IFERROR(VLOOKUP($U36,HomeBroker!$A$30:$F$60,2,0),0)</f>
        <v>0</v>
      </c>
      <c r="W36" s="426">
        <f>IFERROR(VLOOKUP($U36,HomeBroker!$A$30:$F$60,3,0),0)</f>
        <v>0</v>
      </c>
      <c r="X36" s="575">
        <f>IFERROR(VLOOKUP($U36,HomeBroker!$A$30:$F$60,6,0),0)</f>
        <v>0</v>
      </c>
      <c r="Y36" s="425">
        <f>IFERROR(VLOOKUP($U36,HomeBroker!$A$30:$F$60,4,0),0)</f>
        <v>0</v>
      </c>
      <c r="Z36" s="338">
        <f>IFERROR(VLOOKUP($U36,HomeBroker!$A$30:$F$60,5,0),0)</f>
        <v>0</v>
      </c>
      <c r="AA36" s="341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9">
        <f t="shared" ca="1" si="64"/>
        <v>0</v>
      </c>
      <c r="AF36" s="340" t="str">
        <f t="shared" si="74"/>
        <v/>
      </c>
      <c r="AG36" s="340" t="str">
        <f t="shared" si="75"/>
        <v/>
      </c>
      <c r="AH36" s="392">
        <f>IFERROR(VLOOKUP($AG36,HomeBroker!$A$30:$F$60,2,0),0)</f>
        <v>0</v>
      </c>
      <c r="AI36" s="426">
        <f>IFERROR(VLOOKUP($AG36,HomeBroker!$A$30:$F$60,3,0),0)</f>
        <v>0</v>
      </c>
      <c r="AJ36" s="575">
        <f>IFERROR(VLOOKUP($AG36,HomeBroker!$A$30:$F$60,6,0),0)</f>
        <v>0</v>
      </c>
      <c r="AK36" s="426">
        <f>IFERROR(VLOOKUP($AG36,HomeBroker!$A$30:$F$60,4,0),0)</f>
        <v>0</v>
      </c>
      <c r="AL36" s="392">
        <f>IFERROR(VLOOKUP($AG36,HomeBroker!$A$30:$F$60,5,0),0)</f>
        <v>0</v>
      </c>
      <c r="AM36" s="428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1977.0102124850546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1977.0102124850546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21" t="s">
        <v>401</v>
      </c>
      <c r="B37" s="412"/>
      <c r="C37" s="413"/>
      <c r="D37" s="435"/>
      <c r="E37" s="436">
        <f t="shared" si="0"/>
        <v>0</v>
      </c>
      <c r="F37" s="437">
        <f t="shared" si="76"/>
        <v>0</v>
      </c>
      <c r="G37" s="414" t="str">
        <f t="shared" si="2"/>
        <v/>
      </c>
      <c r="H37" s="440">
        <f t="shared" si="58"/>
        <v>0</v>
      </c>
      <c r="I37" s="437">
        <f t="shared" si="3"/>
        <v>0</v>
      </c>
      <c r="J37" s="62"/>
      <c r="K37" s="880" t="s">
        <v>443</v>
      </c>
      <c r="L37" s="859"/>
      <c r="M37" s="860"/>
      <c r="N37" s="41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5614.7163999999993</v>
      </c>
      <c r="O37" s="62"/>
      <c r="P37" s="198" t="str">
        <f t="shared" si="59"/>
        <v>-</v>
      </c>
      <c r="Q37" s="391">
        <f t="shared" si="69"/>
        <v>0</v>
      </c>
      <c r="R37" s="194"/>
      <c r="S37" s="423">
        <f t="shared" ca="1" si="60"/>
        <v>0</v>
      </c>
      <c r="T37" s="340" t="str">
        <f t="shared" si="73"/>
        <v/>
      </c>
      <c r="U37" s="340" t="str">
        <f t="shared" si="62"/>
        <v/>
      </c>
      <c r="V37" s="338">
        <f>IFERROR(VLOOKUP($U37,HomeBroker!$A$30:$F$60,2,0),0)</f>
        <v>0</v>
      </c>
      <c r="W37" s="426">
        <f>IFERROR(VLOOKUP($U37,HomeBroker!$A$30:$F$60,3,0),0)</f>
        <v>0</v>
      </c>
      <c r="X37" s="575">
        <f>IFERROR(VLOOKUP($U37,HomeBroker!$A$30:$F$60,6,0),0)</f>
        <v>0</v>
      </c>
      <c r="Y37" s="425">
        <f>IFERROR(VLOOKUP($U37,HomeBroker!$A$30:$F$60,4,0),0)</f>
        <v>0</v>
      </c>
      <c r="Z37" s="338">
        <f>IFERROR(VLOOKUP($U37,HomeBroker!$A$30:$F$60,5,0),0)</f>
        <v>0</v>
      </c>
      <c r="AA37" s="341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9">
        <f t="shared" ca="1" si="64"/>
        <v>0</v>
      </c>
      <c r="AF37" s="340" t="str">
        <f t="shared" si="74"/>
        <v/>
      </c>
      <c r="AG37" s="340" t="str">
        <f t="shared" si="75"/>
        <v/>
      </c>
      <c r="AH37" s="392">
        <f>IFERROR(VLOOKUP($AG37,HomeBroker!$A$30:$F$60,2,0),0)</f>
        <v>0</v>
      </c>
      <c r="AI37" s="426">
        <f>IFERROR(VLOOKUP($AG37,HomeBroker!$A$30:$F$60,3,0),0)</f>
        <v>0</v>
      </c>
      <c r="AJ37" s="575">
        <f>IFERROR(VLOOKUP($AG37,HomeBroker!$A$30:$F$60,6,0),0)</f>
        <v>0</v>
      </c>
      <c r="AK37" s="426">
        <f>IFERROR(VLOOKUP($AG37,HomeBroker!$A$30:$F$60,4,0),0)</f>
        <v>0</v>
      </c>
      <c r="AL37" s="392">
        <f>IFERROR(VLOOKUP($AG37,HomeBroker!$A$30:$F$60,5,0),0)</f>
        <v>0</v>
      </c>
      <c r="AM37" s="428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2038.1548582320152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2038.1548582320152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22" t="s">
        <v>401</v>
      </c>
      <c r="B38" s="144"/>
      <c r="C38" s="200"/>
      <c r="D38" s="201"/>
      <c r="E38" s="441">
        <f t="shared" si="0"/>
        <v>0</v>
      </c>
      <c r="F38" s="442">
        <f t="shared" si="76"/>
        <v>0</v>
      </c>
      <c r="G38" s="202" t="str">
        <f>IFERROR(VLOOKUP(C38,$AD$3:$AM$50,7,0),"")</f>
        <v/>
      </c>
      <c r="H38" s="451">
        <f t="shared" si="58"/>
        <v>0</v>
      </c>
      <c r="I38" s="452">
        <f t="shared" si="3"/>
        <v>0</v>
      </c>
      <c r="J38" s="62"/>
      <c r="K38" s="881" t="s">
        <v>444</v>
      </c>
      <c r="L38" s="859"/>
      <c r="M38" s="860"/>
      <c r="N38" s="145">
        <f>SUM(Q3:Q42)</f>
        <v>1</v>
      </c>
      <c r="O38" s="62"/>
      <c r="P38" s="198" t="str">
        <f t="shared" si="59"/>
        <v>-</v>
      </c>
      <c r="Q38" s="391">
        <f t="shared" si="69"/>
        <v>0</v>
      </c>
      <c r="R38" s="194"/>
      <c r="S38" s="423">
        <f t="shared" ca="1" si="60"/>
        <v>0</v>
      </c>
      <c r="T38" s="340" t="str">
        <f t="shared" si="73"/>
        <v/>
      </c>
      <c r="U38" s="340" t="str">
        <f t="shared" si="62"/>
        <v/>
      </c>
      <c r="V38" s="338">
        <f>IFERROR(VLOOKUP($U38,HomeBroker!$A$30:$F$60,2,0),0)</f>
        <v>0</v>
      </c>
      <c r="W38" s="426">
        <f>IFERROR(VLOOKUP($U38,HomeBroker!$A$30:$F$60,3,0),0)</f>
        <v>0</v>
      </c>
      <c r="X38" s="575">
        <f>IFERROR(VLOOKUP($U38,HomeBroker!$A$30:$F$60,6,0),0)</f>
        <v>0</v>
      </c>
      <c r="Y38" s="425">
        <f>IFERROR(VLOOKUP($U38,HomeBroker!$A$30:$F$60,4,0),0)</f>
        <v>0</v>
      </c>
      <c r="Z38" s="338">
        <f>IFERROR(VLOOKUP($U38,HomeBroker!$A$30:$F$60,5,0),0)</f>
        <v>0</v>
      </c>
      <c r="AA38" s="341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9">
        <f t="shared" ca="1" si="64"/>
        <v>0</v>
      </c>
      <c r="AF38" s="340" t="str">
        <f t="shared" si="74"/>
        <v/>
      </c>
      <c r="AG38" s="340" t="str">
        <f t="shared" si="75"/>
        <v/>
      </c>
      <c r="AH38" s="392">
        <f>IFERROR(VLOOKUP($AG38,HomeBroker!$A$30:$F$60,2,0),0)</f>
        <v>0</v>
      </c>
      <c r="AI38" s="426">
        <f>IFERROR(VLOOKUP($AG38,HomeBroker!$A$30:$F$60,3,0),0)</f>
        <v>0</v>
      </c>
      <c r="AJ38" s="575">
        <f>IFERROR(VLOOKUP($AG38,HomeBroker!$A$30:$F$60,6,0),0)</f>
        <v>0</v>
      </c>
      <c r="AK38" s="426">
        <f>IFERROR(VLOOKUP($AG38,HomeBroker!$A$30:$F$60,4,0),0)</f>
        <v>0</v>
      </c>
      <c r="AL38" s="392">
        <f>IFERROR(VLOOKUP($AG38,HomeBroker!$A$30:$F$60,5,0),0)</f>
        <v>0</v>
      </c>
      <c r="AM38" s="428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2101.190575496923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2101.190575496923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22" t="s">
        <v>401</v>
      </c>
      <c r="B39" s="144"/>
      <c r="C39" s="200"/>
      <c r="D39" s="201"/>
      <c r="E39" s="441">
        <f t="shared" si="0"/>
        <v>0</v>
      </c>
      <c r="F39" s="442">
        <f t="shared" si="76"/>
        <v>0</v>
      </c>
      <c r="G39" s="202" t="str">
        <f>IFERROR(VLOOKUP(C39,$AD$3:$AM$50,7,0),"")</f>
        <v/>
      </c>
      <c r="H39" s="451">
        <f t="shared" si="58"/>
        <v>0</v>
      </c>
      <c r="I39" s="452">
        <f t="shared" si="3"/>
        <v>0</v>
      </c>
      <c r="J39" s="62"/>
      <c r="K39" s="882" t="s">
        <v>445</v>
      </c>
      <c r="L39" s="859"/>
      <c r="M39" s="860"/>
      <c r="N39" s="150">
        <f>SUM(AC3:AC42)</f>
        <v>0</v>
      </c>
      <c r="O39" s="62"/>
      <c r="P39" s="198" t="str">
        <f t="shared" si="59"/>
        <v>-</v>
      </c>
      <c r="Q39" s="391">
        <f t="shared" si="69"/>
        <v>0</v>
      </c>
      <c r="R39" s="194"/>
      <c r="S39" s="423">
        <f t="shared" ca="1" si="60"/>
        <v>0</v>
      </c>
      <c r="T39" s="340" t="str">
        <f t="shared" si="73"/>
        <v/>
      </c>
      <c r="U39" s="340" t="str">
        <f t="shared" si="62"/>
        <v/>
      </c>
      <c r="V39" s="338">
        <f>IFERROR(VLOOKUP($U39,HomeBroker!$A$30:$F$60,2,0),0)</f>
        <v>0</v>
      </c>
      <c r="W39" s="426">
        <f>IFERROR(VLOOKUP($U39,HomeBroker!$A$30:$F$60,3,0),0)</f>
        <v>0</v>
      </c>
      <c r="X39" s="575">
        <f>IFERROR(VLOOKUP($U39,HomeBroker!$A$30:$F$60,6,0),0)</f>
        <v>0</v>
      </c>
      <c r="Y39" s="425">
        <f>IFERROR(VLOOKUP($U39,HomeBroker!$A$30:$F$60,4,0),0)</f>
        <v>0</v>
      </c>
      <c r="Z39" s="338">
        <f>IFERROR(VLOOKUP($U39,HomeBroker!$A$30:$F$60,5,0),0)</f>
        <v>0</v>
      </c>
      <c r="AA39" s="341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9">
        <f t="shared" ca="1" si="64"/>
        <v>0</v>
      </c>
      <c r="AF39" s="340" t="str">
        <f t="shared" si="74"/>
        <v/>
      </c>
      <c r="AG39" s="340" t="str">
        <f t="shared" si="75"/>
        <v/>
      </c>
      <c r="AH39" s="392">
        <f>IFERROR(VLOOKUP($AG39,HomeBroker!$A$30:$F$60,2,0),0)</f>
        <v>0</v>
      </c>
      <c r="AI39" s="426">
        <f>IFERROR(VLOOKUP($AG39,HomeBroker!$A$30:$F$60,3,0),0)</f>
        <v>0</v>
      </c>
      <c r="AJ39" s="575">
        <f>IFERROR(VLOOKUP($AG39,HomeBroker!$A$30:$F$60,6,0),0)</f>
        <v>0</v>
      </c>
      <c r="AK39" s="426">
        <f>IFERROR(VLOOKUP($AG39,HomeBroker!$A$30:$F$60,4,0),0)</f>
        <v>0</v>
      </c>
      <c r="AL39" s="392">
        <f>IFERROR(VLOOKUP($AG39,HomeBroker!$A$30:$F$60,5,0),0)</f>
        <v>0</v>
      </c>
      <c r="AM39" s="428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2166.1758510277559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2166.1758510277559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22" t="s">
        <v>401</v>
      </c>
      <c r="B40" s="144"/>
      <c r="C40" s="200"/>
      <c r="D40" s="201"/>
      <c r="E40" s="441">
        <f t="shared" si="0"/>
        <v>0</v>
      </c>
      <c r="F40" s="442">
        <f t="shared" si="76"/>
        <v>0</v>
      </c>
      <c r="G40" s="202" t="str">
        <f t="shared" ref="G40:G72" si="124">IFERROR(VLOOKUP(C40,$AD$3:$AM$42,7,0),"")</f>
        <v/>
      </c>
      <c r="H40" s="451">
        <f t="shared" si="58"/>
        <v>0</v>
      </c>
      <c r="I40" s="452">
        <f t="shared" si="3"/>
        <v>0</v>
      </c>
      <c r="J40" s="62"/>
      <c r="K40" s="879" t="s">
        <v>0</v>
      </c>
      <c r="L40" s="859"/>
      <c r="M40" s="860"/>
      <c r="N40" s="151">
        <f>AB43+SUM(B73:B75)</f>
        <v>0</v>
      </c>
      <c r="O40" s="62"/>
      <c r="P40" s="198" t="str">
        <f t="shared" si="59"/>
        <v>-</v>
      </c>
      <c r="Q40" s="391">
        <f t="shared" si="69"/>
        <v>0</v>
      </c>
      <c r="R40" s="194"/>
      <c r="S40" s="423">
        <f t="shared" ca="1" si="60"/>
        <v>0</v>
      </c>
      <c r="T40" s="340" t="str">
        <f t="shared" si="73"/>
        <v/>
      </c>
      <c r="U40" s="340" t="str">
        <f t="shared" si="62"/>
        <v/>
      </c>
      <c r="V40" s="338">
        <f>IFERROR(VLOOKUP($U40,HomeBroker!$A$30:$F$60,2,0),0)</f>
        <v>0</v>
      </c>
      <c r="W40" s="426">
        <f>IFERROR(VLOOKUP($U40,HomeBroker!$A$30:$F$60,3,0),0)</f>
        <v>0</v>
      </c>
      <c r="X40" s="575">
        <f>IFERROR(VLOOKUP($U40,HomeBroker!$A$30:$F$60,6,0),0)</f>
        <v>0</v>
      </c>
      <c r="Y40" s="425">
        <f>IFERROR(VLOOKUP($U40,HomeBroker!$A$30:$F$60,4,0),0)</f>
        <v>0</v>
      </c>
      <c r="Z40" s="338">
        <f>IFERROR(VLOOKUP($U40,HomeBroker!$A$30:$F$60,5,0),0)</f>
        <v>0</v>
      </c>
      <c r="AA40" s="341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9">
        <f t="shared" ca="1" si="64"/>
        <v>0</v>
      </c>
      <c r="AF40" s="340" t="str">
        <f t="shared" si="74"/>
        <v/>
      </c>
      <c r="AG40" s="340" t="str">
        <f t="shared" si="75"/>
        <v/>
      </c>
      <c r="AH40" s="392">
        <f>IFERROR(VLOOKUP($AG40,HomeBroker!$A$30:$F$60,2,0),0)</f>
        <v>0</v>
      </c>
      <c r="AI40" s="426">
        <f>IFERROR(VLOOKUP($AG40,HomeBroker!$A$30:$F$60,3,0),0)</f>
        <v>0</v>
      </c>
      <c r="AJ40" s="575">
        <f>IFERROR(VLOOKUP($AG40,HomeBroker!$A$30:$F$60,6,0),0)</f>
        <v>0</v>
      </c>
      <c r="AK40" s="426">
        <f>IFERROR(VLOOKUP($AG40,HomeBroker!$A$30:$F$60,4,0),0)</f>
        <v>0</v>
      </c>
      <c r="AL40" s="392">
        <f>IFERROR(VLOOKUP($AG40,HomeBroker!$A$30:$F$60,5,0),0)</f>
        <v>0</v>
      </c>
      <c r="AM40" s="428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2233.1709804409857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2233.1709804409857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22" t="s">
        <v>401</v>
      </c>
      <c r="B41" s="144"/>
      <c r="C41" s="200"/>
      <c r="D41" s="201"/>
      <c r="E41" s="441">
        <f t="shared" si="0"/>
        <v>0</v>
      </c>
      <c r="F41" s="442">
        <f t="shared" si="76"/>
        <v>0</v>
      </c>
      <c r="G41" s="202" t="str">
        <f t="shared" si="124"/>
        <v/>
      </c>
      <c r="H41" s="451">
        <f t="shared" si="58"/>
        <v>0</v>
      </c>
      <c r="I41" s="452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91">
        <f t="shared" si="69"/>
        <v>0</v>
      </c>
      <c r="R41" s="194"/>
      <c r="S41" s="423">
        <f t="shared" ca="1" si="60"/>
        <v>0</v>
      </c>
      <c r="T41" s="340" t="str">
        <f t="shared" si="73"/>
        <v/>
      </c>
      <c r="U41" s="340" t="str">
        <f t="shared" si="62"/>
        <v/>
      </c>
      <c r="V41" s="338">
        <f>IFERROR(VLOOKUP($U41,HomeBroker!$A$30:$F$60,2,0),0)</f>
        <v>0</v>
      </c>
      <c r="W41" s="426">
        <f>IFERROR(VLOOKUP($U41,HomeBroker!$A$30:$F$60,3,0),0)</f>
        <v>0</v>
      </c>
      <c r="X41" s="575">
        <f>IFERROR(VLOOKUP($U41,HomeBroker!$A$30:$F$60,6,0),0)</f>
        <v>0</v>
      </c>
      <c r="Y41" s="425">
        <f>IFERROR(VLOOKUP($U41,HomeBroker!$A$30:$F$60,4,0),0)</f>
        <v>0</v>
      </c>
      <c r="Z41" s="338">
        <f>IFERROR(VLOOKUP($U41,HomeBroker!$A$30:$F$60,5,0),0)</f>
        <v>0</v>
      </c>
      <c r="AA41" s="341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9">
        <f t="shared" ca="1" si="64"/>
        <v>0</v>
      </c>
      <c r="AF41" s="340" t="str">
        <f t="shared" si="74"/>
        <v/>
      </c>
      <c r="AG41" s="340" t="str">
        <f t="shared" si="75"/>
        <v/>
      </c>
      <c r="AH41" s="392">
        <f>IFERROR(VLOOKUP($AG41,HomeBroker!$A$30:$F$60,2,0),0)</f>
        <v>0</v>
      </c>
      <c r="AI41" s="426">
        <f>IFERROR(VLOOKUP($AG41,HomeBroker!$A$30:$F$60,3,0),0)</f>
        <v>0</v>
      </c>
      <c r="AJ41" s="575">
        <f>IFERROR(VLOOKUP($AG41,HomeBroker!$A$30:$F$60,6,0),0)</f>
        <v>0</v>
      </c>
      <c r="AK41" s="426">
        <f>IFERROR(VLOOKUP($AG41,HomeBroker!$A$30:$F$60,4,0),0)</f>
        <v>0</v>
      </c>
      <c r="AL41" s="392">
        <f>IFERROR(VLOOKUP($AG41,HomeBroker!$A$30:$F$60,5,0),0)</f>
        <v>0</v>
      </c>
      <c r="AM41" s="428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2302.2381241659646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2302.2381241659646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22" t="s">
        <v>401</v>
      </c>
      <c r="B42" s="144"/>
      <c r="C42" s="200"/>
      <c r="D42" s="201"/>
      <c r="E42" s="441">
        <f t="shared" si="0"/>
        <v>0</v>
      </c>
      <c r="F42" s="442">
        <f t="shared" si="76"/>
        <v>0</v>
      </c>
      <c r="G42" s="202" t="str">
        <f t="shared" si="124"/>
        <v/>
      </c>
      <c r="H42" s="451">
        <f t="shared" si="58"/>
        <v>0</v>
      </c>
      <c r="I42" s="452">
        <f t="shared" si="3"/>
        <v>0</v>
      </c>
      <c r="J42" s="62"/>
      <c r="K42" s="863" t="s">
        <v>446</v>
      </c>
      <c r="L42" s="859"/>
      <c r="M42" s="860"/>
      <c r="N42" s="153">
        <v>0.03</v>
      </c>
      <c r="O42" s="62"/>
      <c r="P42" s="198" t="str">
        <f t="shared" si="59"/>
        <v>-</v>
      </c>
      <c r="Q42" s="391">
        <f t="shared" si="69"/>
        <v>0</v>
      </c>
      <c r="R42" s="194"/>
      <c r="S42" s="423">
        <f t="shared" ca="1" si="60"/>
        <v>0</v>
      </c>
      <c r="T42" s="340" t="str">
        <f t="shared" si="73"/>
        <v/>
      </c>
      <c r="U42" s="340" t="str">
        <f t="shared" si="62"/>
        <v/>
      </c>
      <c r="V42" s="338">
        <f>IFERROR(VLOOKUP($U42,HomeBroker!$A$30:$F$60,2,0),0)</f>
        <v>0</v>
      </c>
      <c r="W42" s="426">
        <f>IFERROR(VLOOKUP($U42,HomeBroker!$A$30:$F$60,3,0),0)</f>
        <v>0</v>
      </c>
      <c r="X42" s="575">
        <f>IFERROR(VLOOKUP($U42,HomeBroker!$A$30:$F$60,6,0),0)</f>
        <v>0</v>
      </c>
      <c r="Y42" s="425">
        <f>IFERROR(VLOOKUP($U42,HomeBroker!$A$30:$F$60,4,0),0)</f>
        <v>0</v>
      </c>
      <c r="Z42" s="338">
        <f>IFERROR(VLOOKUP($U42,HomeBroker!$A$30:$F$60,5,0),0)</f>
        <v>0</v>
      </c>
      <c r="AA42" s="341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9">
        <f t="shared" ca="1" si="64"/>
        <v>0</v>
      </c>
      <c r="AF42" s="340" t="str">
        <f t="shared" si="74"/>
        <v/>
      </c>
      <c r="AG42" s="340" t="str">
        <f t="shared" si="75"/>
        <v/>
      </c>
      <c r="AH42" s="392">
        <f>IFERROR(VLOOKUP($AG42,HomeBroker!$A$30:$F$60,2,0),0)</f>
        <v>0</v>
      </c>
      <c r="AI42" s="426">
        <f>IFERROR(VLOOKUP($AG42,HomeBroker!$A$30:$F$60,3,0),0)</f>
        <v>0</v>
      </c>
      <c r="AJ42" s="575">
        <f>IFERROR(VLOOKUP($AG42,HomeBroker!$A$30:$F$60,6,0),0)</f>
        <v>0</v>
      </c>
      <c r="AK42" s="426">
        <f>IFERROR(VLOOKUP($AG42,HomeBroker!$A$30:$F$60,4,0),0)</f>
        <v>0</v>
      </c>
      <c r="AL42" s="392">
        <f>IFERROR(VLOOKUP($AG42,HomeBroker!$A$30:$F$60,5,0),0)</f>
        <v>0</v>
      </c>
      <c r="AM42" s="428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2373.4413651195514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2373.4413651195514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22" t="s">
        <v>401</v>
      </c>
      <c r="B43" s="144"/>
      <c r="C43" s="200"/>
      <c r="D43" s="201"/>
      <c r="E43" s="441">
        <f t="shared" si="0"/>
        <v>0</v>
      </c>
      <c r="F43" s="442">
        <f t="shared" si="76"/>
        <v>0</v>
      </c>
      <c r="G43" s="202" t="str">
        <f t="shared" si="124"/>
        <v/>
      </c>
      <c r="H43" s="451">
        <f t="shared" si="58"/>
        <v>0</v>
      </c>
      <c r="I43" s="452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671</v>
      </c>
      <c r="O43" s="62"/>
      <c r="P43" s="864"/>
      <c r="Q43" s="865"/>
      <c r="R43" s="865"/>
      <c r="S43" s="865"/>
      <c r="T43" s="865"/>
      <c r="U43" s="865"/>
      <c r="V43" s="865"/>
      <c r="W43" s="865"/>
      <c r="X43" s="865"/>
      <c r="Y43" s="865"/>
      <c r="Z43" s="865"/>
      <c r="AA43" s="866"/>
      <c r="AB43" s="870"/>
      <c r="AC43" s="870"/>
      <c r="AD43" s="870"/>
      <c r="AE43" s="870"/>
      <c r="AF43" s="870"/>
      <c r="AG43" s="870"/>
      <c r="AH43" s="870"/>
      <c r="AI43" s="870"/>
      <c r="AJ43" s="870"/>
      <c r="AK43" s="870"/>
      <c r="AL43" s="870"/>
      <c r="AM43" s="871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2446.8467681644861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2446.8467681644861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22" t="s">
        <v>401</v>
      </c>
      <c r="B44" s="144"/>
      <c r="C44" s="200"/>
      <c r="D44" s="201"/>
      <c r="E44" s="441">
        <f t="shared" si="0"/>
        <v>0</v>
      </c>
      <c r="F44" s="442">
        <f t="shared" si="76"/>
        <v>0</v>
      </c>
      <c r="G44" s="202" t="str">
        <f t="shared" si="124"/>
        <v/>
      </c>
      <c r="H44" s="451">
        <f t="shared" si="58"/>
        <v>0</v>
      </c>
      <c r="I44" s="452">
        <f t="shared" si="3"/>
        <v>0</v>
      </c>
      <c r="J44" s="62"/>
      <c r="K44" s="861" t="s">
        <v>450</v>
      </c>
      <c r="L44" s="859"/>
      <c r="M44" s="860"/>
      <c r="N44" s="157"/>
      <c r="O44" s="62"/>
      <c r="P44" s="867"/>
      <c r="Q44" s="868"/>
      <c r="R44" s="868"/>
      <c r="S44" s="868"/>
      <c r="T44" s="868"/>
      <c r="U44" s="868"/>
      <c r="V44" s="868"/>
      <c r="W44" s="868"/>
      <c r="X44" s="868"/>
      <c r="Y44" s="868"/>
      <c r="Z44" s="868"/>
      <c r="AA44" s="869"/>
      <c r="AB44" s="872"/>
      <c r="AC44" s="872"/>
      <c r="AD44" s="872"/>
      <c r="AE44" s="872"/>
      <c r="AF44" s="872"/>
      <c r="AG44" s="872"/>
      <c r="AH44" s="872"/>
      <c r="AI44" s="872"/>
      <c r="AJ44" s="872"/>
      <c r="AK44" s="872"/>
      <c r="AL44" s="872"/>
      <c r="AM44" s="873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2522.522441406687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2522.522441406687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22" t="s">
        <v>401</v>
      </c>
      <c r="B45" s="144"/>
      <c r="C45" s="200"/>
      <c r="D45" s="201"/>
      <c r="E45" s="441">
        <f t="shared" si="0"/>
        <v>0</v>
      </c>
      <c r="F45" s="442">
        <f t="shared" si="76"/>
        <v>0</v>
      </c>
      <c r="G45" s="202" t="str">
        <f t="shared" si="124"/>
        <v/>
      </c>
      <c r="H45" s="451">
        <f t="shared" si="58"/>
        <v>0</v>
      </c>
      <c r="I45" s="452">
        <f t="shared" si="3"/>
        <v>0</v>
      </c>
      <c r="J45" s="62"/>
      <c r="K45" s="874" t="s">
        <v>451</v>
      </c>
      <c r="L45" s="859"/>
      <c r="M45" s="860"/>
      <c r="N45" s="415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2600.5385993883374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2600.5385993883374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22" t="s">
        <v>401</v>
      </c>
      <c r="B46" s="144"/>
      <c r="C46" s="200"/>
      <c r="D46" s="201"/>
      <c r="E46" s="441">
        <f t="shared" si="0"/>
        <v>0</v>
      </c>
      <c r="F46" s="442">
        <f t="shared" si="76"/>
        <v>0</v>
      </c>
      <c r="G46" s="202" t="str">
        <f t="shared" si="124"/>
        <v/>
      </c>
      <c r="H46" s="451">
        <f t="shared" si="58"/>
        <v>0</v>
      </c>
      <c r="I46" s="452">
        <f t="shared" si="3"/>
        <v>0</v>
      </c>
      <c r="J46" s="62"/>
      <c r="K46" s="878" t="s">
        <v>452</v>
      </c>
      <c r="L46" s="859"/>
      <c r="M46" s="860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2680.9676282353994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2680.9676282353994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22" t="s">
        <v>401</v>
      </c>
      <c r="B47" s="144"/>
      <c r="C47" s="200"/>
      <c r="D47" s="201"/>
      <c r="E47" s="441">
        <f t="shared" si="0"/>
        <v>0</v>
      </c>
      <c r="F47" s="442">
        <f t="shared" si="76"/>
        <v>0</v>
      </c>
      <c r="G47" s="202" t="str">
        <f t="shared" si="124"/>
        <v/>
      </c>
      <c r="H47" s="451">
        <f t="shared" si="58"/>
        <v>0</v>
      </c>
      <c r="I47" s="452">
        <f t="shared" si="3"/>
        <v>0</v>
      </c>
      <c r="J47" s="62"/>
      <c r="K47" s="858" t="s">
        <v>453</v>
      </c>
      <c r="L47" s="859"/>
      <c r="M47" s="860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2763.8841528199996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2763.8841528199996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22" t="s">
        <v>401</v>
      </c>
      <c r="B48" s="144"/>
      <c r="C48" s="200"/>
      <c r="D48" s="201"/>
      <c r="E48" s="441">
        <f t="shared" si="0"/>
        <v>0</v>
      </c>
      <c r="F48" s="442">
        <f t="shared" si="76"/>
        <v>0</v>
      </c>
      <c r="G48" s="202" t="str">
        <f t="shared" si="124"/>
        <v/>
      </c>
      <c r="H48" s="451">
        <f t="shared" si="58"/>
        <v>0</v>
      </c>
      <c r="I48" s="452">
        <f t="shared" si="3"/>
        <v>0</v>
      </c>
      <c r="J48" s="62"/>
      <c r="K48" s="861" t="s">
        <v>454</v>
      </c>
      <c r="L48" s="859"/>
      <c r="M48" s="860"/>
      <c r="N48" s="161">
        <f>HomeBroker!AE1*365</f>
        <v>0.62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2849.3651059999997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2849.3651059999997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22" t="s">
        <v>401</v>
      </c>
      <c r="B49" s="144"/>
      <c r="C49" s="200"/>
      <c r="D49" s="201"/>
      <c r="E49" s="441">
        <f t="shared" si="0"/>
        <v>0</v>
      </c>
      <c r="F49" s="442">
        <f t="shared" si="76"/>
        <v>0</v>
      </c>
      <c r="G49" s="202" t="str">
        <f t="shared" si="124"/>
        <v/>
      </c>
      <c r="H49" s="451">
        <f t="shared" si="58"/>
        <v>0</v>
      </c>
      <c r="I49" s="452">
        <f t="shared" si="3"/>
        <v>0</v>
      </c>
      <c r="J49" s="62"/>
      <c r="K49" s="862" t="s">
        <v>455</v>
      </c>
      <c r="L49" s="859"/>
      <c r="M49" s="860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2937.4897999999998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2937.4897999999998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22" t="s">
        <v>401</v>
      </c>
      <c r="B50" s="144"/>
      <c r="C50" s="200"/>
      <c r="D50" s="201"/>
      <c r="E50" s="441">
        <f t="shared" si="0"/>
        <v>0</v>
      </c>
      <c r="F50" s="442">
        <f t="shared" si="76"/>
        <v>0</v>
      </c>
      <c r="G50" s="202" t="str">
        <f t="shared" si="124"/>
        <v/>
      </c>
      <c r="H50" s="451">
        <f t="shared" si="58"/>
        <v>0</v>
      </c>
      <c r="I50" s="452">
        <f t="shared" si="3"/>
        <v>0</v>
      </c>
      <c r="J50" s="62"/>
      <c r="K50" s="862" t="s">
        <v>456</v>
      </c>
      <c r="L50" s="859"/>
      <c r="M50" s="860"/>
      <c r="N50" s="163">
        <f ca="1">N49-TODAY()-N44</f>
        <v>69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3028.3399999999997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3028.3399999999997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22" t="s">
        <v>401</v>
      </c>
      <c r="B51" s="144"/>
      <c r="C51" s="200"/>
      <c r="D51" s="201"/>
      <c r="E51" s="441">
        <f t="shared" si="0"/>
        <v>0</v>
      </c>
      <c r="F51" s="442">
        <f t="shared" si="76"/>
        <v>0</v>
      </c>
      <c r="G51" s="202" t="str">
        <f t="shared" si="124"/>
        <v/>
      </c>
      <c r="H51" s="451">
        <f t="shared" si="58"/>
        <v>0</v>
      </c>
      <c r="I51" s="452">
        <f t="shared" si="3"/>
        <v>0</v>
      </c>
      <c r="J51" s="62"/>
      <c r="K51" s="862" t="s">
        <v>457</v>
      </c>
      <c r="L51" s="859"/>
      <c r="M51" s="860"/>
      <c r="N51" s="164">
        <f ca="1">N50/365</f>
        <v>0.18904109589041096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3122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3122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22" t="s">
        <v>401</v>
      </c>
      <c r="B52" s="144"/>
      <c r="C52" s="200"/>
      <c r="D52" s="201"/>
      <c r="E52" s="441">
        <f t="shared" si="0"/>
        <v>0</v>
      </c>
      <c r="F52" s="442">
        <f t="shared" si="76"/>
        <v>0</v>
      </c>
      <c r="G52" s="202" t="str">
        <f t="shared" si="124"/>
        <v/>
      </c>
      <c r="H52" s="451">
        <f t="shared" si="58"/>
        <v>0</v>
      </c>
      <c r="I52" s="452">
        <f t="shared" si="3"/>
        <v>0</v>
      </c>
      <c r="J52" s="62"/>
      <c r="K52" s="863" t="s">
        <v>0</v>
      </c>
      <c r="L52" s="859"/>
      <c r="M52" s="860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3215.6600000000003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3215.6600000000003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22" t="s">
        <v>401</v>
      </c>
      <c r="B53" s="144"/>
      <c r="C53" s="200"/>
      <c r="D53" s="201"/>
      <c r="E53" s="441">
        <f t="shared" si="0"/>
        <v>0</v>
      </c>
      <c r="F53" s="442">
        <f t="shared" si="76"/>
        <v>0</v>
      </c>
      <c r="G53" s="202" t="str">
        <f t="shared" si="124"/>
        <v/>
      </c>
      <c r="H53" s="451">
        <f t="shared" si="58"/>
        <v>0</v>
      </c>
      <c r="I53" s="452">
        <f t="shared" si="3"/>
        <v>0</v>
      </c>
      <c r="J53" s="62"/>
      <c r="K53" s="875" t="s">
        <v>1</v>
      </c>
      <c r="L53" s="876"/>
      <c r="M53" s="877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3312.1298000000006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3312.1298000000006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22" t="s">
        <v>401</v>
      </c>
      <c r="B54" s="144"/>
      <c r="C54" s="200"/>
      <c r="D54" s="201"/>
      <c r="E54" s="441">
        <f t="shared" si="0"/>
        <v>0</v>
      </c>
      <c r="F54" s="442">
        <f t="shared" si="76"/>
        <v>0</v>
      </c>
      <c r="G54" s="202" t="str">
        <f t="shared" si="124"/>
        <v/>
      </c>
      <c r="H54" s="451">
        <f t="shared" si="58"/>
        <v>0</v>
      </c>
      <c r="I54" s="452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3411.4936940000007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3411.4936940000007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22" t="s">
        <v>401</v>
      </c>
      <c r="B55" s="144"/>
      <c r="C55" s="200"/>
      <c r="D55" s="201"/>
      <c r="E55" s="441">
        <f t="shared" si="0"/>
        <v>0</v>
      </c>
      <c r="F55" s="442">
        <f t="shared" si="76"/>
        <v>0</v>
      </c>
      <c r="G55" s="202" t="str">
        <f t="shared" si="124"/>
        <v/>
      </c>
      <c r="H55" s="451">
        <f t="shared" si="58"/>
        <v>0</v>
      </c>
      <c r="I55" s="452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3513.8385048200007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3513.8385048200007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22" t="s">
        <v>401</v>
      </c>
      <c r="B56" s="144"/>
      <c r="C56" s="200"/>
      <c r="D56" s="201"/>
      <c r="E56" s="441">
        <f t="shared" si="0"/>
        <v>0</v>
      </c>
      <c r="F56" s="442">
        <f t="shared" si="76"/>
        <v>0</v>
      </c>
      <c r="G56" s="202" t="str">
        <f t="shared" si="124"/>
        <v/>
      </c>
      <c r="H56" s="451">
        <f t="shared" si="58"/>
        <v>0</v>
      </c>
      <c r="I56" s="452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3619.253659964601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3619.253659964601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22" t="s">
        <v>401</v>
      </c>
      <c r="B57" s="144"/>
      <c r="C57" s="200"/>
      <c r="D57" s="201"/>
      <c r="E57" s="441">
        <f t="shared" si="0"/>
        <v>0</v>
      </c>
      <c r="F57" s="442">
        <f t="shared" si="76"/>
        <v>0</v>
      </c>
      <c r="G57" s="202" t="str">
        <f t="shared" si="124"/>
        <v/>
      </c>
      <c r="H57" s="451">
        <f t="shared" si="58"/>
        <v>0</v>
      </c>
      <c r="I57" s="452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3727.8312697635392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3727.8312697635392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22" t="s">
        <v>401</v>
      </c>
      <c r="B58" s="144"/>
      <c r="C58" s="200"/>
      <c r="D58" s="201"/>
      <c r="E58" s="441">
        <f t="shared" si="0"/>
        <v>0</v>
      </c>
      <c r="F58" s="442">
        <f t="shared" si="76"/>
        <v>0</v>
      </c>
      <c r="G58" s="202" t="str">
        <f t="shared" si="124"/>
        <v/>
      </c>
      <c r="H58" s="451">
        <f t="shared" si="58"/>
        <v>0</v>
      </c>
      <c r="I58" s="452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3839.6662078564455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3839.6662078564455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22" t="s">
        <v>401</v>
      </c>
      <c r="B59" s="144"/>
      <c r="C59" s="200"/>
      <c r="D59" s="201"/>
      <c r="E59" s="441">
        <f t="shared" si="0"/>
        <v>0</v>
      </c>
      <c r="F59" s="442">
        <f t="shared" si="76"/>
        <v>0</v>
      </c>
      <c r="G59" s="202" t="str">
        <f t="shared" si="124"/>
        <v/>
      </c>
      <c r="H59" s="451">
        <f t="shared" si="58"/>
        <v>0</v>
      </c>
      <c r="I59" s="452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3954.856194092139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3954.856194092139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22" t="s">
        <v>401</v>
      </c>
      <c r="B60" s="144"/>
      <c r="C60" s="200"/>
      <c r="D60" s="201"/>
      <c r="E60" s="441">
        <f t="shared" si="0"/>
        <v>0</v>
      </c>
      <c r="F60" s="442">
        <f t="shared" si="76"/>
        <v>0</v>
      </c>
      <c r="G60" s="202" t="str">
        <f t="shared" si="124"/>
        <v/>
      </c>
      <c r="H60" s="451">
        <f t="shared" si="58"/>
        <v>0</v>
      </c>
      <c r="I60" s="452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4073.5018799149034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4073.5018799149034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22" t="s">
        <v>401</v>
      </c>
      <c r="B61" s="144"/>
      <c r="C61" s="200"/>
      <c r="D61" s="201"/>
      <c r="E61" s="441">
        <f t="shared" si="0"/>
        <v>0</v>
      </c>
      <c r="F61" s="442">
        <f t="shared" si="76"/>
        <v>0</v>
      </c>
      <c r="G61" s="202" t="str">
        <f t="shared" si="124"/>
        <v/>
      </c>
      <c r="H61" s="451">
        <f t="shared" si="58"/>
        <v>0</v>
      </c>
      <c r="I61" s="452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4195.706936312351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4195.706936312351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22" t="s">
        <v>401</v>
      </c>
      <c r="B62" s="144"/>
      <c r="C62" s="200"/>
      <c r="D62" s="201"/>
      <c r="E62" s="441">
        <f t="shared" si="0"/>
        <v>0</v>
      </c>
      <c r="F62" s="442">
        <f t="shared" si="76"/>
        <v>0</v>
      </c>
      <c r="G62" s="202" t="str">
        <f t="shared" si="124"/>
        <v/>
      </c>
      <c r="H62" s="451">
        <f t="shared" si="58"/>
        <v>0</v>
      </c>
      <c r="I62" s="452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4321.5781444017221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4321.5781444017221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22" t="s">
        <v>401</v>
      </c>
      <c r="B63" s="144"/>
      <c r="C63" s="200"/>
      <c r="D63" s="201"/>
      <c r="E63" s="441">
        <f t="shared" si="0"/>
        <v>0</v>
      </c>
      <c r="F63" s="442">
        <f t="shared" si="76"/>
        <v>0</v>
      </c>
      <c r="G63" s="202" t="str">
        <f t="shared" si="124"/>
        <v/>
      </c>
      <c r="H63" s="451">
        <f t="shared" si="58"/>
        <v>0</v>
      </c>
      <c r="I63" s="452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4451.225488733774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4451.225488733774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22" t="s">
        <v>401</v>
      </c>
      <c r="B64" s="144"/>
      <c r="C64" s="200"/>
      <c r="D64" s="201"/>
      <c r="E64" s="441">
        <f t="shared" si="0"/>
        <v>0</v>
      </c>
      <c r="F64" s="442">
        <f t="shared" si="76"/>
        <v>0</v>
      </c>
      <c r="G64" s="202" t="str">
        <f t="shared" si="124"/>
        <v/>
      </c>
      <c r="H64" s="451">
        <f t="shared" si="58"/>
        <v>0</v>
      </c>
      <c r="I64" s="452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4584.7622533957874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4584.7622533957874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22" t="s">
        <v>401</v>
      </c>
      <c r="B65" s="144"/>
      <c r="C65" s="200"/>
      <c r="D65" s="201"/>
      <c r="E65" s="441">
        <f t="shared" si="0"/>
        <v>0</v>
      </c>
      <c r="F65" s="442">
        <f t="shared" si="76"/>
        <v>0</v>
      </c>
      <c r="G65" s="202" t="str">
        <f t="shared" si="124"/>
        <v/>
      </c>
      <c r="H65" s="451">
        <f t="shared" si="58"/>
        <v>0</v>
      </c>
      <c r="I65" s="452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4722.3051209976611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4722.3051209976611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22" t="s">
        <v>401</v>
      </c>
      <c r="B66" s="144"/>
      <c r="C66" s="200"/>
      <c r="D66" s="201"/>
      <c r="E66" s="441">
        <f t="shared" si="0"/>
        <v>0</v>
      </c>
      <c r="F66" s="442">
        <f t="shared" si="76"/>
        <v>0</v>
      </c>
      <c r="G66" s="202" t="str">
        <f t="shared" si="124"/>
        <v/>
      </c>
      <c r="H66" s="451">
        <f t="shared" si="58"/>
        <v>0</v>
      </c>
      <c r="I66" s="452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4863.9742746275915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4863.9742746275915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22" t="s">
        <v>401</v>
      </c>
      <c r="B67" s="144"/>
      <c r="C67" s="200"/>
      <c r="D67" s="201"/>
      <c r="E67" s="441">
        <f t="shared" si="0"/>
        <v>0</v>
      </c>
      <c r="F67" s="442">
        <f t="shared" ref="F67:F72" si="125">IF(B67&gt;0,+B67*D67*(1+($N$53+0.002)*1.21)*-100,B67*D67*(1-($N$53+0.002)*1.21)*-100)</f>
        <v>0</v>
      </c>
      <c r="G67" s="202" t="str">
        <f t="shared" si="124"/>
        <v/>
      </c>
      <c r="H67" s="451">
        <f t="shared" si="58"/>
        <v>0</v>
      </c>
      <c r="I67" s="452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5009.8935028664191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5009.8935028664191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22" t="s">
        <v>401</v>
      </c>
      <c r="B68" s="144"/>
      <c r="C68" s="200"/>
      <c r="D68" s="201"/>
      <c r="E68" s="441">
        <f t="shared" si="0"/>
        <v>0</v>
      </c>
      <c r="F68" s="442">
        <f t="shared" si="125"/>
        <v>0</v>
      </c>
      <c r="G68" s="202" t="str">
        <f t="shared" si="124"/>
        <v/>
      </c>
      <c r="H68" s="451">
        <f>IFERROR(+G68*B68*-100,0)</f>
        <v>0</v>
      </c>
      <c r="I68" s="452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22" t="s">
        <v>401</v>
      </c>
      <c r="B69" s="144"/>
      <c r="C69" s="200"/>
      <c r="D69" s="201"/>
      <c r="E69" s="441">
        <f t="shared" si="0"/>
        <v>0</v>
      </c>
      <c r="F69" s="442">
        <f t="shared" si="125"/>
        <v>0</v>
      </c>
      <c r="G69" s="202" t="str">
        <f t="shared" si="124"/>
        <v/>
      </c>
      <c r="H69" s="451">
        <f>IFERROR(+G69*B69*-100,0)</f>
        <v>0</v>
      </c>
      <c r="I69" s="452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22" t="s">
        <v>401</v>
      </c>
      <c r="B70" s="144"/>
      <c r="C70" s="200"/>
      <c r="D70" s="201"/>
      <c r="E70" s="441">
        <f t="shared" si="0"/>
        <v>0</v>
      </c>
      <c r="F70" s="442">
        <f t="shared" si="125"/>
        <v>0</v>
      </c>
      <c r="G70" s="202" t="str">
        <f t="shared" si="124"/>
        <v/>
      </c>
      <c r="H70" s="451">
        <f>IFERROR(+G70*B70*-100,0)</f>
        <v>0</v>
      </c>
      <c r="I70" s="452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1977.0102124850546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1977.0102124850546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22" t="s">
        <v>401</v>
      </c>
      <c r="B71" s="144"/>
      <c r="C71" s="200"/>
      <c r="D71" s="201"/>
      <c r="E71" s="441">
        <f t="shared" si="0"/>
        <v>0</v>
      </c>
      <c r="F71" s="442">
        <f t="shared" si="125"/>
        <v>0</v>
      </c>
      <c r="G71" s="202" t="str">
        <f t="shared" si="124"/>
        <v/>
      </c>
      <c r="H71" s="451">
        <f>IFERROR(+G71*B71*-100,0)</f>
        <v>0</v>
      </c>
      <c r="I71" s="452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2038.1548582320152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2038.1548582320152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22" t="s">
        <v>401</v>
      </c>
      <c r="B72" s="178"/>
      <c r="C72" s="207"/>
      <c r="D72" s="208"/>
      <c r="E72" s="443">
        <f t="shared" si="0"/>
        <v>0</v>
      </c>
      <c r="F72" s="444">
        <f t="shared" si="125"/>
        <v>0</v>
      </c>
      <c r="G72" s="206" t="str">
        <f t="shared" si="124"/>
        <v/>
      </c>
      <c r="H72" s="453">
        <f>IFERROR(+G72*B72*-100,0)</f>
        <v>0</v>
      </c>
      <c r="I72" s="454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2101.190575496923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2101.190575496923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55" t="s">
        <v>403</v>
      </c>
      <c r="B73" s="179"/>
      <c r="C73" s="180"/>
      <c r="D73" s="181"/>
      <c r="E73" s="445">
        <f>-C73*B73</f>
        <v>0</v>
      </c>
      <c r="F73" s="446">
        <f>IF(B73&gt;0,-C73*(1+($N$52+0.0008)*1.21)*B73,-C73*(1-($N$52+0.0008)*1.21)*B73)</f>
        <v>0</v>
      </c>
      <c r="G73" s="210">
        <f>B76</f>
        <v>3122</v>
      </c>
      <c r="H73" s="455">
        <f>-G73*B73</f>
        <v>0</v>
      </c>
      <c r="I73" s="456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2166.1758510277559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2166.1758510277559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56"/>
      <c r="B74" s="144"/>
      <c r="C74" s="125"/>
      <c r="D74" s="182"/>
      <c r="E74" s="447">
        <f>-C74*B74</f>
        <v>0</v>
      </c>
      <c r="F74" s="448">
        <f>IF(B74&gt;0,-C74*(1+($N$52+0.0008)*1.21)*B74,-C74*(1-($N$52+0.0008)*1.21)*B74)</f>
        <v>0</v>
      </c>
      <c r="G74" s="210">
        <f>G73</f>
        <v>3122</v>
      </c>
      <c r="H74" s="455">
        <f>-G74*B74</f>
        <v>0</v>
      </c>
      <c r="I74" s="456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2233.1709804409857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2233.1709804409857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57"/>
      <c r="B75" s="178"/>
      <c r="C75" s="183"/>
      <c r="D75" s="184"/>
      <c r="E75" s="449">
        <f>-C75*B75</f>
        <v>0</v>
      </c>
      <c r="F75" s="450">
        <f>IF(B75&gt;0,-C75*(1+($N$52+0.0008)*1.21)*B75,-C75*(1-($N$52+0.0008)*1.21)*B75)</f>
        <v>0</v>
      </c>
      <c r="G75" s="211">
        <f>G74</f>
        <v>3122</v>
      </c>
      <c r="H75" s="457">
        <f>-G75*B75</f>
        <v>0</v>
      </c>
      <c r="I75" s="458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2302.2381241659646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2302.2381241659646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9">
        <f>IFERROR(VLOOKUP("GGAL - 48hs",HomeBroker!$A$18:$F$106,6,0),0)</f>
        <v>3122</v>
      </c>
      <c r="C76" s="186"/>
      <c r="D76" s="187" t="s">
        <v>459</v>
      </c>
      <c r="E76" s="416">
        <f>SUM(E3:E75)</f>
        <v>-4050</v>
      </c>
      <c r="F76" s="417">
        <f>SUM(F3:F75)</f>
        <v>-4085.2836000000002</v>
      </c>
      <c r="G76" s="188"/>
      <c r="H76" s="189"/>
      <c r="I76" s="418">
        <f>SUM(I3:I75)</f>
        <v>764.71639999999979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2373.4413651195514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2373.4413651195514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2446.8467681644861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2446.8467681644861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2522.522441406687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2522.522441406687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2600.5385993883374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2600.5385993883374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2680.9676282353994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2680.9676282353994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2763.8841528199996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2763.8841528199996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2849.3651059999997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2849.3651059999997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2937.4897999999998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2937.4897999999998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3028.3399999999997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3028.3399999999997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3122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3122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3215.6600000000003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3215.6600000000003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3312.1298000000006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3312.1298000000006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3411.4936940000007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3411.4936940000007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3513.8385048200007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3513.8385048200007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3619.253659964601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3619.253659964601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3727.8312697635392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3727.8312697635392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3839.6662078564455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3839.6662078564455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3954.856194092139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3954.856194092139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4073.5018799149034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4073.5018799149034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4195.706936312351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0</v>
      </c>
      <c r="EU95" s="72"/>
      <c r="EV95" s="117">
        <f t="shared" si="168"/>
        <v>4195.706936312351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4321.5781444017221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12157.814440172206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12157.814440172206</v>
      </c>
      <c r="EU96" s="72"/>
      <c r="EV96" s="117">
        <f t="shared" si="168"/>
        <v>4321.5781444017221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4451.225488733774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25122.5488733774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25122.5488733774</v>
      </c>
      <c r="EU97" s="72"/>
      <c r="EV97" s="117">
        <f t="shared" si="168"/>
        <v>4451.225488733774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4584.7622533957874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38476.225339578741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38476.225339578741</v>
      </c>
      <c r="EU98" s="72"/>
      <c r="EV98" s="117">
        <f t="shared" si="168"/>
        <v>4584.7622533957874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4722.3051209976611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52230.512099766114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52230.512099766114</v>
      </c>
      <c r="EU99" s="72"/>
      <c r="EV99" s="117">
        <f t="shared" si="168"/>
        <v>4722.3051209976611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4863.9742746275915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66397.427462759151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66397.427462759151</v>
      </c>
      <c r="EU100" s="72"/>
      <c r="EV100" s="117">
        <f t="shared" si="168"/>
        <v>4863.9742746275915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5009.8935028664191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80989.350286641915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80989.350286641915</v>
      </c>
      <c r="EU101" s="72"/>
      <c r="EV101" s="117">
        <f t="shared" si="168"/>
        <v>5009.8935028664191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1977.0102124850546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1977.0102124850546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2038.1548582320152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2038.1548582320152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2101.190575496923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2101.190575496923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2166.1758510277559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2166.1758510277559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2233.1709804409857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2233.1709804409857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2302.2381241659646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2302.2381241659646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2373.4413651195514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2373.4413651195514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2446.8467681644861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2446.8467681644861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2522.522441406687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2522.522441406687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2600.5385993883374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2600.5385993883374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2680.9676282353994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2680.9676282353994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2763.8841528199996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2763.8841528199996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2849.3651059999997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2849.3651059999997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2937.4897999999998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2937.4897999999998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3028.3399999999997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3028.3399999999997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3122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3122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3215.6600000000003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3215.6600000000003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3312.1298000000006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3312.1298000000006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3411.4936940000007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3411.4936940000007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3513.8385048200007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3513.8385048200007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3619.253659964601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3619.253659964601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3727.8312697635392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3727.8312697635392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3839.6662078564455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3839.6662078564455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3954.856194092139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3954.856194092139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4073.5018799149034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4073.5018799149034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4195.706936312351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4195.706936312351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4321.5781444017221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4321.5781444017221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4451.225488733774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4451.225488733774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4584.7622533957874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4584.7622533957874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4722.3051209976611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4722.3051209976611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4863.9742746275915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4863.9742746275915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5009.8935028664191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5009.8935028664191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589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590</v>
      </c>
      <c r="B3" s="20"/>
      <c r="C3" s="19"/>
      <c r="D3" s="20"/>
      <c r="E3" s="39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591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592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593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594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595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596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597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9" t="s">
        <v>598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625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626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627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628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629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630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631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632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633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9" t="s">
        <v>634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599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600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601</v>
      </c>
      <c r="B24" s="20"/>
      <c r="C24" s="19"/>
      <c r="D24" s="20"/>
      <c r="E24" s="19" t="s">
        <v>616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602</v>
      </c>
      <c r="B25" s="20"/>
      <c r="C25" s="19"/>
      <c r="D25" s="20"/>
      <c r="E25" s="19" t="s">
        <v>617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603</v>
      </c>
      <c r="B26" s="20"/>
      <c r="C26" s="19"/>
      <c r="D26" s="20"/>
      <c r="E26" s="19" t="s">
        <v>618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604</v>
      </c>
      <c r="B27" s="20"/>
      <c r="C27" s="19"/>
      <c r="D27" s="20"/>
      <c r="E27" s="19" t="s">
        <v>619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605</v>
      </c>
      <c r="B28" s="20"/>
      <c r="C28" s="19"/>
      <c r="D28" s="20"/>
      <c r="E28" s="19" t="s">
        <v>620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606</v>
      </c>
      <c r="B29" s="20"/>
      <c r="C29" s="19"/>
      <c r="D29" s="20"/>
      <c r="E29" s="19" t="s">
        <v>621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607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9" t="s">
        <v>608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636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637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638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639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646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647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648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649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656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657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658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659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666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669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667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668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2024-04-11T20:08:08Z</dcterms:modified>
</cp:coreProperties>
</file>