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C92493B-5A76-42AA-A2D4-E783A17584E0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38" l="1"/>
  <c r="AC1" i="38" s="1"/>
  <c r="AE1" i="38"/>
  <c r="W1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<sst xmlns="http://schemas.openxmlformats.org/spreadsheetml/2006/main" count="1703" uniqueCount="678">
  <si>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</si>
  <si>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</si>
  <si>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</si>
  <si>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</si>
  <si>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</si>
  <si>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</si>
  <si>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</si>
  <si>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</si>
  <si>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</si>
  <si>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</si>
  <si>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</si>
  <si>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</si>
  <si>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</si>
  <si>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</si>
  <si>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</si>
  <si>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</si>
  <si>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</si>
  <si>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</si>
  <si>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</si>
  <si>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</si>
  <si>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</si>
  <si>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</si>
  <si>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</si>
  <si>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</si>
  <si>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</si>
  <si>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</si>
  <si>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</si>
  <si>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</si>
  <si>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</si>
  <si>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</si>
  <si>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</si>
  <si>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</si>
  <si>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</si>
  <si>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</si>
  <si>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</si>
  <si>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</si>
  <si>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</si>
  <si>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</si>
  <si>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</si>
  <si>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</si>
  <si>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</si>
  <si>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</si>
  <si>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</si>
  <si>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</si>
  <si>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</si>
  <si>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</si>
  <si>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</si>
  <si>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</si>
  <si>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</si>
  <si>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</si>
  <si>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</si>
  <si>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</si>
  <si>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</si>
  <si>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</si>
  <si>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</si>
  <si>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</si>
  <si>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</si>
  <si>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</si>
  <si>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</si>
  <si>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</si>
  <si>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</si>
  <si>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</si>
  <si>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</si>
  <si>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</si>
  <si>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</si>
  <si>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</si>
  <si>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</si>
  <si>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</si>
  <si>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</si>
  <si>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</si>
  <si>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</si>
  <si>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</si>
  <si>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</si>
  <si>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</si>
  <si>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</si>
  <si>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</si>
  <si>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</si>
  <si>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</si>
  <si>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</si>
  <si>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</si>
  <si>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</si>
  <si>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</si>
  <si>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</si>
  <si>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</si>
  <si>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</si>
  <si>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</si>
  <si>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</si>
  <si>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</si>
  <si>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</si>
  <si>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</si>
  <si>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</si>
  <si>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</si>
  <si>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</si>
  <si>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</si>
  <si>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</si>
  <si>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</si>
  <si>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</si>
  <si>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</si>
  <si>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</si>
  <si>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</si>
  <si>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</si>
  <si>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</si>
  <si>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</si>
  <si>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</si>
  <si>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</si>
  <si>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</si>
  <si>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</si>
  <si>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</si>
  <si>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</si>
  <si>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</si>
  <si>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</si>
  <si>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</si>
  <si>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</si>
  <si>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</si>
  <si>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</si>
  <si>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</si>
  <si>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</si>
  <si>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</si>
  <si>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</si>
  <si>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</si>
  <si>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</si>
  <si>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</si>
  <si>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</si>
  <si>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</si>
  <si>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</si>
  <si>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</si>
  <si>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</si>
  <si>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</si>
  <si>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</si>
  <si>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</si>
  <si>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</si>
  <si>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</si>
  <si>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</si>
  <si>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</si>
  <si>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</si>
  <si>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</si>
  <si>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</si>
  <si>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</si>
  <si>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</si>
  <si>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</si>
  <si>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</si>
  <si>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</si>
  <si>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</si>
  <si>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</si>
  <si>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</si>
  <si>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</si>
  <si>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</si>
  <si>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</si>
  <si>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</si>
  <si>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</si>
  <si>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</si>
  <si>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</si>
  <si>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</si>
  <si>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</si>
  <si>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</si>
  <si>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</si>
  <si>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</si>
  <si>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</si>
  <si>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</si>
  <si>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</si>
  <si>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</si>
  <si>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</si>
  <si>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</si>
  <si>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</si>
  <si>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</si>
  <si>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</si>
  <si>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</si>
  <si>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</si>
  <si>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</si>
  <si>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</si>
  <si>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</si>
  <si>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</si>
  <si>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</si>
  <si>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</si>
  <si>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</si>
  <si>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</si>
  <si>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</si>
  <si>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</si>
  <si>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</si>
  <si>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</si>
  <si>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</si>
  <si>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</si>
  <si>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</si>
  <si>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</si>
  <si>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</si>
  <si>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</si>
  <si>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</si>
  <si>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</si>
  <si>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</si>
  <si>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</si>
  <si>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</si>
  <si>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</si>
  <si>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</si>
  <si>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</si>
  <si>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</si>
  <si>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</si>
  <si>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</si>
  <si>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</si>
  <si>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</si>
  <si>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</si>
  <si>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</si>
  <si>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</si>
  <si>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</si>
  <si>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</si>
  <si>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</si>
  <si>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</si>
  <si>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</si>
  <si>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</si>
  <si>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</si>
  <si>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</si>
  <si>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</si>
  <si>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</si>
  <si>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</si>
  <si>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</si>
  <si>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</si>
  <si>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</si>
  <si>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</si>
  <si>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</si>
  <si>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</si>
  <si>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</si>
  <si>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</si>
  <si>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</si>
  <si>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</si>
  <si>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</si>
  <si>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</si>
  <si>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</si>
  <si>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</si>
  <si>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</si>
  <si>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</si>
  <si>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</si>
  <si>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</si>
  <si>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</si>
  <si>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</si>
  <si>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</si>
  <si>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</si>
  <si>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</si>
  <si>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</si>
  <si>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</si>
  <si>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</si>
  <si>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</si>
  <si>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</si>
  <si>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</si>
  <si>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</si>
  <si>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</si>
  <si>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</si>
  <si>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</si>
  <si>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</si>
  <si>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</si>
  <si>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</si>
  <si>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</si>
  <si>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</si>
  <si>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</si>
  <si>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</si>
  <si>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</si>
  <si>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</si>
  <si>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</si>
  <si>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</si>
  <si>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</si>
  <si>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</si>
  <si>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</si>
  <si>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</si>
  <si>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</si>
  <si>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</si>
  <si>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</si>
  <si>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</si>
  <si>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</si>
  <si>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</si>
  <si>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</si>
  <si>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</si>
  <si>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</si>
  <si>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</si>
  <si>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</si>
  <si>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</si>
  <si>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</si>
  <si>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</si>
  <si>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</si>
  <si>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</si>
  <si>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</si>
  <si>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</si>
  <si>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</si>
  <si>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</si>
  <si>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</si>
  <si>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</si>
  <si>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</si>
  <si>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</si>
  <si>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</si>
  <si>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</si>
  <si>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</si>
  <si>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</si>
  <si>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</si>
  <si>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</si>
  <si>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</si>
  <si>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</si>
  <si>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</si>
  <si>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</si>
  <si>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</si>
  <si>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</si>
  <si>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</si>
  <si>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</si>
  <si>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</si>
  <si>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</si>
  <si>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</si>
  <si>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</si>
  <si>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</si>
  <si>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</si>
  <si>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</si>
  <si>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</si>
  <si>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</si>
  <si>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</si>
  <si>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</si>
  <si>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</si>
  <si>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</si>
  <si>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</si>
  <si>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</si>
  <si>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</si>
  <si>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</si>
  <si>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</si>
  <si>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</si>
  <si>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</si>
  <si>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</si>
  <si>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</si>
  <si>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</si>
  <si>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</si>
  <si>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</si>
  <si>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</si>
  <si>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</si>
  <si>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</si>
  <si>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</si>
  <si>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</si>
  <si>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</si>
  <si>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</si>
  <si>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</si>
  <si>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</si>
  <si>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</si>
  <si>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</si>
  <si>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</si>
  <si>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</si>
  <si>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</si>
  <si>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</si>
  <si>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</si>
  <si>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</si>
  <si>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</si>
  <si>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</si>
  <si>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</si>
  <si>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</si>
  <si>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</si>
  <si>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</si>
  <si>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</si>
  <si>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</si>
  <si>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</si>
  <si>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</si>
  <si>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</si>
  <si>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</si>
  <si>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</si>
  <si>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</si>
  <si>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</si>
  <si>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</si>
  <si>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</si>
  <si>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</si>
  <si>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</si>
  <si>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</si>
  <si>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</si>
  <si>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</si>
  <si>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</si>
  <si>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</si>
  <si>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</si>
  <si>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</si>
  <si>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</si>
  <si>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</si>
  <si>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</si>
  <si>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</si>
  <si>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</si>
  <si>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</si>
  <si>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</si>
  <si>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</si>
  <si>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</si>
  <si>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</si>
  <si>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</si>
  <si>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</si>
  <si>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</si>
  <si>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</si>
  <si>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</si>
  <si>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</si>
  <si>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</si>
  <si>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</si>
  <si>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</si>
  <si>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</si>
  <si>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</si>
  <si>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</si>
  <si>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</si>
  <si>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</si>
  <si>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</si>
  <si>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</si>
  <si>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</si>
  <si>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</si>
  <si>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</si>
  <si>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</si>
  <si>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</si>
  <si>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</si>
  <si>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</si>
  <si>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</si>
  <si>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</si>
  <si>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</si>
  <si>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</si>
  <si>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</si>
  <si>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</si>
  <si>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</si>
  <si>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</si>
  <si>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</si>
  <si>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</si>
  <si>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</si>
  <si>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</si>
  <si>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</si>
  <si>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</si>
  <si>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</si>
  <si>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</si>
  <si>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</si>
  <si>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</si>
  <si>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</si>
  <si>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</si>
  <si>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</si>
  <si>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</si>
  <si>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</si>
  <si>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</si>
  <si>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</si>
  <si>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</si>
  <si>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</si>
  <si>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</si>
  <si>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</si>
  <si>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</si>
  <si>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</si>
  <si>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</si>
  <si>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</si>
  <si>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</si>
  <si>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</si>
  <si>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</si>
  <si>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</si>
  <si>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</si>
  <si>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</si>
  <si>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</si>
  <si>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</si>
  <si>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</si>
  <si>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</si>
  <si>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</si>
  <si>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</si>
  <si>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</si>
  <si>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</si>
  <si>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</si>
  <si>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</si>
  <si>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</si>
  <si>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</si>
  <si>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</si>
  <si>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</si>
  <si>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</si>
  <si>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</si>
  <si>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</si>
  <si>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</si>
  <si>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</si>
  <si>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</si>
  <si>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</si>
  <si>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</si>
  <si>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</si>
  <si>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</si>
  <si>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</si>
  <si>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</si>
  <si>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</si>
  <si>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</si>
  <si>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</si>
  <si>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</si>
  <si>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</si>
  <si>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</si>
  <si>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</si>
  <si>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</si>
  <si>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</si>
  <si>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</si>
  <si>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</si>
  <si>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</si>
  <si>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</si>
  <si>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</si>
  <si>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</si>
  <si>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</si>
  <si>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</si>
  <si>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</si>
  <si>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</si>
  <si>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</si>
  <si>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</si>
  <si>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</si>
  <si>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</si>
  <si>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</si>
  <si>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</si>
  <si>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</si>
  <si>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</si>
  <si>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</si>
  <si>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</si>
  <si>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</si>
  <si>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</si>
  <si>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</si>
  <si>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</si>
  <si>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</si>
  <si>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</si>
  <si>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</si>
  <si>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</si>
  <si>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</si>
  <si>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</si>
  <si>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</si>
  <si>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</si>
  <si>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</si>
  <si>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</si>
  <si>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</si>
  <si>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</si>
  <si>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</si>
  <si>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</si>
  <si>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</si>
  <si>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</si>
  <si>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</si>
  <si>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</si>
  <si>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</si>
  <si>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</si>
  <si>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</si>
  <si>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</si>
  <si>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</si>
  <si>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</si>
  <si>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</si>
  <si>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</si>
  <si>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</si>
  <si>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</si>
  <si>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</si>
  <si>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</si>
  <si>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</si>
  <si>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</si>
  <si>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</si>
  <si>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</si>
  <si>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</si>
  <si>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</si>
  <si>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</si>
  <si>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</si>
  <si>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</si>
  <si>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</si>
  <si>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</si>
  <si>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</si>
  <si>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</si>
  <si>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</si>
  <si>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</si>
  <si>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</si>
  <si>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</si>
  <si>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</si>
  <si>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</si>
  <si>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</si>
  <si>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</si>
  <si>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</si>
  <si>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</si>
  <si>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</si>
  <si>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</si>
  <si>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</si>
  <si>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</si>
  <si>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</si>
  <si>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</si>
  <si>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</si>
  <si>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</si>
  <si>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</si>
  <si>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</si>
  <si>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</si>
  <si>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</si>
  <si>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</si>
  <si>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</si>
  <si>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</si>
  <si>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</si>
  <si>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</si>
  <si>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</si>
  <si>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</si>
  <si>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</si>
  <si>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</si>
  <si>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</si>
  <si>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</si>
  <si>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</si>
  <si>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</si>
  <si>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</si>
  <si>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</si>
  <si>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</si>
  <si>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</si>
  <si>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</si>
  <si>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</si>
  <si>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</si>
  <si>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</si>
  <si>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</si>
  <si>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</si>
  <si>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</si>
  <si>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</si>
  <si>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</si>
  <si>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</si>
  <si>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</si>
  <si>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</si>
  <si>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</si>
  <si>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</si>
  <si>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</si>
  <si>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</si>
  <si>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</si>
  <si>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</si>
  <si>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</si>
  <si>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</si>
  <si>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</si>
  <si>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</si>
  <si>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</si>
  <si>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</si>
  <si>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</si>
  <si>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</si>
  <si>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</si>
  <si>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</si>
  <si>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</si>
  <si>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</si>
  <si>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</si>
  <si>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</si>
  <si>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</si>
  <si>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</si>
  <si>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</si>
  <si>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</si>
  <si>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</si>
  <si>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</si>
  <si>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</si>
  <si>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</si>
  <si>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</si>
  <si>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</si>
  <si>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</si>
  <si>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</si>
  <si>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</si>
  <si>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</si>
  <si>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</si>
  <si>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</si>
  <si>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</si>
  <si>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</si>
  <si>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</si>
  <si>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</si>
  <si>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</si>
  <si>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</si>
  <si>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</si>
  <si>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</si>
  <si>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</si>
  <si>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</si>
  <si>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</si>
  <si>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</si>
  <si>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</si>
  <si>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</si>
  <si>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</si>
  <si>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</si>
  <si>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</si>
  <si>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</si>
  <si>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</si>
  <si>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</si>
  <si>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</si>
  <si>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</si>
  <si>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</si>
  <si>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</si>
  <si>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</si>
  <si>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</si>
  <si>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</si>
  <si>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</si>
  <si>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</si>
  <si>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</si>
  <si>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</si>
  <si>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</si>
  <si>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</si>
  <si>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</si>
  <si>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</si>
  <si>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</si>
  <si>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</si>
  <si>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</si>
  <si>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</si>
  <si>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</si>
  <si>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</si>
  <si>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</si>
  <si>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</si>
  <si>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</si>
  <si>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</si>
  <si>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</si>
  <si>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</si>
  <si>
    <t>TRAILING</t>
  </si>
  <si>
    <t>X20Y4 - 24hs</t>
  </si>
  <si>
    <t>S31E5 - 24hs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</si>
</sst>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</fills>
  <borders count="2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5" fillId="39" borderId="0" applyNumberFormat="0" applyBorder="0" applyAlignment="0" applyProtection="0"/>
    <xf numFmtId="0" fontId="85" fillId="40" borderId="0" applyNumberFormat="0" applyBorder="0" applyAlignment="0" applyProtection="0"/>
  </cellStyleXfs>
  <cellXfs count="85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0" fontId="35" fillId="10" borderId="109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09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2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3" xfId="77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8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0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8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112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8" xfId="0" applyFont="1" applyFill="1" applyBorder="1" applyAlignment="1">
      <alignment horizontal="center" vertical="center"/>
    </xf>
    <xf numFmtId="167" fontId="35" fillId="10" borderId="121" xfId="55" applyNumberFormat="1" applyFont="1" applyFill="1" applyBorder="1" applyAlignment="1">
      <alignment horizontal="right" vertical="center"/>
    </xf>
    <xf numFmtId="10" fontId="29" fillId="10" borderId="121" xfId="114" applyNumberFormat="1" applyFont="1" applyFill="1" applyBorder="1" applyAlignment="1">
      <alignment horizontal="right" vertical="center"/>
    </xf>
    <xf numFmtId="0" fontId="13" fillId="14" borderId="122" xfId="15" applyFont="1" applyFill="1" applyBorder="1" applyAlignment="1">
      <alignment horizontal="center" vertical="center"/>
    </xf>
    <xf numFmtId="167" fontId="35" fillId="10" borderId="123" xfId="55" applyNumberFormat="1" applyFont="1" applyFill="1" applyBorder="1" applyAlignment="1">
      <alignment horizontal="right" vertical="center"/>
    </xf>
    <xf numFmtId="10" fontId="29" fillId="10" borderId="123" xfId="114" applyNumberFormat="1" applyFont="1" applyFill="1" applyBorder="1" applyAlignment="1">
      <alignment horizontal="right" vertical="center"/>
    </xf>
    <xf numFmtId="10" fontId="70" fillId="10" borderId="121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3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right" vertical="center"/>
    </xf>
    <xf numFmtId="0" fontId="69" fillId="9" borderId="115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0" fontId="80" fillId="0" borderId="0" xfId="0" applyFont="1" applyAlignment="1">
      <alignment vertical="top"/>
    </xf>
    <xf numFmtId="0" fontId="64" fillId="10" borderId="109" xfId="0" applyFont="1" applyFill="1" applyBorder="1" applyAlignment="1">
      <alignment horizontal="right" vertical="center"/>
    </xf>
    <xf numFmtId="0" fontId="69" fillId="9" borderId="126" xfId="55" applyNumberFormat="1" applyFont="1" applyFill="1" applyBorder="1" applyAlignment="1">
      <alignment horizontal="right" vertical="center"/>
    </xf>
    <xf numFmtId="166" fontId="35" fillId="10" borderId="112" xfId="0" applyNumberFormat="1" applyFont="1" applyFill="1" applyBorder="1" applyAlignment="1">
      <alignment horizontal="center" vertical="center"/>
    </xf>
    <xf numFmtId="2" fontId="76" fillId="9" borderId="115" xfId="55" applyNumberFormat="1" applyFont="1" applyFill="1" applyBorder="1" applyAlignment="1">
      <alignment horizontal="right" vertical="center"/>
    </xf>
    <xf numFmtId="2" fontId="76" fillId="9" borderId="116" xfId="55" applyNumberFormat="1" applyFont="1" applyFill="1" applyBorder="1" applyAlignment="1">
      <alignment horizontal="right" vertical="center"/>
    </xf>
    <xf numFmtId="0" fontId="81" fillId="10" borderId="3" xfId="0" applyFont="1" applyFill="1" applyBorder="1" applyAlignment="1">
      <alignment horizontal="right" vertical="center"/>
    </xf>
    <xf numFmtId="0" fontId="81" fillId="10" borderId="95" xfId="0" applyFont="1" applyFill="1" applyBorder="1" applyAlignment="1">
      <alignment horizontal="right" vertical="center"/>
    </xf>
    <xf numFmtId="0" fontId="81" fillId="10" borderId="91" xfId="0" applyFont="1" applyFill="1" applyBorder="1" applyAlignment="1">
      <alignment horizontal="right" vertical="center"/>
    </xf>
    <xf numFmtId="0" fontId="82" fillId="10" borderId="95" xfId="0" applyFont="1" applyFill="1" applyBorder="1" applyAlignment="1">
      <alignment horizontal="right" vertical="center"/>
    </xf>
    <xf numFmtId="3" fontId="82" fillId="10" borderId="95" xfId="0" applyNumberFormat="1" applyFont="1" applyFill="1" applyBorder="1" applyAlignment="1">
      <alignment horizontal="right" vertical="center"/>
    </xf>
    <xf numFmtId="0" fontId="81" fillId="10" borderId="103" xfId="0" applyFont="1" applyFill="1" applyBorder="1" applyAlignment="1">
      <alignment horizontal="right" vertical="center"/>
    </xf>
    <xf numFmtId="0" fontId="81" fillId="10" borderId="102" xfId="0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82" fillId="10" borderId="102" xfId="0" applyFont="1" applyFill="1" applyBorder="1" applyAlignment="1">
      <alignment horizontal="right" vertical="center"/>
    </xf>
    <xf numFmtId="3" fontId="82" fillId="10" borderId="102" xfId="0" applyNumberFormat="1" applyFont="1" applyFill="1" applyBorder="1" applyAlignment="1">
      <alignment horizontal="right" vertical="center"/>
    </xf>
    <xf numFmtId="0" fontId="81" fillId="10" borderId="93" xfId="0" applyFont="1" applyFill="1" applyBorder="1" applyAlignment="1">
      <alignment horizontal="right" vertical="center"/>
    </xf>
    <xf numFmtId="0" fontId="81" fillId="10" borderId="92" xfId="0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82" fillId="10" borderId="92" xfId="0" applyFont="1" applyFill="1" applyBorder="1" applyAlignment="1">
      <alignment horizontal="right" vertical="center"/>
    </xf>
    <xf numFmtId="3" fontId="82" fillId="10" borderId="92" xfId="0" applyNumberFormat="1" applyFont="1" applyFill="1" applyBorder="1" applyAlignment="1">
      <alignment horizontal="right" vertical="center"/>
    </xf>
    <xf numFmtId="0" fontId="81" fillId="10" borderId="89" xfId="0" applyFont="1" applyFill="1" applyBorder="1" applyAlignment="1">
      <alignment horizontal="right" vertical="center"/>
    </xf>
    <xf numFmtId="0" fontId="81" fillId="10" borderId="96" xfId="0" applyFont="1" applyFill="1" applyBorder="1" applyAlignment="1">
      <alignment horizontal="right" vertical="center"/>
    </xf>
    <xf numFmtId="0" fontId="81" fillId="10" borderId="90" xfId="0" applyFont="1" applyFill="1" applyBorder="1" applyAlignment="1">
      <alignment horizontal="right" vertical="center"/>
    </xf>
    <xf numFmtId="0" fontId="82" fillId="10" borderId="96" xfId="0" applyFont="1" applyFill="1" applyBorder="1" applyAlignment="1">
      <alignment horizontal="right" vertical="center"/>
    </xf>
    <xf numFmtId="3" fontId="82" fillId="10" borderId="96" xfId="0" applyNumberFormat="1" applyFont="1" applyFill="1" applyBorder="1" applyAlignment="1">
      <alignment horizontal="right" vertical="center"/>
    </xf>
    <xf numFmtId="0" fontId="83" fillId="27" borderId="34" xfId="0" applyFont="1" applyFill="1" applyBorder="1" applyAlignment="1">
      <alignment horizontal="center" vertical="center"/>
    </xf>
    <xf numFmtId="4" fontId="83" fillId="30" borderId="34" xfId="0" applyNumberFormat="1" applyFont="1" applyFill="1" applyBorder="1" applyAlignment="1">
      <alignment horizontal="center" vertical="center"/>
    </xf>
    <xf numFmtId="0" fontId="83" fillId="23" borderId="34" xfId="0" applyFont="1" applyFill="1" applyBorder="1" applyAlignment="1">
      <alignment horizontal="center" vertical="center"/>
    </xf>
    <xf numFmtId="0" fontId="83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68" fillId="11" borderId="130" xfId="77" applyNumberFormat="1" applyFont="1" applyFill="1" applyBorder="1" applyAlignment="1">
      <alignment horizontal="center" vertical="center"/>
    </xf>
    <xf numFmtId="1" fontId="84" fillId="11" borderId="113" xfId="77" applyNumberFormat="1" applyFont="1" applyFill="1" applyBorder="1" applyAlignment="1">
      <alignment horizontal="center" vertical="center"/>
    </xf>
    <xf numFmtId="1" fontId="73" fillId="11" borderId="129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2" fillId="9" borderId="0" xfId="0" applyNumberFormat="1" applyFont="1" applyFill="1"/>
    <xf numFmtId="0" fontId="92" fillId="9" borderId="0" xfId="0" applyFont="1" applyFill="1" applyAlignment="1">
      <alignment horizontal="center"/>
    </xf>
    <xf numFmtId="1" fontId="88" fillId="11" borderId="113" xfId="77" applyNumberFormat="1" applyFont="1" applyFill="1" applyBorder="1" applyAlignment="1">
      <alignment horizontal="center" vertical="center"/>
    </xf>
    <xf numFmtId="1" fontId="94" fillId="11" borderId="113" xfId="77" applyNumberFormat="1" applyFont="1" applyFill="1" applyBorder="1" applyAlignment="1">
      <alignment horizontal="center" vertical="center"/>
    </xf>
    <xf numFmtId="1" fontId="86" fillId="11" borderId="130" xfId="77" applyNumberFormat="1" applyFont="1" applyFill="1" applyBorder="1" applyAlignment="1">
      <alignment horizontal="center" vertical="center"/>
    </xf>
    <xf numFmtId="1" fontId="88" fillId="11" borderId="129" xfId="77" applyNumberFormat="1" applyFont="1" applyFill="1" applyBorder="1" applyAlignment="1">
      <alignment horizontal="center" vertical="center"/>
    </xf>
    <xf numFmtId="1" fontId="94" fillId="11" borderId="114" xfId="77" applyNumberFormat="1" applyFont="1" applyFill="1" applyBorder="1" applyAlignment="1">
      <alignment horizontal="center" vertical="center"/>
    </xf>
    <xf numFmtId="1" fontId="86" fillId="11" borderId="114" xfId="77" applyNumberFormat="1" applyFont="1" applyFill="1" applyBorder="1" applyAlignment="1">
      <alignment horizontal="center" vertical="center"/>
    </xf>
    <xf numFmtId="0" fontId="64" fillId="10" borderId="90" xfId="0" applyFont="1" applyFill="1" applyBorder="1" applyAlignment="1">
      <alignment horizontal="right" vertical="center"/>
    </xf>
    <xf numFmtId="0" fontId="95" fillId="0" borderId="0" xfId="0" applyFont="1"/>
    <xf numFmtId="0" fontId="2" fillId="0" borderId="0" xfId="0" applyFont="1"/>
    <xf numFmtId="0" fontId="38" fillId="9" borderId="117" xfId="0" applyNumberFormat="1" applyFont="1" applyFill="1" applyBorder="1" applyAlignment="1">
      <alignment vertical="center"/>
    </xf>
    <xf numFmtId="3" fontId="91" fillId="7" borderId="131" xfId="0" applyNumberFormat="1" applyFont="1" applyFill="1" applyBorder="1" applyAlignment="1">
      <alignment horizontal="center" vertical="center"/>
    </xf>
    <xf numFmtId="3" fontId="79" fillId="7" borderId="131" xfId="0" applyNumberFormat="1" applyFont="1" applyFill="1" applyBorder="1" applyAlignment="1">
      <alignment horizontal="center" vertical="center"/>
    </xf>
    <xf numFmtId="3" fontId="79" fillId="7" borderId="132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36" xfId="77" applyNumberFormat="1" applyFont="1" applyFill="1" applyBorder="1" applyAlignment="1">
      <alignment horizontal="center" vertical="center"/>
    </xf>
    <xf numFmtId="0" fontId="54" fillId="28" borderId="34" xfId="0" applyNumberFormat="1" applyFont="1" applyFill="1" applyBorder="1" applyAlignment="1">
      <alignment horizontal="center" vertical="center"/>
    </xf>
    <xf numFmtId="0" fontId="83" fillId="27" borderId="34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vertical="top"/>
    </xf>
    <xf numFmtId="0" fontId="30" fillId="9" borderId="117" xfId="0" applyNumberFormat="1" applyFont="1" applyFill="1" applyBorder="1" applyAlignment="1">
      <alignment vertical="center"/>
    </xf>
    <xf numFmtId="2" fontId="90" fillId="9" borderId="128" xfId="0" applyNumberFormat="1" applyFont="1" applyFill="1" applyBorder="1" applyAlignment="1">
      <alignment vertical="center"/>
    </xf>
    <xf numFmtId="0" fontId="68" fillId="9" borderId="117" xfId="0" applyNumberFormat="1" applyFont="1" applyFill="1" applyBorder="1" applyAlignment="1">
      <alignment vertical="center"/>
    </xf>
    <xf numFmtId="0" fontId="84" fillId="9" borderId="117" xfId="0" applyNumberFormat="1" applyFont="1" applyFill="1" applyBorder="1" applyAlignment="1">
      <alignment vertical="center"/>
    </xf>
    <xf numFmtId="0" fontId="97" fillId="9" borderId="117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44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46" xfId="0" applyFont="1" applyFill="1" applyBorder="1" applyAlignment="1">
      <alignment horizontal="center" vertical="center"/>
    </xf>
    <xf numFmtId="0" fontId="53" fillId="23" borderId="147" xfId="0" applyFont="1" applyFill="1" applyBorder="1" applyAlignment="1">
      <alignment horizontal="center" vertical="center"/>
    </xf>
    <xf numFmtId="0" fontId="53" fillId="24" borderId="146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98" fillId="24" borderId="81" xfId="0" applyFont="1" applyFill="1" applyBorder="1" applyAlignment="1">
      <alignment horizontal="center" vertical="center"/>
    </xf>
    <xf numFmtId="0" fontId="100" fillId="20" borderId="32" xfId="0" applyFont="1" applyFill="1" applyBorder="1" applyAlignment="1">
      <alignment horizontal="center" vertical="center"/>
    </xf>
    <xf numFmtId="0" fontId="100" fillId="20" borderId="145" xfId="0" applyFont="1" applyFill="1" applyBorder="1" applyAlignment="1">
      <alignment horizontal="center" vertical="center"/>
    </xf>
    <xf numFmtId="0" fontId="99" fillId="31" borderId="32" xfId="0" applyFont="1" applyFill="1" applyBorder="1" applyAlignment="1">
      <alignment horizontal="center" vertical="center" wrapText="1"/>
    </xf>
    <xf numFmtId="0" fontId="101" fillId="30" borderId="34" xfId="0" applyNumberFormat="1" applyFont="1" applyFill="1" applyBorder="1" applyAlignment="1">
      <alignment horizontal="center" vertical="center"/>
    </xf>
    <xf numFmtId="4" fontId="101" fillId="30" borderId="34" xfId="0" applyNumberFormat="1" applyFont="1" applyFill="1" applyBorder="1" applyAlignment="1">
      <alignment horizontal="center" vertical="center"/>
    </xf>
    <xf numFmtId="0" fontId="102" fillId="27" borderId="34" xfId="0" applyFont="1" applyFill="1" applyBorder="1" applyAlignment="1">
      <alignment horizontal="center" vertical="center"/>
    </xf>
    <xf numFmtId="0" fontId="102" fillId="27" borderId="34" xfId="0" applyNumberFormat="1" applyFont="1" applyFill="1" applyBorder="1" applyAlignment="1">
      <alignment horizontal="center" vertical="center"/>
    </xf>
    <xf numFmtId="0" fontId="83" fillId="27" borderId="150" xfId="0" applyFont="1" applyFill="1" applyBorder="1" applyAlignment="1">
      <alignment horizontal="center" vertical="center"/>
    </xf>
    <xf numFmtId="0" fontId="83" fillId="27" borderId="151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3" fillId="28" borderId="34" xfId="0" applyNumberFormat="1" applyFont="1" applyFill="1" applyBorder="1" applyAlignment="1">
      <alignment horizontal="center" vertical="center"/>
    </xf>
    <xf numFmtId="0" fontId="103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48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49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147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0" fontId="104" fillId="18" borderId="25" xfId="0" applyFont="1" applyFill="1" applyBorder="1" applyAlignment="1">
      <alignment horizontal="center" vertical="center"/>
    </xf>
    <xf numFmtId="0" fontId="105" fillId="18" borderId="25" xfId="0" applyFont="1" applyFill="1" applyBorder="1" applyAlignment="1">
      <alignment horizontal="center" vertical="center"/>
    </xf>
    <xf numFmtId="3" fontId="106" fillId="26" borderId="40" xfId="0" applyNumberFormat="1" applyFont="1" applyFill="1" applyBorder="1" applyAlignment="1">
      <alignment horizontal="right" vertical="center"/>
    </xf>
    <xf numFmtId="3" fontId="106" fillId="26" borderId="49" xfId="0" applyNumberFormat="1" applyFont="1" applyFill="1" applyBorder="1" applyAlignment="1">
      <alignment horizontal="right" vertical="center"/>
    </xf>
    <xf numFmtId="3" fontId="106" fillId="26" borderId="50" xfId="0" applyNumberFormat="1" applyFont="1" applyFill="1" applyBorder="1" applyAlignment="1">
      <alignment horizontal="right" vertical="center"/>
    </xf>
    <xf numFmtId="3" fontId="106" fillId="26" borderId="55" xfId="0" applyNumberFormat="1" applyFont="1" applyFill="1" applyBorder="1" applyAlignment="1">
      <alignment horizontal="right" vertical="center"/>
    </xf>
    <xf numFmtId="0" fontId="64" fillId="10" borderId="135" xfId="0" applyFont="1" applyFill="1" applyBorder="1" applyAlignment="1">
      <alignment horizontal="left" vertical="center"/>
    </xf>
    <xf numFmtId="0" fontId="48" fillId="19" borderId="152" xfId="0" applyFont="1" applyFill="1" applyBorder="1" applyAlignment="1">
      <alignment horizontal="center" vertical="center"/>
    </xf>
    <xf numFmtId="0" fontId="48" fillId="17" borderId="153" xfId="0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55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7" xfId="0" applyNumberFormat="1" applyFont="1" applyFill="1" applyBorder="1" applyAlignment="1">
      <alignment horizontal="right" vertical="center"/>
    </xf>
    <xf numFmtId="3" fontId="35" fillId="10" borderId="128" xfId="0" applyNumberFormat="1" applyFont="1" applyFill="1" applyBorder="1" applyAlignment="1">
      <alignment horizontal="right" vertical="center"/>
    </xf>
    <xf numFmtId="3" fontId="35" fillId="10" borderId="139" xfId="0" applyNumberFormat="1" applyFont="1" applyFill="1" applyBorder="1" applyAlignment="1">
      <alignment horizontal="right" vertical="center"/>
    </xf>
    <xf numFmtId="0" fontId="108" fillId="12" borderId="107" xfId="55" applyNumberFormat="1" applyFont="1" applyFill="1" applyBorder="1" applyAlignment="1">
      <alignment horizontal="center" vertical="center"/>
    </xf>
    <xf numFmtId="0" fontId="108" fillId="12" borderId="124" xfId="55" applyNumberFormat="1" applyFont="1" applyFill="1" applyBorder="1" applyAlignment="1">
      <alignment horizontal="center" vertical="center"/>
    </xf>
    <xf numFmtId="0" fontId="37" fillId="10" borderId="162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63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63" xfId="0" applyNumberFormat="1" applyFont="1" applyFill="1" applyBorder="1" applyAlignment="1">
      <alignment horizontal="center" vertical="center"/>
    </xf>
    <xf numFmtId="0" fontId="107" fillId="9" borderId="89" xfId="55" applyNumberFormat="1" applyFont="1" applyFill="1" applyBorder="1" applyAlignment="1">
      <alignment horizontal="center" vertical="center"/>
    </xf>
    <xf numFmtId="0" fontId="107" fillId="9" borderId="128" xfId="55" applyNumberFormat="1" applyFont="1" applyFill="1" applyBorder="1" applyAlignment="1">
      <alignment horizontal="center" vertical="center"/>
    </xf>
    <xf numFmtId="0" fontId="88" fillId="9" borderId="142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horizontal="center" vertical="center"/>
    </xf>
    <xf numFmtId="0" fontId="30" fillId="9" borderId="117" xfId="0" applyNumberFormat="1" applyFont="1" applyFill="1" applyBorder="1" applyAlignment="1">
      <alignment horizontal="center" vertical="center"/>
    </xf>
    <xf numFmtId="2" fontId="90" fillId="9" borderId="128" xfId="0" applyNumberFormat="1" applyFont="1" applyFill="1" applyBorder="1" applyAlignment="1">
      <alignment horizontal="center" vertical="center"/>
    </xf>
    <xf numFmtId="0" fontId="68" fillId="9" borderId="117" xfId="0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07" xfId="55" applyNumberFormat="1" applyFont="1" applyFill="1" applyBorder="1" applyAlignment="1">
      <alignment horizontal="center" vertical="center"/>
    </xf>
    <xf numFmtId="3" fontId="110" fillId="10" borderId="165" xfId="0" applyNumberFormat="1" applyFont="1" applyFill="1" applyBorder="1" applyAlignment="1">
      <alignment horizontal="center" vertical="center"/>
    </xf>
    <xf numFmtId="3" fontId="111" fillId="10" borderId="164" xfId="0" applyNumberFormat="1" applyFont="1" applyFill="1" applyBorder="1" applyAlignment="1">
      <alignment horizontal="center" vertical="center"/>
    </xf>
    <xf numFmtId="0" fontId="97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top"/>
    </xf>
    <xf numFmtId="0" fontId="78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42" xfId="0" applyFont="1" applyFill="1" applyBorder="1" applyAlignment="1">
      <alignment horizontal="center" vertical="center"/>
    </xf>
    <xf numFmtId="0" fontId="23" fillId="9" borderId="139" xfId="0" applyFont="1" applyFill="1" applyBorder="1" applyAlignment="1">
      <alignment horizontal="center" vertical="center"/>
    </xf>
    <xf numFmtId="0" fontId="23" fillId="9" borderId="169" xfId="0" applyFont="1" applyFill="1" applyBorder="1" applyAlignment="1">
      <alignment horizontal="center" vertical="center"/>
    </xf>
    <xf numFmtId="0" fontId="23" fillId="9" borderId="128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70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right" vertical="center"/>
    </xf>
    <xf numFmtId="3" fontId="91" fillId="7" borderId="131" xfId="0" applyNumberFormat="1" applyFont="1" applyFill="1" applyBorder="1" applyAlignment="1">
      <alignment horizontal="right" vertical="center"/>
    </xf>
    <xf numFmtId="3" fontId="79" fillId="7" borderId="131" xfId="0" applyNumberFormat="1" applyFont="1" applyFill="1" applyBorder="1" applyAlignment="1">
      <alignment horizontal="right" vertical="center"/>
    </xf>
    <xf numFmtId="2" fontId="76" fillId="9" borderId="127" xfId="55" applyNumberFormat="1" applyFont="1" applyFill="1" applyBorder="1" applyAlignment="1">
      <alignment horizontal="left" vertical="center"/>
    </xf>
    <xf numFmtId="2" fontId="76" fillId="9" borderId="168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4" xfId="55" applyNumberFormat="1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64" fillId="10" borderId="173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172" xfId="0" applyFont="1" applyFill="1" applyBorder="1" applyAlignment="1">
      <alignment horizontal="right" vertical="center"/>
    </xf>
    <xf numFmtId="0" fontId="35" fillId="10" borderId="173" xfId="0" applyFont="1" applyFill="1" applyBorder="1" applyAlignment="1">
      <alignment horizontal="right" vertical="center"/>
    </xf>
    <xf numFmtId="3" fontId="35" fillId="10" borderId="173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26" fillId="9" borderId="173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0" fontId="97" fillId="9" borderId="177" xfId="0" applyNumberFormat="1" applyFont="1" applyFill="1" applyBorder="1" applyAlignment="1">
      <alignment horizontal="center" vertical="center"/>
    </xf>
    <xf numFmtId="3" fontId="35" fillId="10" borderId="175" xfId="0" applyNumberFormat="1" applyFont="1" applyFill="1" applyBorder="1" applyAlignment="1">
      <alignment horizontal="right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77" xfId="0" applyFont="1" applyFill="1" applyBorder="1" applyAlignment="1">
      <alignment horizontal="center" vertical="center"/>
    </xf>
    <xf numFmtId="0" fontId="113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07" fillId="9" borderId="115" xfId="55" applyNumberFormat="1" applyFont="1" applyFill="1" applyBorder="1" applyAlignment="1">
      <alignment horizontal="right" vertical="center"/>
    </xf>
    <xf numFmtId="167" fontId="107" fillId="9" borderId="116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78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7" xfId="55" applyNumberFormat="1" applyFont="1" applyFill="1" applyBorder="1" applyAlignment="1">
      <alignment horizontal="center" vertical="center"/>
    </xf>
    <xf numFmtId="165" fontId="77" fillId="9" borderId="142" xfId="55" applyNumberFormat="1" applyFont="1" applyFill="1" applyBorder="1" applyAlignment="1">
      <alignment horizontal="center" vertical="center"/>
    </xf>
    <xf numFmtId="2" fontId="77" fillId="9" borderId="139" xfId="55" applyNumberFormat="1" applyFont="1" applyFill="1" applyBorder="1" applyAlignment="1">
      <alignment horizontal="center" vertical="center"/>
    </xf>
    <xf numFmtId="2" fontId="77" fillId="9" borderId="142" xfId="55" applyNumberFormat="1" applyFont="1" applyFill="1" applyBorder="1" applyAlignment="1">
      <alignment horizontal="center" vertical="center"/>
    </xf>
    <xf numFmtId="2" fontId="77" fillId="9" borderId="117" xfId="55" applyNumberFormat="1" applyFont="1" applyFill="1" applyBorder="1" applyAlignment="1">
      <alignment horizontal="center" vertical="center"/>
    </xf>
    <xf numFmtId="167" fontId="78" fillId="9" borderId="117" xfId="55" applyNumberFormat="1" applyFont="1" applyFill="1" applyBorder="1" applyAlignment="1">
      <alignment horizontal="center" vertical="center"/>
    </xf>
    <xf numFmtId="167" fontId="78" fillId="9" borderId="142" xfId="55" applyNumberFormat="1" applyFont="1" applyFill="1" applyBorder="1" applyAlignment="1">
      <alignment horizontal="center" vertical="center"/>
    </xf>
    <xf numFmtId="167" fontId="78" fillId="9" borderId="177" xfId="55" applyNumberFormat="1" applyFont="1" applyFill="1" applyBorder="1" applyAlignment="1">
      <alignment horizontal="center" vertical="center"/>
    </xf>
    <xf numFmtId="0" fontId="78" fillId="9" borderId="140" xfId="55" applyNumberFormat="1" applyFont="1" applyFill="1" applyBorder="1" applyAlignment="1">
      <alignment horizontal="center" vertical="center"/>
    </xf>
    <xf numFmtId="2" fontId="78" fillId="9" borderId="134" xfId="55" applyNumberFormat="1" applyFont="1" applyFill="1" applyBorder="1" applyAlignment="1">
      <alignment horizontal="center" vertical="center"/>
    </xf>
    <xf numFmtId="2" fontId="78" fillId="9" borderId="133" xfId="55" applyNumberFormat="1" applyFont="1" applyFill="1" applyBorder="1" applyAlignment="1">
      <alignment horizontal="center" vertical="center"/>
    </xf>
    <xf numFmtId="0" fontId="114" fillId="9" borderId="120" xfId="0" applyFont="1" applyFill="1" applyBorder="1" applyAlignment="1">
      <alignment vertical="center"/>
    </xf>
    <xf numFmtId="1" fontId="78" fillId="9" borderId="128" xfId="55" applyNumberFormat="1" applyFont="1" applyFill="1" applyBorder="1" applyAlignment="1">
      <alignment vertical="center"/>
    </xf>
    <xf numFmtId="0" fontId="114" fillId="9" borderId="96" xfId="0" applyFont="1" applyFill="1" applyBorder="1" applyAlignment="1">
      <alignment vertical="center"/>
    </xf>
    <xf numFmtId="0" fontId="107" fillId="9" borderId="141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07" fillId="9" borderId="141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109" fillId="9" borderId="139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85" xfId="0" applyNumberFormat="1" applyFont="1" applyFill="1" applyBorder="1" applyAlignment="1">
      <alignment horizontal="center" vertical="center"/>
    </xf>
    <xf numFmtId="1" fontId="23" fillId="9" borderId="186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3" fillId="9" borderId="190" xfId="0" applyNumberFormat="1" applyFont="1" applyFill="1" applyBorder="1" applyAlignment="1">
      <alignment horizontal="center" vertical="center"/>
    </xf>
    <xf numFmtId="1" fontId="67" fillId="9" borderId="185" xfId="0" applyNumberFormat="1" applyFont="1" applyFill="1" applyBorder="1" applyAlignment="1">
      <alignment horizontal="center" vertical="center"/>
    </xf>
    <xf numFmtId="1" fontId="23" fillId="9" borderId="191" xfId="0" applyNumberFormat="1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0" fontId="78" fillId="9" borderId="193" xfId="55" applyNumberFormat="1" applyFont="1" applyFill="1" applyBorder="1" applyAlignment="1">
      <alignment horizontal="center" vertical="center"/>
    </xf>
    <xf numFmtId="0" fontId="78" fillId="9" borderId="128" xfId="0" applyNumberFormat="1" applyFont="1" applyFill="1" applyBorder="1" applyAlignment="1">
      <alignment horizontal="center" vertical="center"/>
    </xf>
    <xf numFmtId="0" fontId="78" fillId="9" borderId="139" xfId="0" applyNumberFormat="1" applyFont="1" applyFill="1" applyBorder="1" applyAlignment="1">
      <alignment horizontal="center" vertical="center"/>
    </xf>
    <xf numFmtId="0" fontId="78" fillId="9" borderId="117" xfId="55" applyNumberFormat="1" applyFont="1" applyFill="1" applyBorder="1" applyAlignment="1">
      <alignment horizontal="center" vertical="center"/>
    </xf>
    <xf numFmtId="0" fontId="78" fillId="9" borderId="142" xfId="55" applyNumberFormat="1" applyFont="1" applyFill="1" applyBorder="1" applyAlignment="1">
      <alignment horizontal="center" vertical="center"/>
    </xf>
    <xf numFmtId="0" fontId="78" fillId="9" borderId="194" xfId="0" applyNumberFormat="1" applyFont="1" applyFill="1" applyBorder="1" applyAlignment="1">
      <alignment horizontal="center" vertical="center"/>
    </xf>
    <xf numFmtId="0" fontId="78" fillId="9" borderId="191" xfId="0" applyNumberFormat="1" applyFont="1" applyFill="1" applyBorder="1" applyAlignment="1">
      <alignment horizontal="center" vertical="center"/>
    </xf>
    <xf numFmtId="0" fontId="78" fillId="9" borderId="185" xfId="0" applyNumberFormat="1" applyFont="1" applyFill="1" applyBorder="1" applyAlignment="1">
      <alignment horizontal="center" vertical="center"/>
    </xf>
    <xf numFmtId="0" fontId="78" fillId="9" borderId="192" xfId="0" applyNumberFormat="1" applyFont="1" applyFill="1" applyBorder="1" applyAlignment="1">
      <alignment horizontal="center" vertical="center"/>
    </xf>
    <xf numFmtId="0" fontId="78" fillId="9" borderId="195" xfId="0" applyNumberFormat="1" applyFont="1" applyFill="1" applyBorder="1" applyAlignment="1">
      <alignment horizontal="center" vertical="center"/>
    </xf>
    <xf numFmtId="0" fontId="78" fillId="9" borderId="196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79" fillId="9" borderId="185" xfId="0" applyNumberFormat="1" applyFont="1" applyFill="1" applyBorder="1" applyAlignment="1">
      <alignment vertical="top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07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5" fillId="12" borderId="124" xfId="55" applyNumberFormat="1" applyFont="1" applyFill="1" applyBorder="1" applyAlignment="1">
      <alignment horizontal="center" vertical="center"/>
    </xf>
    <xf numFmtId="0" fontId="81" fillId="10" borderId="110" xfId="0" applyFont="1" applyFill="1" applyBorder="1" applyAlignment="1">
      <alignment horizontal="right" vertical="center"/>
    </xf>
    <xf numFmtId="0" fontId="81" fillId="10" borderId="109" xfId="0" applyFont="1" applyFill="1" applyBorder="1" applyAlignment="1">
      <alignment horizontal="right" vertical="center"/>
    </xf>
    <xf numFmtId="0" fontId="81" fillId="10" borderId="112" xfId="0" applyFont="1" applyFill="1" applyBorder="1" applyAlignment="1">
      <alignment horizontal="right" vertical="center"/>
    </xf>
    <xf numFmtId="0" fontId="82" fillId="10" borderId="109" xfId="0" applyFont="1" applyFill="1" applyBorder="1" applyAlignment="1">
      <alignment horizontal="right" vertical="center"/>
    </xf>
    <xf numFmtId="3" fontId="82" fillId="10" borderId="109" xfId="0" applyNumberFormat="1" applyFont="1" applyFill="1" applyBorder="1" applyAlignment="1">
      <alignment horizontal="right" vertical="center"/>
    </xf>
    <xf numFmtId="0" fontId="26" fillId="9" borderId="112" xfId="0" applyFont="1" applyFill="1" applyBorder="1" applyAlignment="1">
      <alignment horizontal="center" vertical="center"/>
    </xf>
    <xf numFmtId="0" fontId="97" fillId="9" borderId="198" xfId="0" applyNumberFormat="1" applyFont="1" applyFill="1" applyBorder="1" applyAlignment="1">
      <alignment horizontal="center" vertical="center"/>
    </xf>
    <xf numFmtId="0" fontId="78" fillId="9" borderId="186" xfId="0" applyNumberFormat="1" applyFont="1" applyFill="1" applyBorder="1" applyAlignment="1">
      <alignment horizontal="center" vertical="center"/>
    </xf>
    <xf numFmtId="2" fontId="76" fillId="9" borderId="199" xfId="55" applyNumberFormat="1" applyFont="1" applyFill="1" applyBorder="1" applyAlignment="1">
      <alignment horizontal="center" vertical="center"/>
    </xf>
    <xf numFmtId="2" fontId="77" fillId="9" borderId="198" xfId="55" applyNumberFormat="1" applyFont="1" applyFill="1" applyBorder="1" applyAlignment="1">
      <alignment horizontal="center" vertical="center"/>
    </xf>
    <xf numFmtId="3" fontId="115" fillId="7" borderId="131" xfId="0" applyNumberFormat="1" applyFont="1" applyFill="1" applyBorder="1" applyAlignment="1">
      <alignment horizontal="center" vertical="center"/>
    </xf>
    <xf numFmtId="167" fontId="116" fillId="10" borderId="95" xfId="55" applyNumberFormat="1" applyFont="1" applyFill="1" applyBorder="1" applyAlignment="1">
      <alignment horizontal="right" vertical="center"/>
    </xf>
    <xf numFmtId="167" fontId="116" fillId="10" borderId="94" xfId="55" applyNumberFormat="1" applyFont="1" applyFill="1" applyBorder="1" applyAlignment="1">
      <alignment horizontal="right" vertical="center"/>
    </xf>
    <xf numFmtId="167" fontId="116" fillId="10" borderId="92" xfId="55" applyNumberFormat="1" applyFont="1" applyFill="1" applyBorder="1" applyAlignment="1">
      <alignment horizontal="right" vertical="center"/>
    </xf>
    <xf numFmtId="167" fontId="117" fillId="9" borderId="115" xfId="55" applyNumberFormat="1" applyFont="1" applyFill="1" applyBorder="1" applyAlignment="1">
      <alignment horizontal="right" vertical="center"/>
    </xf>
    <xf numFmtId="167" fontId="117" fillId="9" borderId="116" xfId="55" applyNumberFormat="1" applyFont="1" applyFill="1" applyBorder="1" applyAlignment="1">
      <alignment horizontal="right" vertical="center"/>
    </xf>
    <xf numFmtId="3" fontId="116" fillId="10" borderId="95" xfId="0" applyNumberFormat="1" applyFont="1" applyFill="1" applyBorder="1" applyAlignment="1">
      <alignment horizontal="right" vertical="center"/>
    </xf>
    <xf numFmtId="3" fontId="116" fillId="10" borderId="94" xfId="0" applyNumberFormat="1" applyFont="1" applyFill="1" applyBorder="1" applyAlignment="1">
      <alignment horizontal="right" vertical="center"/>
    </xf>
    <xf numFmtId="3" fontId="116" fillId="10" borderId="92" xfId="0" applyNumberFormat="1" applyFont="1" applyFill="1" applyBorder="1" applyAlignment="1">
      <alignment horizontal="right" vertical="center"/>
    </xf>
    <xf numFmtId="0" fontId="116" fillId="10" borderId="95" xfId="0" applyFont="1" applyFill="1" applyBorder="1" applyAlignment="1">
      <alignment horizontal="right" vertical="center"/>
    </xf>
    <xf numFmtId="0" fontId="116" fillId="10" borderId="96" xfId="0" applyFont="1" applyFill="1" applyBorder="1" applyAlignment="1">
      <alignment horizontal="right" vertical="center"/>
    </xf>
    <xf numFmtId="3" fontId="116" fillId="10" borderId="96" xfId="0" applyNumberFormat="1" applyFont="1" applyFill="1" applyBorder="1" applyAlignment="1">
      <alignment horizontal="right" vertical="center"/>
    </xf>
    <xf numFmtId="0" fontId="116" fillId="10" borderId="109" xfId="0" applyFont="1" applyFill="1" applyBorder="1" applyAlignment="1">
      <alignment horizontal="right" vertical="center"/>
    </xf>
    <xf numFmtId="3" fontId="116" fillId="10" borderId="111" xfId="0" applyNumberFormat="1" applyFont="1" applyFill="1" applyBorder="1" applyAlignment="1">
      <alignment horizontal="right" vertical="center"/>
    </xf>
    <xf numFmtId="0" fontId="116" fillId="10" borderId="92" xfId="0" applyFont="1" applyFill="1" applyBorder="1" applyAlignment="1">
      <alignment horizontal="right" vertical="center"/>
    </xf>
    <xf numFmtId="0" fontId="116" fillId="10" borderId="101" xfId="0" applyFont="1" applyFill="1" applyBorder="1" applyAlignment="1">
      <alignment horizontal="right" vertical="center"/>
    </xf>
    <xf numFmtId="3" fontId="116" fillId="10" borderId="109" xfId="0" applyNumberFormat="1" applyFont="1" applyFill="1" applyBorder="1" applyAlignment="1">
      <alignment horizontal="right" vertical="center"/>
    </xf>
    <xf numFmtId="0" fontId="116" fillId="10" borderId="102" xfId="0" applyFont="1" applyFill="1" applyBorder="1" applyAlignment="1">
      <alignment horizontal="right" vertical="center"/>
    </xf>
    <xf numFmtId="3" fontId="116" fillId="10" borderId="102" xfId="0" applyNumberFormat="1" applyFont="1" applyFill="1" applyBorder="1" applyAlignment="1">
      <alignment horizontal="right" vertical="center"/>
    </xf>
    <xf numFmtId="0" fontId="118" fillId="10" borderId="95" xfId="0" applyFont="1" applyFill="1" applyBorder="1" applyAlignment="1">
      <alignment horizontal="right" vertical="center"/>
    </xf>
    <xf numFmtId="0" fontId="118" fillId="10" borderId="102" xfId="0" applyFont="1" applyFill="1" applyBorder="1" applyAlignment="1">
      <alignment horizontal="right" vertical="center"/>
    </xf>
    <xf numFmtId="0" fontId="118" fillId="10" borderId="92" xfId="0" applyFont="1" applyFill="1" applyBorder="1" applyAlignment="1">
      <alignment horizontal="right" vertical="center"/>
    </xf>
    <xf numFmtId="0" fontId="118" fillId="10" borderId="109" xfId="0" applyFont="1" applyFill="1" applyBorder="1" applyAlignment="1">
      <alignment horizontal="right" vertical="center"/>
    </xf>
    <xf numFmtId="0" fontId="117" fillId="9" borderId="115" xfId="55" applyNumberFormat="1" applyFont="1" applyFill="1" applyBorder="1" applyAlignment="1">
      <alignment horizontal="right" vertical="center"/>
    </xf>
    <xf numFmtId="0" fontId="116" fillId="10" borderId="102" xfId="55" applyNumberFormat="1" applyFont="1" applyFill="1" applyBorder="1" applyAlignment="1">
      <alignment horizontal="right" vertical="center"/>
    </xf>
    <xf numFmtId="0" fontId="116" fillId="10" borderId="109" xfId="55" applyNumberFormat="1" applyFont="1" applyFill="1" applyBorder="1" applyAlignment="1">
      <alignment horizontal="right" vertical="center"/>
    </xf>
    <xf numFmtId="0" fontId="116" fillId="10" borderId="95" xfId="55" applyNumberFormat="1" applyFont="1" applyFill="1" applyBorder="1" applyAlignment="1">
      <alignment horizontal="right" vertical="center"/>
    </xf>
    <xf numFmtId="0" fontId="117" fillId="9" borderId="94" xfId="55" applyNumberFormat="1" applyFont="1" applyFill="1" applyBorder="1" applyAlignment="1">
      <alignment horizontal="right" vertical="center"/>
    </xf>
    <xf numFmtId="0" fontId="116" fillId="10" borderId="92" xfId="55" applyNumberFormat="1" applyFont="1" applyFill="1" applyBorder="1" applyAlignment="1">
      <alignment horizontal="right" vertical="center"/>
    </xf>
    <xf numFmtId="0" fontId="117" fillId="9" borderId="126" xfId="55" applyNumberFormat="1" applyFont="1" applyFill="1" applyBorder="1" applyAlignment="1">
      <alignment horizontal="right" vertical="center"/>
    </xf>
    <xf numFmtId="0" fontId="119" fillId="0" borderId="0" xfId="0" applyFont="1"/>
    <xf numFmtId="0" fontId="120" fillId="0" borderId="0" xfId="0" applyFont="1" applyAlignment="1">
      <alignment vertical="center" wrapText="1"/>
    </xf>
    <xf numFmtId="0" fontId="77" fillId="9" borderId="177" xfId="0" applyNumberFormat="1" applyFont="1" applyFill="1" applyBorder="1" applyAlignment="1">
      <alignment horizontal="center" vertical="center"/>
    </xf>
    <xf numFmtId="0" fontId="79" fillId="9" borderId="178" xfId="0" applyNumberFormat="1" applyFont="1" applyFill="1" applyBorder="1" applyAlignment="1">
      <alignment horizontal="center" vertical="center"/>
    </xf>
    <xf numFmtId="0" fontId="121" fillId="12" borderId="124" xfId="55" applyNumberFormat="1" applyFont="1" applyFill="1" applyBorder="1" applyAlignment="1">
      <alignment horizontal="center" vertical="center"/>
    </xf>
    <xf numFmtId="0" fontId="121" fillId="12" borderId="107" xfId="55" applyNumberFormat="1" applyFont="1" applyFill="1" applyBorder="1" applyAlignment="1">
      <alignment horizontal="center" vertical="center"/>
    </xf>
    <xf numFmtId="0" fontId="77" fillId="9" borderId="138" xfId="0" applyNumberFormat="1" applyFont="1" applyFill="1" applyBorder="1" applyAlignment="1">
      <alignment horizontal="center" vertical="center"/>
    </xf>
    <xf numFmtId="0" fontId="79" fillId="9" borderId="161" xfId="0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0" fontId="77" fillId="9" borderId="139" xfId="0" applyNumberFormat="1" applyFont="1" applyFill="1" applyBorder="1" applyAlignment="1">
      <alignment horizontal="center" vertical="center"/>
    </xf>
    <xf numFmtId="0" fontId="79" fillId="9" borderId="98" xfId="0" applyNumberFormat="1" applyFont="1" applyFill="1" applyBorder="1" applyAlignment="1">
      <alignment horizontal="center" vertical="center"/>
    </xf>
    <xf numFmtId="0" fontId="78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center"/>
    </xf>
    <xf numFmtId="0" fontId="78" fillId="9" borderId="117" xfId="0" applyNumberFormat="1" applyFont="1" applyFill="1" applyBorder="1" applyAlignment="1">
      <alignment horizontal="center" vertical="center"/>
    </xf>
    <xf numFmtId="0" fontId="78" fillId="9" borderId="95" xfId="0" applyNumberFormat="1" applyFont="1" applyFill="1" applyBorder="1" applyAlignment="1">
      <alignment horizontal="center" vertical="center"/>
    </xf>
    <xf numFmtId="2" fontId="76" fillId="9" borderId="200" xfId="55" applyNumberFormat="1" applyFont="1" applyFill="1" applyBorder="1" applyAlignment="1">
      <alignment horizontal="left" vertical="center"/>
    </xf>
    <xf numFmtId="0" fontId="116" fillId="10" borderId="201" xfId="55" applyNumberFormat="1" applyFont="1" applyFill="1" applyBorder="1" applyAlignment="1">
      <alignment horizontal="right" vertical="center"/>
    </xf>
    <xf numFmtId="0" fontId="64" fillId="10" borderId="201" xfId="0" applyFont="1" applyFill="1" applyBorder="1" applyAlignment="1">
      <alignment horizontal="right" vertical="center"/>
    </xf>
    <xf numFmtId="0" fontId="69" fillId="9" borderId="202" xfId="55" applyNumberFormat="1" applyFont="1" applyFill="1" applyBorder="1" applyAlignment="1">
      <alignment horizontal="right" vertical="center"/>
    </xf>
    <xf numFmtId="0" fontId="117" fillId="9" borderId="202" xfId="55" applyNumberFormat="1" applyFont="1" applyFill="1" applyBorder="1" applyAlignment="1">
      <alignment horizontal="right" vertical="center"/>
    </xf>
    <xf numFmtId="0" fontId="81" fillId="10" borderId="204" xfId="0" applyFont="1" applyFill="1" applyBorder="1" applyAlignment="1">
      <alignment horizontal="right" vertical="center"/>
    </xf>
    <xf numFmtId="0" fontId="81" fillId="10" borderId="201" xfId="0" applyFont="1" applyFill="1" applyBorder="1" applyAlignment="1">
      <alignment horizontal="right" vertical="center"/>
    </xf>
    <xf numFmtId="0" fontId="81" fillId="10" borderId="205" xfId="0" applyFont="1" applyFill="1" applyBorder="1" applyAlignment="1">
      <alignment horizontal="right" vertical="center"/>
    </xf>
    <xf numFmtId="0" fontId="82" fillId="10" borderId="201" xfId="0" applyFont="1" applyFill="1" applyBorder="1" applyAlignment="1">
      <alignment horizontal="right" vertical="center"/>
    </xf>
    <xf numFmtId="3" fontId="82" fillId="10" borderId="201" xfId="0" applyNumberFormat="1" applyFont="1" applyFill="1" applyBorder="1" applyAlignment="1">
      <alignment horizontal="right" vertical="center"/>
    </xf>
    <xf numFmtId="167" fontId="116" fillId="10" borderId="201" xfId="55" applyNumberFormat="1" applyFont="1" applyFill="1" applyBorder="1" applyAlignment="1">
      <alignment horizontal="right" vertical="center"/>
    </xf>
    <xf numFmtId="3" fontId="116" fillId="10" borderId="201" xfId="0" applyNumberFormat="1" applyFont="1" applyFill="1" applyBorder="1" applyAlignment="1">
      <alignment horizontal="right" vertical="center"/>
    </xf>
    <xf numFmtId="166" fontId="35" fillId="10" borderId="204" xfId="0" applyNumberFormat="1" applyFont="1" applyFill="1" applyBorder="1" applyAlignment="1">
      <alignment horizontal="center" vertical="center"/>
    </xf>
    <xf numFmtId="0" fontId="26" fillId="9" borderId="205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97" fillId="9" borderId="209" xfId="0" applyNumberFormat="1" applyFont="1" applyFill="1" applyBorder="1" applyAlignment="1">
      <alignment horizontal="center" vertical="center"/>
    </xf>
    <xf numFmtId="0" fontId="78" fillId="9" borderId="206" xfId="0" applyNumberFormat="1" applyFont="1" applyFill="1" applyBorder="1" applyAlignment="1">
      <alignment horizontal="center" vertical="center"/>
    </xf>
    <xf numFmtId="2" fontId="76" fillId="9" borderId="210" xfId="55" applyNumberFormat="1" applyFont="1" applyFill="1" applyBorder="1" applyAlignment="1">
      <alignment horizontal="center" vertical="center"/>
    </xf>
    <xf numFmtId="2" fontId="77" fillId="9" borderId="209" xfId="55" applyNumberFormat="1" applyFont="1" applyFill="1" applyBorder="1" applyAlignment="1">
      <alignment horizontal="center" vertical="center"/>
    </xf>
    <xf numFmtId="0" fontId="69" fillId="9" borderId="200" xfId="55" applyNumberFormat="1" applyFont="1" applyFill="1" applyBorder="1" applyAlignment="1">
      <alignment horizontal="right" vertical="center"/>
    </xf>
    <xf numFmtId="167" fontId="117" fillId="9" borderId="200" xfId="55" applyNumberFormat="1" applyFont="1" applyFill="1" applyBorder="1" applyAlignment="1">
      <alignment horizontal="right" vertical="center"/>
    </xf>
    <xf numFmtId="0" fontId="69" fillId="9" borderId="203" xfId="55" applyNumberFormat="1" applyFont="1" applyFill="1" applyBorder="1" applyAlignment="1">
      <alignment horizontal="right" vertical="center"/>
    </xf>
    <xf numFmtId="0" fontId="37" fillId="10" borderId="204" xfId="0" applyFont="1" applyFill="1" applyBorder="1" applyAlignment="1">
      <alignment horizontal="right" vertical="center"/>
    </xf>
    <xf numFmtId="0" fontId="37" fillId="10" borderId="201" xfId="0" applyFont="1" applyFill="1" applyBorder="1" applyAlignment="1">
      <alignment horizontal="right" vertical="center"/>
    </xf>
    <xf numFmtId="0" fontId="37" fillId="10" borderId="205" xfId="0" applyFont="1" applyFill="1" applyBorder="1" applyAlignment="1">
      <alignment horizontal="right" vertical="center"/>
    </xf>
    <xf numFmtId="0" fontId="35" fillId="10" borderId="201" xfId="0" applyFont="1" applyFill="1" applyBorder="1" applyAlignment="1">
      <alignment horizontal="right" vertical="center"/>
    </xf>
    <xf numFmtId="3" fontId="35" fillId="10" borderId="201" xfId="0" applyNumberFormat="1" applyFont="1" applyFill="1" applyBorder="1" applyAlignment="1">
      <alignment horizontal="right" vertical="center"/>
    </xf>
    <xf numFmtId="166" fontId="35" fillId="10" borderId="205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77" fillId="9" borderId="117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0" fontId="78" fillId="9" borderId="209" xfId="55" applyNumberFormat="1" applyFont="1" applyFill="1" applyBorder="1" applyAlignment="1">
      <alignment horizontal="center" vertical="center"/>
    </xf>
    <xf numFmtId="0" fontId="78" fillId="9" borderId="203" xfId="0" applyNumberFormat="1" applyFont="1" applyFill="1" applyBorder="1" applyAlignment="1">
      <alignment horizontal="center" vertical="top"/>
    </xf>
    <xf numFmtId="167" fontId="78" fillId="9" borderId="209" xfId="55" applyNumberFormat="1" applyFont="1" applyFill="1" applyBorder="1" applyAlignment="1">
      <alignment horizontal="center" vertical="center"/>
    </xf>
    <xf numFmtId="0" fontId="35" fillId="10" borderId="214" xfId="55" applyNumberFormat="1" applyFont="1" applyFill="1" applyBorder="1" applyAlignment="1">
      <alignment horizontal="right" vertical="center"/>
    </xf>
    <xf numFmtId="0" fontId="64" fillId="10" borderId="203" xfId="0" applyFont="1" applyFill="1" applyBorder="1" applyAlignment="1">
      <alignment horizontal="right" vertical="center"/>
    </xf>
    <xf numFmtId="0" fontId="64" fillId="10" borderId="214" xfId="0" applyFont="1" applyFill="1" applyBorder="1" applyAlignment="1">
      <alignment horizontal="right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26" fillId="9" borderId="201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77" fillId="9" borderId="210" xfId="0" applyNumberFormat="1" applyFont="1" applyFill="1" applyBorder="1" applyAlignment="1">
      <alignment horizontal="center" vertical="center"/>
    </xf>
    <xf numFmtId="0" fontId="79" fillId="9" borderId="203" xfId="0" applyNumberFormat="1" applyFont="1" applyFill="1" applyBorder="1" applyAlignment="1">
      <alignment horizontal="center" vertical="center"/>
    </xf>
    <xf numFmtId="168" fontId="123" fillId="9" borderId="166" xfId="0" applyNumberFormat="1" applyFont="1" applyFill="1" applyBorder="1" applyAlignment="1">
      <alignment horizontal="center" vertical="center" wrapText="1"/>
    </xf>
    <xf numFmtId="0" fontId="124" fillId="10" borderId="137" xfId="0" applyNumberFormat="1" applyFont="1" applyFill="1" applyBorder="1" applyAlignment="1">
      <alignment horizontal="center" vertical="center"/>
    </xf>
    <xf numFmtId="0" fontId="64" fillId="10" borderId="178" xfId="0" applyFont="1" applyFill="1" applyBorder="1" applyAlignment="1">
      <alignment horizontal="right" vertical="center"/>
    </xf>
    <xf numFmtId="0" fontId="35" fillId="10" borderId="205" xfId="55" applyNumberFormat="1" applyFont="1" applyFill="1" applyBorder="1" applyAlignment="1">
      <alignment horizontal="right" vertical="center"/>
    </xf>
    <xf numFmtId="0" fontId="64" fillId="10" borderId="205" xfId="0" applyNumberFormat="1" applyFont="1" applyFill="1" applyBorder="1" applyAlignment="1">
      <alignment horizontal="right" vertical="center"/>
    </xf>
    <xf numFmtId="166" fontId="35" fillId="10" borderId="207" xfId="0" applyNumberFormat="1" applyFont="1" applyFill="1" applyBorder="1" applyAlignment="1">
      <alignment horizontal="center" vertical="center"/>
    </xf>
    <xf numFmtId="0" fontId="84" fillId="9" borderId="117" xfId="0" applyNumberFormat="1" applyFont="1" applyFill="1" applyBorder="1" applyAlignment="1">
      <alignment horizontal="center" vertical="center"/>
    </xf>
    <xf numFmtId="0" fontId="78" fillId="9" borderId="219" xfId="55" applyNumberFormat="1" applyFont="1" applyFill="1" applyBorder="1" applyAlignment="1">
      <alignment horizontal="center" vertical="center"/>
    </xf>
    <xf numFmtId="2" fontId="78" fillId="9" borderId="220" xfId="55" applyNumberFormat="1" applyFont="1" applyFill="1" applyBorder="1" applyAlignment="1">
      <alignment horizontal="center" vertical="center"/>
    </xf>
    <xf numFmtId="0" fontId="38" fillId="9" borderId="207" xfId="0" applyNumberFormat="1" applyFont="1" applyFill="1" applyBorder="1" applyAlignment="1">
      <alignment vertical="center"/>
    </xf>
    <xf numFmtId="0" fontId="79" fillId="9" borderId="211" xfId="0" applyNumberFormat="1" applyFont="1" applyFill="1" applyBorder="1" applyAlignment="1">
      <alignment vertical="top"/>
    </xf>
    <xf numFmtId="0" fontId="78" fillId="9" borderId="216" xfId="55" applyNumberFormat="1" applyFont="1" applyFill="1" applyBorder="1" applyAlignment="1">
      <alignment horizontal="center" vertical="center"/>
    </xf>
    <xf numFmtId="1" fontId="78" fillId="9" borderId="222" xfId="55" applyNumberFormat="1" applyFont="1" applyFill="1" applyBorder="1" applyAlignment="1">
      <alignment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0" fontId="35" fillId="10" borderId="224" xfId="55" applyNumberFormat="1" applyFont="1" applyFill="1" applyBorder="1" applyAlignment="1">
      <alignment horizontal="right" vertical="center"/>
    </xf>
    <xf numFmtId="0" fontId="35" fillId="10" borderId="201" xfId="55" applyNumberFormat="1" applyFont="1" applyFill="1" applyBorder="1" applyAlignment="1">
      <alignment horizontal="right" vertical="center"/>
    </xf>
    <xf numFmtId="0" fontId="35" fillId="10" borderId="225" xfId="55" applyNumberFormat="1" applyFont="1" applyFill="1" applyBorder="1" applyAlignment="1">
      <alignment horizontal="right" vertical="center"/>
    </xf>
    <xf numFmtId="0" fontId="35" fillId="10" borderId="203" xfId="55" applyNumberFormat="1" applyFont="1" applyFill="1" applyBorder="1" applyAlignment="1">
      <alignment horizontal="right" vertical="center"/>
    </xf>
    <xf numFmtId="167" fontId="107" fillId="9" borderId="95" xfId="55" applyNumberFormat="1" applyFont="1" applyFill="1" applyBorder="1" applyAlignment="1">
      <alignment horizontal="right" vertical="center"/>
    </xf>
    <xf numFmtId="167" fontId="107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09" fillId="9" borderId="154" xfId="0" applyNumberFormat="1" applyFont="1" applyFill="1" applyBorder="1" applyAlignment="1">
      <alignment horizontal="center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78" fillId="9" borderId="184" xfId="0" applyNumberFormat="1" applyFont="1" applyFill="1" applyBorder="1" applyAlignment="1">
      <alignment horizontal="center" vertical="center"/>
    </xf>
    <xf numFmtId="0" fontId="78" fillId="9" borderId="96" xfId="0" applyNumberFormat="1" applyFont="1" applyFill="1" applyBorder="1" applyAlignment="1">
      <alignment horizontal="center" vertical="center"/>
    </xf>
    <xf numFmtId="167" fontId="78" fillId="9" borderId="128" xfId="55" applyNumberFormat="1" applyFont="1" applyFill="1" applyBorder="1" applyAlignment="1">
      <alignment horizontal="center" vertical="center"/>
    </xf>
    <xf numFmtId="0" fontId="123" fillId="9" borderId="95" xfId="55" applyNumberFormat="1" applyFont="1" applyFill="1" applyBorder="1" applyAlignment="1">
      <alignment horizontal="center" vertical="center" wrapText="1"/>
    </xf>
    <xf numFmtId="0" fontId="125" fillId="10" borderId="213" xfId="0" applyFont="1" applyFill="1" applyBorder="1" applyAlignment="1">
      <alignment horizontal="right" vertical="center"/>
    </xf>
    <xf numFmtId="3" fontId="127" fillId="10" borderId="167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9" fontId="53" fillId="23" borderId="61" xfId="114" applyFont="1" applyFill="1" applyBorder="1" applyAlignment="1">
      <alignment horizontal="center" vertical="center"/>
    </xf>
    <xf numFmtId="0" fontId="64" fillId="10" borderId="112" xfId="0" applyFont="1" applyFill="1" applyBorder="1" applyAlignment="1">
      <alignment horizontal="right" vertical="center"/>
    </xf>
    <xf numFmtId="2" fontId="69" fillId="9" borderId="198" xfId="0" applyNumberFormat="1" applyFont="1" applyFill="1" applyBorder="1" applyAlignment="1">
      <alignment horizontal="center" vertical="center"/>
    </xf>
    <xf numFmtId="0" fontId="107" fillId="9" borderId="181" xfId="55" applyNumberFormat="1" applyFont="1" applyFill="1" applyBorder="1" applyAlignment="1">
      <alignment horizontal="center" vertical="center"/>
    </xf>
    <xf numFmtId="2" fontId="77" fillId="9" borderId="111" xfId="55" applyNumberFormat="1" applyFont="1" applyFill="1" applyBorder="1" applyAlignment="1">
      <alignment horizontal="center" vertical="center"/>
    </xf>
    <xf numFmtId="2" fontId="65" fillId="9" borderId="111" xfId="0" applyNumberFormat="1" applyFont="1" applyFill="1" applyBorder="1" applyAlignment="1">
      <alignment horizontal="center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109" xfId="55" applyNumberFormat="1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2" fontId="89" fillId="9" borderId="198" xfId="0" applyNumberFormat="1" applyFont="1" applyFill="1" applyBorder="1" applyAlignment="1">
      <alignment vertical="center"/>
    </xf>
    <xf numFmtId="2" fontId="96" fillId="9" borderId="198" xfId="0" applyNumberFormat="1" applyFont="1" applyFill="1" applyBorder="1" applyAlignment="1">
      <alignment vertical="center"/>
    </xf>
    <xf numFmtId="2" fontId="69" fillId="9" borderId="198" xfId="0" applyNumberFormat="1" applyFont="1" applyFill="1" applyBorder="1" applyAlignment="1">
      <alignment horizontal="center" vertical="top"/>
    </xf>
    <xf numFmtId="0" fontId="64" fillId="10" borderId="205" xfId="0" applyFont="1" applyFill="1" applyBorder="1" applyAlignment="1">
      <alignment horizontal="right" vertical="center"/>
    </xf>
    <xf numFmtId="0" fontId="35" fillId="10" borderId="204" xfId="0" applyFont="1" applyFill="1" applyBorder="1" applyAlignment="1">
      <alignment horizontal="right" vertical="center"/>
    </xf>
    <xf numFmtId="2" fontId="89" fillId="9" borderId="209" xfId="0" applyNumberFormat="1" applyFont="1" applyFill="1" applyBorder="1" applyAlignment="1">
      <alignment vertical="center"/>
    </xf>
    <xf numFmtId="0" fontId="107" fillId="9" borderId="207" xfId="55" applyNumberFormat="1" applyFont="1" applyFill="1" applyBorder="1" applyAlignment="1">
      <alignment horizontal="center" vertical="center"/>
    </xf>
    <xf numFmtId="2" fontId="77" fillId="9" borderId="203" xfId="55" applyNumberFormat="1" applyFont="1" applyFill="1" applyBorder="1" applyAlignment="1">
      <alignment horizontal="center" vertical="center"/>
    </xf>
    <xf numFmtId="2" fontId="65" fillId="9" borderId="203" xfId="0" applyNumberFormat="1" applyFont="1" applyFill="1" applyBorder="1" applyAlignment="1">
      <alignment horizontal="center" vertical="center"/>
    </xf>
    <xf numFmtId="0" fontId="8" fillId="4" borderId="226" xfId="31" applyFont="1" applyFill="1" applyBorder="1" applyAlignment="1">
      <alignment horizontal="center"/>
    </xf>
    <xf numFmtId="170" fontId="40" fillId="13" borderId="8" xfId="114" applyNumberFormat="1" applyFont="1" applyFill="1" applyBorder="1" applyAlignment="1">
      <alignment horizontal="center" vertical="center"/>
    </xf>
    <xf numFmtId="167" fontId="42" fillId="20" borderId="38" xfId="55" applyNumberFormat="1" applyFont="1" applyFill="1" applyBorder="1" applyAlignment="1">
      <alignment vertical="center"/>
    </xf>
    <xf numFmtId="167" fontId="42" fillId="20" borderId="149" xfId="55" applyNumberFormat="1" applyFont="1" applyFill="1" applyBorder="1" applyAlignment="1">
      <alignment vertical="center"/>
    </xf>
    <xf numFmtId="167" fontId="53" fillId="36" borderId="83" xfId="55" applyNumberFormat="1" applyFont="1" applyFill="1" applyBorder="1" applyAlignment="1">
      <alignment horizontal="center" vertical="center"/>
    </xf>
    <xf numFmtId="167" fontId="42" fillId="31" borderId="38" xfId="55" applyNumberFormat="1" applyFont="1" applyFill="1" applyBorder="1" applyAlignment="1">
      <alignment vertical="center"/>
    </xf>
    <xf numFmtId="167" fontId="42" fillId="31" borderId="64" xfId="55" applyNumberFormat="1" applyFont="1" applyFill="1" applyBorder="1" applyAlignment="1">
      <alignment vertical="center"/>
    </xf>
    <xf numFmtId="167" fontId="42" fillId="32" borderId="38" xfId="55" applyNumberFormat="1" applyFont="1" applyFill="1" applyBorder="1" applyAlignment="1">
      <alignment vertical="center"/>
    </xf>
    <xf numFmtId="167" fontId="42" fillId="32" borderId="79" xfId="55" applyNumberFormat="1" applyFont="1" applyFill="1" applyBorder="1" applyAlignment="1">
      <alignment vertical="center"/>
    </xf>
    <xf numFmtId="0" fontId="108" fillId="12" borderId="227" xfId="55" applyNumberFormat="1" applyFont="1" applyFill="1" applyBorder="1" applyAlignment="1">
      <alignment horizontal="center" vertical="center"/>
    </xf>
    <xf numFmtId="0" fontId="64" fillId="10" borderId="213" xfId="0" applyFont="1" applyFill="1" applyBorder="1" applyAlignment="1">
      <alignment horizontal="left" vertical="center"/>
    </xf>
    <xf numFmtId="0" fontId="64" fillId="10" borderId="229" xfId="0" applyFont="1" applyFill="1" applyBorder="1" applyAlignment="1">
      <alignment horizontal="left" vertical="center"/>
    </xf>
    <xf numFmtId="167" fontId="35" fillId="10" borderId="230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30" xfId="0" applyFont="1" applyFill="1" applyBorder="1" applyAlignment="1">
      <alignment horizontal="right" vertical="center"/>
    </xf>
    <xf numFmtId="167" fontId="35" fillId="10" borderId="231" xfId="55" applyNumberFormat="1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7" fillId="10" borderId="231" xfId="0" applyFont="1" applyFill="1" applyBorder="1" applyAlignment="1">
      <alignment horizontal="right" vertical="center"/>
    </xf>
    <xf numFmtId="0" fontId="37" fillId="10" borderId="230" xfId="0" applyFont="1" applyFill="1" applyBorder="1" applyAlignment="1">
      <alignment horizontal="right" vertical="center"/>
    </xf>
    <xf numFmtId="0" fontId="35" fillId="10" borderId="231" xfId="0" applyFont="1" applyFill="1" applyBorder="1" applyAlignment="1">
      <alignment horizontal="right" vertical="center"/>
    </xf>
    <xf numFmtId="3" fontId="35" fillId="10" borderId="231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0" fontId="26" fillId="9" borderId="230" xfId="0" applyFont="1" applyFill="1" applyBorder="1" applyAlignment="1">
      <alignment horizontal="center" vertical="center"/>
    </xf>
    <xf numFmtId="0" fontId="23" fillId="9" borderId="231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2" fontId="69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107" fillId="9" borderId="236" xfId="55" applyNumberFormat="1" applyFont="1" applyFill="1" applyBorder="1" applyAlignment="1">
      <alignment horizontal="center" vertical="center"/>
    </xf>
    <xf numFmtId="2" fontId="77" fillId="9" borderId="232" xfId="55" applyNumberFormat="1" applyFont="1" applyFill="1" applyBorder="1" applyAlignment="1">
      <alignment horizontal="center" vertical="center"/>
    </xf>
    <xf numFmtId="2" fontId="65" fillId="9" borderId="232" xfId="0" applyNumberFormat="1" applyFont="1" applyFill="1" applyBorder="1" applyAlignment="1">
      <alignment horizontal="center" vertical="center"/>
    </xf>
    <xf numFmtId="3" fontId="35" fillId="10" borderId="232" xfId="0" applyNumberFormat="1" applyFont="1" applyFill="1" applyBorder="1" applyAlignment="1">
      <alignment horizontal="right" vertical="center"/>
    </xf>
    <xf numFmtId="0" fontId="35" fillId="10" borderId="230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top"/>
    </xf>
    <xf numFmtId="0" fontId="64" fillId="10" borderId="228" xfId="0" applyFont="1" applyFill="1" applyBorder="1" applyAlignment="1">
      <alignment horizontal="right" vertical="center"/>
    </xf>
    <xf numFmtId="0" fontId="125" fillId="10" borderId="228" xfId="0" applyFont="1" applyFill="1" applyBorder="1" applyAlignment="1">
      <alignment horizontal="right" vertical="center"/>
    </xf>
    <xf numFmtId="0" fontId="125" fillId="10" borderId="135" xfId="0" applyFont="1" applyFill="1" applyBorder="1" applyAlignment="1">
      <alignment horizontal="left" vertical="center"/>
    </xf>
    <xf numFmtId="0" fontId="35" fillId="10" borderId="99" xfId="55" applyNumberFormat="1" applyFont="1" applyFill="1" applyBorder="1" applyAlignment="1">
      <alignment horizontal="right" vertical="center"/>
    </xf>
    <xf numFmtId="0" fontId="26" fillId="9" borderId="98" xfId="0" applyFont="1" applyFill="1" applyBorder="1" applyAlignment="1">
      <alignment horizontal="center" vertical="center"/>
    </xf>
    <xf numFmtId="167" fontId="78" fillId="9" borderId="139" xfId="55" applyNumberFormat="1" applyFont="1" applyFill="1" applyBorder="1" applyAlignment="1">
      <alignment horizontal="center" vertical="center"/>
    </xf>
    <xf numFmtId="0" fontId="35" fillId="10" borderId="163" xfId="55" applyNumberFormat="1" applyFont="1" applyFill="1" applyBorder="1" applyAlignment="1">
      <alignment horizontal="right" vertical="center"/>
    </xf>
    <xf numFmtId="0" fontId="64" fillId="10" borderId="94" xfId="0" applyFont="1" applyFill="1" applyBorder="1" applyAlignment="1">
      <alignment horizontal="right" vertical="center"/>
    </xf>
    <xf numFmtId="0" fontId="64" fillId="10" borderId="163" xfId="0" applyFont="1" applyFill="1" applyBorder="1" applyAlignment="1">
      <alignment horizontal="right" vertical="center"/>
    </xf>
    <xf numFmtId="0" fontId="78" fillId="9" borderId="191" xfId="0" applyNumberFormat="1" applyFont="1" applyFill="1" applyBorder="1" applyAlignment="1">
      <alignment horizontal="center" vertical="top"/>
    </xf>
    <xf numFmtId="0" fontId="107" fillId="9" borderId="239" xfId="55" applyNumberFormat="1" applyFont="1" applyFill="1" applyBorder="1" applyAlignment="1">
      <alignment horizontal="center" vertical="center"/>
    </xf>
    <xf numFmtId="1" fontId="112" fillId="43" borderId="240" xfId="77" applyNumberFormat="1" applyFont="1" applyFill="1" applyBorder="1" applyAlignment="1">
      <alignment horizontal="center" vertical="center"/>
    </xf>
    <xf numFmtId="1" fontId="112" fillId="43" borderId="241" xfId="77" applyNumberFormat="1" applyFont="1" applyFill="1" applyBorder="1" applyAlignment="1">
      <alignment horizontal="center" vertical="center"/>
    </xf>
    <xf numFmtId="3" fontId="116" fillId="10" borderId="98" xfId="0" applyNumberFormat="1" applyFont="1" applyFill="1" applyBorder="1" applyAlignment="1">
      <alignment horizontal="right" vertical="center"/>
    </xf>
    <xf numFmtId="3" fontId="116" fillId="10" borderId="173" xfId="0" applyNumberFormat="1" applyFont="1" applyFill="1" applyBorder="1" applyAlignment="1">
      <alignment horizontal="right" vertical="center"/>
    </xf>
    <xf numFmtId="0" fontId="116" fillId="10" borderId="201" xfId="0" applyFont="1" applyFill="1" applyBorder="1" applyAlignment="1">
      <alignment horizontal="right" vertical="center"/>
    </xf>
    <xf numFmtId="0" fontId="116" fillId="10" borderId="98" xfId="0" applyFont="1" applyFill="1" applyBorder="1" applyAlignment="1">
      <alignment horizontal="right" vertical="center"/>
    </xf>
    <xf numFmtId="0" fontId="116" fillId="10" borderId="231" xfId="0" applyFont="1" applyFill="1" applyBorder="1" applyAlignment="1">
      <alignment horizontal="right" vertical="center"/>
    </xf>
    <xf numFmtId="10" fontId="128" fillId="10" borderId="95" xfId="114" applyNumberFormat="1" applyFont="1" applyFill="1" applyBorder="1" applyAlignment="1">
      <alignment horizontal="center" vertical="center"/>
    </xf>
    <xf numFmtId="10" fontId="128" fillId="10" borderId="96" xfId="114" applyNumberFormat="1" applyFont="1" applyFill="1" applyBorder="1" applyAlignment="1">
      <alignment horizontal="center" vertical="center"/>
    </xf>
    <xf numFmtId="10" fontId="128" fillId="10" borderId="203" xfId="114" applyNumberFormat="1" applyFont="1" applyFill="1" applyBorder="1" applyAlignment="1">
      <alignment horizontal="center" vertical="center"/>
    </xf>
    <xf numFmtId="10" fontId="128" fillId="10" borderId="173" xfId="114" applyNumberFormat="1" applyFont="1" applyFill="1" applyBorder="1" applyAlignment="1">
      <alignment horizontal="center" vertical="center"/>
    </xf>
    <xf numFmtId="10" fontId="128" fillId="10" borderId="98" xfId="114" applyNumberFormat="1" applyFont="1" applyFill="1" applyBorder="1" applyAlignment="1">
      <alignment horizontal="center" vertical="center"/>
    </xf>
    <xf numFmtId="10" fontId="128" fillId="10" borderId="201" xfId="114" applyNumberFormat="1" applyFont="1" applyFill="1" applyBorder="1" applyAlignment="1">
      <alignment horizontal="center" vertical="center"/>
    </xf>
    <xf numFmtId="10" fontId="128" fillId="10" borderId="232" xfId="114" applyNumberFormat="1" applyFont="1" applyFill="1" applyBorder="1" applyAlignment="1">
      <alignment horizontal="center" vertical="center"/>
    </xf>
    <xf numFmtId="10" fontId="128" fillId="10" borderId="111" xfId="114" applyNumberFormat="1" applyFont="1" applyFill="1" applyBorder="1" applyAlignment="1">
      <alignment horizontal="center" vertical="center"/>
    </xf>
    <xf numFmtId="0" fontId="64" fillId="9" borderId="173" xfId="0" applyFont="1" applyFill="1" applyBorder="1" applyAlignment="1">
      <alignment horizontal="center" vertical="center"/>
    </xf>
    <xf numFmtId="0" fontId="64" fillId="9" borderId="94" xfId="0" applyFont="1" applyFill="1" applyBorder="1" applyAlignment="1">
      <alignment horizontal="center" vertical="center"/>
    </xf>
    <xf numFmtId="0" fontId="64" fillId="9" borderId="178" xfId="0" applyFont="1" applyFill="1" applyBorder="1" applyAlignment="1">
      <alignment horizontal="center" vertical="center"/>
    </xf>
    <xf numFmtId="0" fontId="64" fillId="9" borderId="98" xfId="0" applyFont="1" applyFill="1" applyBorder="1" applyAlignment="1">
      <alignment horizontal="center" vertical="center"/>
    </xf>
    <xf numFmtId="0" fontId="64" fillId="9" borderId="96" xfId="0" applyFont="1" applyFill="1" applyBorder="1" applyAlignment="1">
      <alignment horizontal="center" vertical="center"/>
    </xf>
    <xf numFmtId="0" fontId="64" fillId="9" borderId="203" xfId="0" applyFont="1" applyFill="1" applyBorder="1" applyAlignment="1">
      <alignment horizontal="center" vertical="center"/>
    </xf>
    <xf numFmtId="0" fontId="64" fillId="9" borderId="111" xfId="0" applyFont="1" applyFill="1" applyBorder="1" applyAlignment="1">
      <alignment horizontal="center" vertical="center"/>
    </xf>
    <xf numFmtId="0" fontId="64" fillId="9" borderId="181" xfId="0" applyFont="1" applyFill="1" applyBorder="1" applyAlignment="1">
      <alignment horizontal="center" vertical="center"/>
    </xf>
    <xf numFmtId="0" fontId="64" fillId="9" borderId="142" xfId="0" applyFont="1" applyFill="1" applyBorder="1" applyAlignment="1">
      <alignment horizontal="center" vertical="center"/>
    </xf>
    <xf numFmtId="0" fontId="64" fillId="9" borderId="232" xfId="0" applyFont="1" applyFill="1" applyBorder="1" applyAlignment="1">
      <alignment horizontal="center" vertical="center"/>
    </xf>
    <xf numFmtId="10" fontId="129" fillId="10" borderId="96" xfId="114" applyNumberFormat="1" applyFont="1" applyFill="1" applyBorder="1" applyAlignment="1">
      <alignment horizontal="center" vertical="center"/>
    </xf>
    <xf numFmtId="0" fontId="97" fillId="9" borderId="175" xfId="0" applyNumberFormat="1" applyFont="1" applyFill="1" applyBorder="1" applyAlignment="1">
      <alignment horizontal="center" vertical="center"/>
    </xf>
    <xf numFmtId="0" fontId="65" fillId="10" borderId="228" xfId="0" applyFont="1" applyFill="1" applyBorder="1" applyAlignment="1">
      <alignment horizontal="left" vertical="center"/>
    </xf>
    <xf numFmtId="0" fontId="65" fillId="10" borderId="135" xfId="0" applyFont="1" applyFill="1" applyBorder="1" applyAlignment="1">
      <alignment horizontal="left" vertical="center"/>
    </xf>
    <xf numFmtId="0" fontId="65" fillId="10" borderId="179" xfId="0" applyFont="1" applyFill="1" applyBorder="1" applyAlignment="1">
      <alignment horizontal="left" vertical="center"/>
    </xf>
    <xf numFmtId="0" fontId="65" fillId="10" borderId="143" xfId="0" applyFont="1" applyFill="1" applyBorder="1" applyAlignment="1">
      <alignment horizontal="left" vertical="center"/>
    </xf>
    <xf numFmtId="0" fontId="65" fillId="10" borderId="213" xfId="0" applyFont="1" applyFill="1" applyBorder="1" applyAlignment="1">
      <alignment horizontal="left" vertical="center"/>
    </xf>
    <xf numFmtId="0" fontId="64" fillId="10" borderId="228" xfId="0" applyFont="1" applyFill="1" applyBorder="1" applyAlignment="1">
      <alignment horizontal="center" vertical="center"/>
    </xf>
    <xf numFmtId="0" fontId="64" fillId="10" borderId="135" xfId="0" applyFont="1" applyFill="1" applyBorder="1" applyAlignment="1">
      <alignment horizontal="center" vertical="center"/>
    </xf>
    <xf numFmtId="0" fontId="64" fillId="10" borderId="179" xfId="0" applyFont="1" applyFill="1" applyBorder="1" applyAlignment="1">
      <alignment horizontal="center" vertical="center"/>
    </xf>
    <xf numFmtId="0" fontId="64" fillId="10" borderId="97" xfId="0" applyFont="1" applyFill="1" applyBorder="1" applyAlignment="1">
      <alignment horizontal="center" vertical="center"/>
    </xf>
    <xf numFmtId="166" fontId="122" fillId="2" borderId="217" xfId="55" applyNumberFormat="1" applyFont="1" applyFill="1" applyBorder="1" applyAlignment="1">
      <alignment horizontal="center" vertical="center" wrapText="1"/>
    </xf>
    <xf numFmtId="166" fontId="122" fillId="2" borderId="3" xfId="55" applyNumberFormat="1" applyFont="1" applyFill="1" applyBorder="1" applyAlignment="1">
      <alignment horizontal="center" vertical="center" wrapText="1"/>
    </xf>
    <xf numFmtId="2" fontId="78" fillId="9" borderId="197" xfId="55" applyNumberFormat="1" applyFont="1" applyFill="1" applyBorder="1" applyAlignment="1">
      <alignment horizontal="center" vertical="center"/>
    </xf>
    <xf numFmtId="2" fontId="78" fillId="9" borderId="201" xfId="55" applyNumberFormat="1" applyFont="1" applyFill="1" applyBorder="1" applyAlignment="1">
      <alignment horizontal="center" vertical="center"/>
    </xf>
    <xf numFmtId="0" fontId="93" fillId="0" borderId="3" xfId="0" applyFont="1" applyBorder="1" applyAlignment="1">
      <alignment horizontal="center"/>
    </xf>
    <xf numFmtId="2" fontId="78" fillId="9" borderId="120" xfId="55" applyNumberFormat="1" applyFont="1" applyFill="1" applyBorder="1" applyAlignment="1">
      <alignment horizontal="center" vertical="center"/>
    </xf>
    <xf numFmtId="2" fontId="78" fillId="9" borderId="96" xfId="55" applyNumberFormat="1" applyFont="1" applyFill="1" applyBorder="1" applyAlignment="1">
      <alignment horizontal="center" vertical="center"/>
    </xf>
    <xf numFmtId="2" fontId="78" fillId="9" borderId="109" xfId="55" applyNumberFormat="1" applyFont="1" applyFill="1" applyBorder="1" applyAlignment="1">
      <alignment horizontal="center" vertical="center"/>
    </xf>
    <xf numFmtId="0" fontId="126" fillId="9" borderId="120" xfId="0" applyFont="1" applyFill="1" applyBorder="1" applyAlignment="1">
      <alignment horizontal="center" vertical="center"/>
    </xf>
    <xf numFmtId="0" fontId="126" fillId="9" borderId="201" xfId="0" applyFont="1" applyFill="1" applyBorder="1" applyAlignment="1">
      <alignment horizontal="center" vertical="center"/>
    </xf>
    <xf numFmtId="0" fontId="126" fillId="9" borderId="221" xfId="0" applyFont="1" applyFill="1" applyBorder="1" applyAlignment="1">
      <alignment horizontal="center" vertical="center"/>
    </xf>
    <xf numFmtId="0" fontId="126" fillId="9" borderId="96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43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</dxfs>
  <tableStyles count="0" defaultTableStyle="TableStyleMedium2" defaultPivotStyle="PivotStyleLight16"/>
  <colors>
    <mruColors>
      <color rgb="FFE2DD00"/>
      <color rgb="FF6F6C00"/>
      <color rgb="FFB8B400"/>
      <color rgb="FF600000"/>
      <color rgb="FF740000"/>
      <color rgb="FF990000"/>
      <color rgb="FF0A4219"/>
      <color rgb="FF0D531F"/>
      <color rgb="FF12782D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V39" sqref="V39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40" customWidth="1"/>
    <col min="7" max="7" width="6.28515625" style="38" bestFit="1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6.85546875" style="12" customWidth="1"/>
    <col min="12" max="12" width="9.140625" style="12" hidden="1" customWidth="1"/>
    <col min="13" max="13" width="9.71093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customWidth="1"/>
    <col min="23" max="23" width="9.140625" bestFit="1" customWidth="1"/>
    <col min="24" max="24" width="7.5703125" style="302" bestFit="1" customWidth="1"/>
    <col min="25" max="25" width="7.42578125" style="480" bestFit="1" customWidth="1"/>
    <col min="26" max="26" width="8" style="297" bestFit="1" customWidth="1"/>
    <col min="27" max="27" width="8.28515625" style="40" bestFit="1" customWidth="1"/>
    <col min="28" max="28" width="8.285156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56" t="s">
        <v>126</v>
      </c>
      <c r="B1" s="477" t="s">
        <v>337</v>
      </c>
      <c r="C1" s="476" t="s">
        <v>306</v>
      </c>
      <c r="D1" s="476" t="s">
        <v>307</v>
      </c>
      <c r="E1" s="477" t="s">
        <v>338</v>
      </c>
      <c r="F1" s="356" t="s">
        <v>127</v>
      </c>
      <c r="G1" s="357" t="s">
        <v>304</v>
      </c>
      <c r="H1" s="357" t="s">
        <v>128</v>
      </c>
      <c r="I1" s="357" t="s">
        <v>129</v>
      </c>
      <c r="J1" s="357" t="s">
        <v>130</v>
      </c>
      <c r="K1" s="357" t="s">
        <v>308</v>
      </c>
      <c r="L1" s="357" t="s">
        <v>305</v>
      </c>
      <c r="M1" s="357" t="s">
        <v>131</v>
      </c>
      <c r="N1" s="588" t="s">
        <v>132</v>
      </c>
      <c r="O1" s="357" t="s">
        <v>133</v>
      </c>
      <c r="P1" s="358"/>
      <c r="Q1" s="457" t="s">
        <v>674</v>
      </c>
      <c r="R1" s="710" t="s">
        <v>662</v>
      </c>
      <c r="S1" s="458" t="s">
        <v>663</v>
      </c>
      <c r="T1" s="682">
        <v>-1</v>
      </c>
      <c r="U1" s="708">
        <v>1E-3</v>
      </c>
      <c r="V1" s="681">
        <v>0</v>
      </c>
      <c r="W1" s="814">
        <f>IF(O65&lt;&gt;"",O65,O35)</f>
        <v>45406.70853009259</v>
      </c>
      <c r="X1" s="815"/>
      <c r="Y1" s="711">
        <f>AA69</f>
        <v>101519.33701657457</v>
      </c>
      <c r="Z1" s="334">
        <v>100</v>
      </c>
      <c r="AA1" s="332">
        <v>100</v>
      </c>
      <c r="AB1" s="296">
        <f>IF(Y1&lt;&gt;"",Y1*($AE$1*$AD$1),100000*($AE$1*$AD$1))</f>
        <v>347.94709755543778</v>
      </c>
      <c r="AC1" s="38">
        <f>AD1</f>
        <v>2</v>
      </c>
      <c r="AD1" s="53">
        <f>IF(AJ3&lt;&gt;0,2,IF(AJ4&lt;&gt;0,3,IF(AJ5&lt;&gt;0,4,IF(AJ6&lt;&gt;0,5,IF(AJ7&lt;&gt;0,6,IF(AJ8&lt;&gt;0,7,IF(AJ9&lt;&gt;0,8,IF(AJ10&lt;&gt;0,9,IF(AJ11&lt;&gt;0,10,1)))))))))</f>
        <v>2</v>
      </c>
      <c r="AE1" s="731">
        <f>IF(AJ3&lt;&gt;0,AJ3/365,IF(AJ4&lt;&gt;0,AJ5/365,IF(AJ5&lt;&gt;0,AJ6/365,IF(AJ6&lt;&gt;0,AJ7/365,IF(AJ7&lt;&gt;0,AJ8/365,IF(AJ8&lt;&gt;0,AJ9/365,IF(AJ9&lt;&gt;0,AJ10/365,IF(AJ10&lt;&gt;0,AJ11/365,IF(AJ11&lt;&gt;0,AJ12/365,60/365)))))))))</f>
        <v>1.7136986301369863E-3</v>
      </c>
      <c r="AF1" s="265" t="s">
        <v>315</v>
      </c>
      <c r="AG1" s="265" t="s">
        <v>316</v>
      </c>
      <c r="AH1" s="265" t="s">
        <v>317</v>
      </c>
      <c r="AI1" s="265" t="s">
        <v>318</v>
      </c>
      <c r="AJ1" s="266" t="s">
        <v>313</v>
      </c>
      <c r="AK1" s="264" t="s">
        <v>314</v>
      </c>
      <c r="AL1" s="208" t="s">
        <v>312</v>
      </c>
    </row>
    <row r="2" spans="1:42" ht="12.75" hidden="1" customHeight="1">
      <c r="A2" s="479" t="s">
        <v>567</v>
      </c>
      <c r="B2" s="611">
        <f t="shared" ref="B2:B29" si="0">IF(A2&lt;&gt;"",VLOOKUP($A2,$A$64:$N$201,2,0),"")</f>
        <v>149</v>
      </c>
      <c r="C2" s="300">
        <f t="shared" ref="C2:C29" si="1">IF(A2&lt;&gt;"",VLOOKUP($A2,$A$60:$N$201,3,0),"")</f>
        <v>49.91</v>
      </c>
      <c r="D2" s="247">
        <f t="shared" ref="D2:D29" si="2">IF(A2&lt;&gt;"",VLOOKUP($A2,$A$60:$N$201,4,0),"")</f>
        <v>50</v>
      </c>
      <c r="E2" s="614">
        <f t="shared" ref="E2:E29" si="3">IF(A2&lt;&gt;"",VLOOKUP($A2,$A$60:$N$201,5,0),"")</f>
        <v>1400</v>
      </c>
      <c r="F2" s="793">
        <f t="shared" ref="F2:F29" si="4">IF($A2&lt;&gt;"",VLOOKUP($A2,$A$60:$N$201,6,0),"")</f>
        <v>50</v>
      </c>
      <c r="G2" s="785">
        <f t="shared" ref="G2:G29" si="5">IF($A2&lt;&gt;"",VLOOKUP($A2,$A$60:$N$201,7,0),"")</f>
        <v>-1.9599999999999999E-2</v>
      </c>
      <c r="H2" s="235">
        <f t="shared" ref="H2:H29" si="6">IF($A2&lt;&gt;"",VLOOKUP($A2,$A$60:$N$201,8,0),"")</f>
        <v>51</v>
      </c>
      <c r="I2" s="227">
        <f t="shared" ref="I2:I29" si="7">IF($A2&lt;&gt;"",VLOOKUP($A2,$A$60:$N$201,9,0),"")</f>
        <v>51.8</v>
      </c>
      <c r="J2" s="277">
        <f t="shared" ref="J2:J29" si="8">IF($A2&lt;&gt;"",VLOOKUP($A2,$A$60:$N$201,10,0),"")</f>
        <v>50</v>
      </c>
      <c r="K2" s="231">
        <f t="shared" ref="K2:K29" si="9">IF($A2&lt;&gt;"",VLOOKUP($A2,$A$60:$N$201,11,0),"")</f>
        <v>51</v>
      </c>
      <c r="L2" s="248">
        <f t="shared" ref="L2:L29" si="10">IF($A2&lt;&gt;"",VLOOKUP($A2,$A$60:$N$201,12,0),"")</f>
        <v>3066</v>
      </c>
      <c r="M2" s="597">
        <f t="shared" ref="M2:M29" si="11">IF($A2&lt;&gt;"",VLOOKUP($A2,$A$60:$N$201,13,0),"")</f>
        <v>5943</v>
      </c>
      <c r="N2" s="594">
        <f t="shared" ref="N2:N18" si="12">IF($A2&lt;&gt;"",VLOOKUP($A2,$A$60:$N$201,14,0),"")</f>
        <v>9</v>
      </c>
      <c r="O2" s="271">
        <f t="shared" ref="O2:O17" si="13">IF($A2&lt;&gt;"",VLOOKUP($A2,$A$60:$O$201,15,0),"")</f>
        <v>45401.687615740739</v>
      </c>
      <c r="P2" s="282">
        <v>1</v>
      </c>
      <c r="Q2" s="471"/>
      <c r="R2" s="548"/>
      <c r="S2" s="538"/>
      <c r="T2" s="429"/>
      <c r="U2" s="574"/>
      <c r="V2" s="778"/>
      <c r="W2" s="804"/>
      <c r="X2" s="564"/>
      <c r="Y2" s="559">
        <f>IFERROR(IF($Y$1&lt;&gt;"",INT($Y$1/(D5/100)),100),100)</f>
        <v>194</v>
      </c>
      <c r="Z2" s="516">
        <f>IFERROR($C2*(1-$V$1)/100*$Y2,"")</f>
        <v>96.825400000000002</v>
      </c>
      <c r="AA2" s="819">
        <f>IFERROR($Z2-$Z3,"")</f>
        <v>0.26319999999999766</v>
      </c>
      <c r="AD2" s="285" t="s">
        <v>319</v>
      </c>
      <c r="AE2" s="291">
        <v>45407</v>
      </c>
      <c r="AF2" s="283">
        <v>89179000</v>
      </c>
      <c r="AG2" s="284">
        <v>0.62109999999999999</v>
      </c>
      <c r="AH2" s="284">
        <v>0.62209999999999999</v>
      </c>
      <c r="AI2" s="283">
        <v>825442615.70000005</v>
      </c>
      <c r="AJ2" s="288">
        <v>0.62109999999999999</v>
      </c>
      <c r="AK2" s="283"/>
    </row>
    <row r="3" spans="1:42" ht="12.75" hidden="1" customHeight="1">
      <c r="A3" s="307" t="s">
        <v>14</v>
      </c>
      <c r="B3" s="612">
        <f t="shared" si="0"/>
        <v>7391</v>
      </c>
      <c r="C3" s="299">
        <f t="shared" si="1"/>
        <v>58.15</v>
      </c>
      <c r="D3" s="301">
        <f t="shared" si="2"/>
        <v>58.17</v>
      </c>
      <c r="E3" s="615">
        <f t="shared" si="3"/>
        <v>852</v>
      </c>
      <c r="F3" s="794">
        <f t="shared" si="4"/>
        <v>58.16</v>
      </c>
      <c r="G3" s="786">
        <f t="shared" si="5"/>
        <v>-2.2599999999999999E-2</v>
      </c>
      <c r="H3" s="234">
        <f t="shared" si="6"/>
        <v>59.3</v>
      </c>
      <c r="I3" s="225">
        <f t="shared" si="7"/>
        <v>59.3</v>
      </c>
      <c r="J3" s="275">
        <f t="shared" si="8"/>
        <v>57.87</v>
      </c>
      <c r="K3" s="229">
        <f t="shared" si="9"/>
        <v>59.51</v>
      </c>
      <c r="L3" s="232">
        <f t="shared" si="10"/>
        <v>68410559</v>
      </c>
      <c r="M3" s="598">
        <f t="shared" si="11"/>
        <v>117452298</v>
      </c>
      <c r="N3" s="599">
        <f t="shared" si="12"/>
        <v>52225</v>
      </c>
      <c r="O3" s="272">
        <f t="shared" si="13"/>
        <v>45406.687650462962</v>
      </c>
      <c r="P3" s="281">
        <v>2</v>
      </c>
      <c r="Q3" s="259"/>
      <c r="R3" s="549"/>
      <c r="S3" s="539"/>
      <c r="T3" s="430"/>
      <c r="U3" s="575"/>
      <c r="V3" s="779"/>
      <c r="W3" s="459"/>
      <c r="X3" s="565"/>
      <c r="Y3" s="560">
        <f>IFERROR(INT($Z2/($D3*(1+$V$1)/100)),0)</f>
        <v>166</v>
      </c>
      <c r="Z3" s="517">
        <f>IFERROR($D3/100*INT($Y3),"")</f>
        <v>96.562200000000004</v>
      </c>
      <c r="AA3" s="820"/>
      <c r="AD3" s="49" t="s">
        <v>320</v>
      </c>
      <c r="AE3" s="292">
        <v>45408</v>
      </c>
      <c r="AF3" s="48">
        <v>16605846.289999999</v>
      </c>
      <c r="AG3" s="52">
        <v>0.62549999999999994</v>
      </c>
      <c r="AH3" s="52">
        <v>0.67</v>
      </c>
      <c r="AI3" s="48">
        <v>3121309.88</v>
      </c>
      <c r="AJ3" s="289">
        <v>0.62549999999999994</v>
      </c>
      <c r="AK3" s="48">
        <v>14056606938</v>
      </c>
    </row>
    <row r="4" spans="1:42" ht="12.75" hidden="1" customHeight="1">
      <c r="A4" s="306" t="s">
        <v>13</v>
      </c>
      <c r="B4" s="611">
        <f t="shared" si="0"/>
        <v>18055</v>
      </c>
      <c r="C4" s="300">
        <f t="shared" si="1"/>
        <v>58700</v>
      </c>
      <c r="D4" s="298">
        <f t="shared" si="2"/>
        <v>58790</v>
      </c>
      <c r="E4" s="616">
        <f t="shared" si="3"/>
        <v>10255</v>
      </c>
      <c r="F4" s="793">
        <f t="shared" si="4"/>
        <v>58780</v>
      </c>
      <c r="G4" s="785">
        <f t="shared" si="5"/>
        <v>-1.5700000000000002E-2</v>
      </c>
      <c r="H4" s="235">
        <f t="shared" si="6"/>
        <v>61500</v>
      </c>
      <c r="I4" s="227">
        <f t="shared" si="7"/>
        <v>61500</v>
      </c>
      <c r="J4" s="277">
        <f t="shared" si="8"/>
        <v>58360</v>
      </c>
      <c r="K4" s="231">
        <f t="shared" si="9"/>
        <v>59720</v>
      </c>
      <c r="L4" s="248">
        <f t="shared" si="10"/>
        <v>94069720171</v>
      </c>
      <c r="M4" s="597">
        <f t="shared" si="11"/>
        <v>160253216</v>
      </c>
      <c r="N4" s="594">
        <f t="shared" si="12"/>
        <v>62982</v>
      </c>
      <c r="O4" s="271">
        <f t="shared" si="13"/>
        <v>45406.687604166669</v>
      </c>
      <c r="P4" s="282">
        <v>3</v>
      </c>
      <c r="Q4" s="261"/>
      <c r="R4" s="550"/>
      <c r="S4" s="540"/>
      <c r="T4" s="429"/>
      <c r="U4" s="574"/>
      <c r="V4" s="778"/>
      <c r="W4" s="804"/>
      <c r="X4" s="567"/>
      <c r="Y4" s="561">
        <f t="shared" ref="Y4:Y12" si="14">Y3</f>
        <v>166</v>
      </c>
      <c r="Z4" s="518">
        <f>IFERROR($C4*(1-$V$1)/100*INT($Y4),"")</f>
        <v>97442</v>
      </c>
      <c r="AA4" s="816">
        <f>IFERROR($Z4-$Z5,"")</f>
        <v>15</v>
      </c>
      <c r="AD4" s="285" t="s">
        <v>321</v>
      </c>
      <c r="AE4" s="292">
        <v>45409</v>
      </c>
      <c r="AF4" s="283"/>
      <c r="AG4" s="284"/>
      <c r="AH4" s="284"/>
      <c r="AI4" s="283"/>
      <c r="AJ4" s="288"/>
      <c r="AK4" s="283"/>
      <c r="AL4" s="47"/>
    </row>
    <row r="5" spans="1:42" ht="12.75" hidden="1" customHeight="1">
      <c r="A5" s="478" t="s">
        <v>565</v>
      </c>
      <c r="B5" s="613">
        <f t="shared" si="0"/>
        <v>504</v>
      </c>
      <c r="C5" s="303">
        <f t="shared" si="1"/>
        <v>51600</v>
      </c>
      <c r="D5" s="304">
        <f t="shared" si="2"/>
        <v>52100</v>
      </c>
      <c r="E5" s="617">
        <f t="shared" si="3"/>
        <v>2136</v>
      </c>
      <c r="F5" s="799">
        <f t="shared" si="4"/>
        <v>52000</v>
      </c>
      <c r="G5" s="792">
        <f t="shared" si="5"/>
        <v>2.9999999999999997E-4</v>
      </c>
      <c r="H5" s="249">
        <f t="shared" si="6"/>
        <v>51980</v>
      </c>
      <c r="I5" s="250">
        <f t="shared" si="7"/>
        <v>52650</v>
      </c>
      <c r="J5" s="279">
        <f t="shared" si="8"/>
        <v>51400</v>
      </c>
      <c r="K5" s="251">
        <f t="shared" si="9"/>
        <v>51980</v>
      </c>
      <c r="L5" s="253">
        <f t="shared" si="10"/>
        <v>11278906</v>
      </c>
      <c r="M5" s="600">
        <f t="shared" si="11"/>
        <v>21619</v>
      </c>
      <c r="N5" s="601">
        <f t="shared" si="12"/>
        <v>62</v>
      </c>
      <c r="O5" s="274">
        <f t="shared" si="13"/>
        <v>45401.687615740739</v>
      </c>
      <c r="P5" s="583">
        <v>4</v>
      </c>
      <c r="Q5" s="472"/>
      <c r="R5" s="551"/>
      <c r="S5" s="541"/>
      <c r="T5" s="432"/>
      <c r="U5" s="576"/>
      <c r="V5" s="779"/>
      <c r="W5" s="584"/>
      <c r="X5" s="585"/>
      <c r="Y5" s="586">
        <f>IFERROR($Z4/($D5*(1+$V$1)/100),0)</f>
        <v>187.02879078694818</v>
      </c>
      <c r="Z5" s="587">
        <f>IFERROR($D5/100*INT($Y5),"")</f>
        <v>97427</v>
      </c>
      <c r="AA5" s="821"/>
      <c r="AD5" s="49" t="s">
        <v>322</v>
      </c>
      <c r="AE5" s="292">
        <v>45410</v>
      </c>
      <c r="AF5" s="48"/>
      <c r="AG5" s="52"/>
      <c r="AH5" s="52"/>
      <c r="AI5" s="48"/>
      <c r="AJ5" s="289"/>
      <c r="AK5" s="48"/>
      <c r="AL5" s="47"/>
    </row>
    <row r="6" spans="1:42" ht="12.75" hidden="1" customHeight="1">
      <c r="A6" s="479" t="s">
        <v>241</v>
      </c>
      <c r="B6" s="611">
        <f t="shared" si="0"/>
        <v>60935</v>
      </c>
      <c r="C6" s="300">
        <f t="shared" si="1"/>
        <v>48.55</v>
      </c>
      <c r="D6" s="247">
        <f t="shared" si="2"/>
        <v>48.9</v>
      </c>
      <c r="E6" s="614">
        <f t="shared" si="3"/>
        <v>1821</v>
      </c>
      <c r="F6" s="793">
        <f t="shared" si="4"/>
        <v>48.55</v>
      </c>
      <c r="G6" s="785">
        <f t="shared" si="5"/>
        <v>8.199999999999999E-3</v>
      </c>
      <c r="H6" s="233">
        <f t="shared" si="6"/>
        <v>47.5</v>
      </c>
      <c r="I6" s="224">
        <f t="shared" si="7"/>
        <v>49</v>
      </c>
      <c r="J6" s="276">
        <f t="shared" si="8"/>
        <v>47</v>
      </c>
      <c r="K6" s="228">
        <f t="shared" si="9"/>
        <v>48.155000000000001</v>
      </c>
      <c r="L6" s="255">
        <f t="shared" si="10"/>
        <v>458994</v>
      </c>
      <c r="M6" s="602">
        <f t="shared" si="11"/>
        <v>947375</v>
      </c>
      <c r="N6" s="596">
        <f t="shared" si="12"/>
        <v>531</v>
      </c>
      <c r="O6" s="268">
        <f t="shared" si="13"/>
        <v>45401.708460648151</v>
      </c>
      <c r="P6" s="282">
        <v>5</v>
      </c>
      <c r="Q6" s="463"/>
      <c r="R6" s="552"/>
      <c r="S6" s="542"/>
      <c r="T6" s="433"/>
      <c r="U6" s="577"/>
      <c r="V6" s="778"/>
      <c r="W6" s="804"/>
      <c r="X6" s="566"/>
      <c r="Y6" s="562">
        <f>IFERROR(IF($Y$1&lt;&gt;"",INT($Y$1/(D9/100)),100),100)</f>
        <v>203</v>
      </c>
      <c r="Z6" s="520">
        <f>IFERROR($C6*(1-$V$1)/100*$Y6,"")</f>
        <v>98.5565</v>
      </c>
      <c r="AA6" s="819">
        <f>IFERROR($Z6-$Z7,"")</f>
        <v>9.2499999999986926E-2</v>
      </c>
      <c r="AB6" s="223"/>
      <c r="AD6" s="285" t="s">
        <v>323</v>
      </c>
      <c r="AE6" s="292">
        <v>45411</v>
      </c>
      <c r="AF6" s="283">
        <v>51108467.619999997</v>
      </c>
      <c r="AG6" s="284">
        <v>0.62819999999999998</v>
      </c>
      <c r="AH6" s="284">
        <v>0.64</v>
      </c>
      <c r="AI6" s="283">
        <v>3698.06</v>
      </c>
      <c r="AJ6" s="288">
        <v>0.62819999999999998</v>
      </c>
      <c r="AK6" s="283">
        <v>4888705722</v>
      </c>
    </row>
    <row r="7" spans="1:42" ht="12.75" hidden="1" customHeight="1">
      <c r="A7" s="307" t="s">
        <v>4</v>
      </c>
      <c r="B7" s="612">
        <f t="shared" si="0"/>
        <v>6245</v>
      </c>
      <c r="C7" s="299">
        <f t="shared" si="1"/>
        <v>57.91</v>
      </c>
      <c r="D7" s="301">
        <f t="shared" si="2"/>
        <v>57.92</v>
      </c>
      <c r="E7" s="615">
        <f t="shared" si="3"/>
        <v>293</v>
      </c>
      <c r="F7" s="794">
        <f t="shared" si="4"/>
        <v>57.91</v>
      </c>
      <c r="G7" s="786">
        <f t="shared" si="5"/>
        <v>-2.81E-2</v>
      </c>
      <c r="H7" s="234">
        <f t="shared" si="6"/>
        <v>59.43</v>
      </c>
      <c r="I7" s="225">
        <f t="shared" si="7"/>
        <v>59.43</v>
      </c>
      <c r="J7" s="275">
        <f t="shared" si="8"/>
        <v>57.85</v>
      </c>
      <c r="K7" s="229">
        <f t="shared" si="9"/>
        <v>59.59</v>
      </c>
      <c r="L7" s="232">
        <f t="shared" si="10"/>
        <v>19782101</v>
      </c>
      <c r="M7" s="603">
        <f t="shared" si="11"/>
        <v>33959457</v>
      </c>
      <c r="N7" s="599">
        <f t="shared" si="12"/>
        <v>11422</v>
      </c>
      <c r="O7" s="267">
        <f t="shared" si="13"/>
        <v>45406.708541666667</v>
      </c>
      <c r="P7" s="281">
        <v>6</v>
      </c>
      <c r="Q7" s="259"/>
      <c r="R7" s="549"/>
      <c r="S7" s="539"/>
      <c r="T7" s="430"/>
      <c r="U7" s="575"/>
      <c r="V7" s="779"/>
      <c r="W7" s="459"/>
      <c r="X7" s="565"/>
      <c r="Y7" s="560">
        <f>IFERROR(INT($Z6/($D7*(1+$V$1)/100)),0)</f>
        <v>170</v>
      </c>
      <c r="Z7" s="519">
        <f>IFERROR($D7/100*INT($Y7),"")</f>
        <v>98.464000000000013</v>
      </c>
      <c r="AA7" s="820"/>
      <c r="AD7" s="49" t="s">
        <v>324</v>
      </c>
      <c r="AE7" s="292">
        <v>45412</v>
      </c>
      <c r="AF7" s="48">
        <v>24322422</v>
      </c>
      <c r="AG7" s="52">
        <v>0.61</v>
      </c>
      <c r="AH7" s="52">
        <v>0.66980000000000006</v>
      </c>
      <c r="AI7" s="48">
        <v>20000000</v>
      </c>
      <c r="AJ7" s="289">
        <v>0.62009999999999998</v>
      </c>
      <c r="AK7" s="48">
        <v>14658391201</v>
      </c>
    </row>
    <row r="8" spans="1:42" hidden="1">
      <c r="A8" s="306" t="s">
        <v>2</v>
      </c>
      <c r="B8" s="611">
        <f t="shared" si="0"/>
        <v>264535</v>
      </c>
      <c r="C8" s="300">
        <f t="shared" si="1"/>
        <v>58800</v>
      </c>
      <c r="D8" s="298">
        <f t="shared" si="2"/>
        <v>58810</v>
      </c>
      <c r="E8" s="616">
        <f t="shared" si="3"/>
        <v>167820</v>
      </c>
      <c r="F8" s="793">
        <f t="shared" si="4"/>
        <v>58810</v>
      </c>
      <c r="G8" s="785">
        <f t="shared" si="5"/>
        <v>-1.9599999999999999E-2</v>
      </c>
      <c r="H8" s="233">
        <f t="shared" si="6"/>
        <v>59600</v>
      </c>
      <c r="I8" s="224">
        <f t="shared" si="7"/>
        <v>59600</v>
      </c>
      <c r="J8" s="276">
        <f t="shared" si="8"/>
        <v>58560</v>
      </c>
      <c r="K8" s="228">
        <f t="shared" si="9"/>
        <v>59990</v>
      </c>
      <c r="L8" s="255">
        <f t="shared" si="10"/>
        <v>66410942821</v>
      </c>
      <c r="M8" s="602">
        <f t="shared" si="11"/>
        <v>112746209</v>
      </c>
      <c r="N8" s="596">
        <f t="shared" si="12"/>
        <v>24844</v>
      </c>
      <c r="O8" s="268">
        <f t="shared" si="13"/>
        <v>45406.70853009259</v>
      </c>
      <c r="P8" s="282">
        <v>7</v>
      </c>
      <c r="Q8" s="463"/>
      <c r="R8" s="552"/>
      <c r="S8" s="542"/>
      <c r="T8" s="433"/>
      <c r="U8" s="574"/>
      <c r="V8" s="778"/>
      <c r="W8" s="804"/>
      <c r="X8" s="567"/>
      <c r="Y8" s="561">
        <f t="shared" si="14"/>
        <v>170</v>
      </c>
      <c r="Z8" s="518">
        <f>IFERROR($C8*(1-$V$1)/100*INT($Y8),"")</f>
        <v>99960</v>
      </c>
      <c r="AA8" s="816">
        <f>IFERROR($Z8-$Z9,"")</f>
        <v>160</v>
      </c>
      <c r="AD8" s="285" t="s">
        <v>325</v>
      </c>
      <c r="AE8" s="292">
        <v>45413</v>
      </c>
      <c r="AF8" s="283"/>
      <c r="AG8" s="284"/>
      <c r="AH8" s="284"/>
      <c r="AI8" s="283"/>
      <c r="AJ8" s="288"/>
      <c r="AK8" s="283"/>
    </row>
    <row r="9" spans="1:42" ht="12.75" hidden="1" customHeight="1">
      <c r="A9" s="478" t="s">
        <v>184</v>
      </c>
      <c r="B9" s="613">
        <f t="shared" si="0"/>
        <v>9448</v>
      </c>
      <c r="C9" s="303">
        <f t="shared" si="1"/>
        <v>49890</v>
      </c>
      <c r="D9" s="304">
        <f t="shared" si="2"/>
        <v>49900</v>
      </c>
      <c r="E9" s="617">
        <f t="shared" si="3"/>
        <v>36844</v>
      </c>
      <c r="F9" s="799">
        <f t="shared" si="4"/>
        <v>49890</v>
      </c>
      <c r="G9" s="792">
        <f t="shared" si="5"/>
        <v>1.7100000000000001E-2</v>
      </c>
      <c r="H9" s="249">
        <f t="shared" si="6"/>
        <v>49100</v>
      </c>
      <c r="I9" s="250">
        <f t="shared" si="7"/>
        <v>49995</v>
      </c>
      <c r="J9" s="279">
        <f t="shared" si="8"/>
        <v>48900</v>
      </c>
      <c r="K9" s="251">
        <f t="shared" si="9"/>
        <v>49050</v>
      </c>
      <c r="L9" s="253">
        <f t="shared" si="10"/>
        <v>2075041556</v>
      </c>
      <c r="M9" s="600">
        <f t="shared" si="11"/>
        <v>4187673</v>
      </c>
      <c r="N9" s="604">
        <f t="shared" si="12"/>
        <v>2843</v>
      </c>
      <c r="O9" s="305">
        <f t="shared" si="13"/>
        <v>45401.708379629628</v>
      </c>
      <c r="P9" s="583">
        <v>8</v>
      </c>
      <c r="Q9" s="472"/>
      <c r="R9" s="554"/>
      <c r="S9" s="541"/>
      <c r="T9" s="435"/>
      <c r="U9" s="576"/>
      <c r="V9" s="779"/>
      <c r="W9" s="584"/>
      <c r="X9" s="585"/>
      <c r="Y9" s="586">
        <f>IFERROR($Z8/($D9*(1+$V$1)/100),0)</f>
        <v>200.32064128256513</v>
      </c>
      <c r="Z9" s="587">
        <f>IFERROR($D9/100*INT($Y9),"")</f>
        <v>99800</v>
      </c>
      <c r="AA9" s="821"/>
      <c r="AD9" s="49" t="s">
        <v>602</v>
      </c>
      <c r="AE9" s="292">
        <v>45414</v>
      </c>
      <c r="AF9" s="286">
        <v>50000000</v>
      </c>
      <c r="AG9" s="287">
        <v>0.61520000000000008</v>
      </c>
      <c r="AH9" s="287">
        <v>0.7</v>
      </c>
      <c r="AI9" s="286">
        <v>193786145.84999999</v>
      </c>
      <c r="AJ9" s="290">
        <v>0.61520000000000008</v>
      </c>
      <c r="AK9" s="286">
        <v>76653917867</v>
      </c>
    </row>
    <row r="10" spans="1:42" ht="12.75" hidden="1" customHeight="1">
      <c r="A10" s="479" t="s">
        <v>14</v>
      </c>
      <c r="B10" s="611">
        <f t="shared" si="0"/>
        <v>7391</v>
      </c>
      <c r="C10" s="300">
        <f t="shared" si="1"/>
        <v>58.15</v>
      </c>
      <c r="D10" s="247">
        <f t="shared" si="2"/>
        <v>58.17</v>
      </c>
      <c r="E10" s="614">
        <f t="shared" si="3"/>
        <v>852</v>
      </c>
      <c r="F10" s="793">
        <f t="shared" si="4"/>
        <v>58.16</v>
      </c>
      <c r="G10" s="785">
        <f t="shared" si="5"/>
        <v>-2.2599999999999999E-2</v>
      </c>
      <c r="H10" s="233">
        <f t="shared" si="6"/>
        <v>59.3</v>
      </c>
      <c r="I10" s="224">
        <f t="shared" si="7"/>
        <v>59.3</v>
      </c>
      <c r="J10" s="276">
        <f t="shared" si="8"/>
        <v>57.87</v>
      </c>
      <c r="K10" s="228">
        <f t="shared" si="9"/>
        <v>59.51</v>
      </c>
      <c r="L10" s="255">
        <f t="shared" si="10"/>
        <v>68410559</v>
      </c>
      <c r="M10" s="602">
        <f t="shared" si="11"/>
        <v>117452298</v>
      </c>
      <c r="N10" s="596">
        <f t="shared" si="12"/>
        <v>52225</v>
      </c>
      <c r="O10" s="268">
        <f t="shared" si="13"/>
        <v>45406.687650462962</v>
      </c>
      <c r="P10" s="282">
        <v>9</v>
      </c>
      <c r="Q10" s="463"/>
      <c r="R10" s="552"/>
      <c r="S10" s="542"/>
      <c r="T10" s="433"/>
      <c r="U10" s="577"/>
      <c r="V10" s="778"/>
      <c r="W10" s="804"/>
      <c r="X10" s="566"/>
      <c r="Y10" s="562">
        <f>IFERROR(IF($Y$1&lt;&gt;"",INT($Y$1/(D13/100)),100),100)</f>
        <v>172</v>
      </c>
      <c r="Z10" s="520">
        <f>IFERROR($C10*(1-$V$1)/100*$Y10,"")</f>
        <v>100.018</v>
      </c>
      <c r="AA10" s="819">
        <f>IFERROR($Z10-$Z11,"")</f>
        <v>1.8000000000000682E-2</v>
      </c>
      <c r="AB10" s="223"/>
      <c r="AD10" s="49" t="s">
        <v>603</v>
      </c>
      <c r="AE10" s="292">
        <v>45415</v>
      </c>
      <c r="AF10" s="286">
        <v>499257627.54000002</v>
      </c>
      <c r="AG10" s="287">
        <v>0.62</v>
      </c>
      <c r="AH10" s="287">
        <v>0.70489999999999997</v>
      </c>
      <c r="AI10" s="286">
        <v>3000000</v>
      </c>
      <c r="AJ10" s="290">
        <v>0.62</v>
      </c>
      <c r="AK10" s="286">
        <v>688422544</v>
      </c>
    </row>
    <row r="11" spans="1:42" ht="12.75" hidden="1" customHeight="1">
      <c r="A11" s="307" t="s">
        <v>567</v>
      </c>
      <c r="B11" s="612">
        <f t="shared" si="0"/>
        <v>149</v>
      </c>
      <c r="C11" s="299">
        <f t="shared" si="1"/>
        <v>49.91</v>
      </c>
      <c r="D11" s="301">
        <f t="shared" si="2"/>
        <v>50</v>
      </c>
      <c r="E11" s="615">
        <f t="shared" si="3"/>
        <v>1400</v>
      </c>
      <c r="F11" s="794">
        <f t="shared" si="4"/>
        <v>50</v>
      </c>
      <c r="G11" s="786">
        <f t="shared" si="5"/>
        <v>-1.9599999999999999E-2</v>
      </c>
      <c r="H11" s="234">
        <f t="shared" si="6"/>
        <v>51</v>
      </c>
      <c r="I11" s="225">
        <f t="shared" si="7"/>
        <v>51.8</v>
      </c>
      <c r="J11" s="275">
        <f t="shared" si="8"/>
        <v>50</v>
      </c>
      <c r="K11" s="229">
        <f t="shared" si="9"/>
        <v>51</v>
      </c>
      <c r="L11" s="232">
        <f t="shared" si="10"/>
        <v>3066</v>
      </c>
      <c r="M11" s="598">
        <f t="shared" si="11"/>
        <v>5943</v>
      </c>
      <c r="N11" s="599">
        <f t="shared" si="12"/>
        <v>9</v>
      </c>
      <c r="O11" s="267">
        <f t="shared" si="13"/>
        <v>45401.687615740739</v>
      </c>
      <c r="P11" s="281">
        <v>10</v>
      </c>
      <c r="Q11" s="259"/>
      <c r="R11" s="549"/>
      <c r="S11" s="539"/>
      <c r="T11" s="430"/>
      <c r="U11" s="575"/>
      <c r="V11" s="779"/>
      <c r="W11" s="459"/>
      <c r="X11" s="565"/>
      <c r="Y11" s="560">
        <f>IFERROR(INT($Z10/($D11*(1+$V$1)/100)),0)</f>
        <v>200</v>
      </c>
      <c r="Z11" s="519">
        <f>IFERROR($D11/100*INT($Y11),"")</f>
        <v>100</v>
      </c>
      <c r="AA11" s="820"/>
      <c r="AD11" s="49" t="s">
        <v>604</v>
      </c>
      <c r="AE11" s="292">
        <v>45416</v>
      </c>
      <c r="AF11" s="286"/>
      <c r="AG11" s="287"/>
      <c r="AH11" s="287"/>
      <c r="AI11" s="286"/>
      <c r="AJ11" s="290"/>
      <c r="AK11" s="286"/>
    </row>
    <row r="12" spans="1:42" ht="12.75" hidden="1" customHeight="1">
      <c r="A12" s="306" t="s">
        <v>565</v>
      </c>
      <c r="B12" s="611">
        <f t="shared" si="0"/>
        <v>504</v>
      </c>
      <c r="C12" s="300">
        <f t="shared" si="1"/>
        <v>51600</v>
      </c>
      <c r="D12" s="298">
        <f t="shared" si="2"/>
        <v>52100</v>
      </c>
      <c r="E12" s="616">
        <f t="shared" si="3"/>
        <v>2136</v>
      </c>
      <c r="F12" s="793">
        <f t="shared" si="4"/>
        <v>52000</v>
      </c>
      <c r="G12" s="785">
        <f t="shared" si="5"/>
        <v>2.9999999999999997E-4</v>
      </c>
      <c r="H12" s="233">
        <f t="shared" si="6"/>
        <v>51980</v>
      </c>
      <c r="I12" s="224">
        <f t="shared" si="7"/>
        <v>52650</v>
      </c>
      <c r="J12" s="276">
        <f t="shared" si="8"/>
        <v>51400</v>
      </c>
      <c r="K12" s="228">
        <f t="shared" si="9"/>
        <v>51980</v>
      </c>
      <c r="L12" s="255">
        <f t="shared" si="10"/>
        <v>11278906</v>
      </c>
      <c r="M12" s="602">
        <f t="shared" si="11"/>
        <v>21619</v>
      </c>
      <c r="N12" s="596">
        <f t="shared" si="12"/>
        <v>62</v>
      </c>
      <c r="O12" s="268">
        <f t="shared" si="13"/>
        <v>45401.687615740739</v>
      </c>
      <c r="P12" s="282">
        <v>11</v>
      </c>
      <c r="Q12" s="463"/>
      <c r="R12" s="552"/>
      <c r="S12" s="542"/>
      <c r="T12" s="433"/>
      <c r="U12" s="574"/>
      <c r="V12" s="778"/>
      <c r="W12" s="804"/>
      <c r="X12" s="567"/>
      <c r="Y12" s="561">
        <f t="shared" si="14"/>
        <v>200</v>
      </c>
      <c r="Z12" s="518">
        <f>IFERROR($C12*(1-$V$1)/100*INT($Y12),"")</f>
        <v>103200</v>
      </c>
      <c r="AA12" s="816">
        <f>IFERROR($Z12-$Z13,"")</f>
        <v>317.5</v>
      </c>
    </row>
    <row r="13" spans="1:42" ht="12.75" hidden="1" customHeight="1">
      <c r="A13" s="478" t="s">
        <v>13</v>
      </c>
      <c r="B13" s="613">
        <f t="shared" si="0"/>
        <v>18055</v>
      </c>
      <c r="C13" s="303">
        <f t="shared" si="1"/>
        <v>58700</v>
      </c>
      <c r="D13" s="304">
        <f t="shared" si="2"/>
        <v>58790</v>
      </c>
      <c r="E13" s="617">
        <f t="shared" si="3"/>
        <v>10255</v>
      </c>
      <c r="F13" s="799">
        <f t="shared" si="4"/>
        <v>58780</v>
      </c>
      <c r="G13" s="792">
        <f t="shared" si="5"/>
        <v>-1.5700000000000002E-2</v>
      </c>
      <c r="H13" s="249">
        <f t="shared" si="6"/>
        <v>61500</v>
      </c>
      <c r="I13" s="250">
        <f t="shared" si="7"/>
        <v>61500</v>
      </c>
      <c r="J13" s="279">
        <f t="shared" si="8"/>
        <v>58360</v>
      </c>
      <c r="K13" s="251">
        <f t="shared" si="9"/>
        <v>59720</v>
      </c>
      <c r="L13" s="253">
        <f t="shared" si="10"/>
        <v>94069720171</v>
      </c>
      <c r="M13" s="600">
        <f t="shared" si="11"/>
        <v>160253216</v>
      </c>
      <c r="N13" s="604">
        <f t="shared" si="12"/>
        <v>62982</v>
      </c>
      <c r="O13" s="305">
        <f t="shared" si="13"/>
        <v>45406.687604166669</v>
      </c>
      <c r="P13" s="281">
        <v>12</v>
      </c>
      <c r="Q13" s="472"/>
      <c r="R13" s="554"/>
      <c r="S13" s="541"/>
      <c r="T13" s="435"/>
      <c r="U13" s="575"/>
      <c r="V13" s="779"/>
      <c r="W13" s="584"/>
      <c r="X13" s="585"/>
      <c r="Y13" s="586">
        <f>IFERROR($Z12/($D13*(1+$V$1)/100),0)</f>
        <v>175.54005783296481</v>
      </c>
      <c r="Z13" s="587">
        <f>IFERROR($D13/100*INT($Y13),"")</f>
        <v>102882.5</v>
      </c>
      <c r="AA13" s="821"/>
    </row>
    <row r="14" spans="1:42" ht="12.75" hidden="1" customHeight="1">
      <c r="A14" s="479" t="s">
        <v>4</v>
      </c>
      <c r="B14" s="611">
        <f t="shared" si="0"/>
        <v>6245</v>
      </c>
      <c r="C14" s="300">
        <f t="shared" si="1"/>
        <v>57.91</v>
      </c>
      <c r="D14" s="247">
        <f t="shared" si="2"/>
        <v>57.92</v>
      </c>
      <c r="E14" s="614">
        <f t="shared" si="3"/>
        <v>293</v>
      </c>
      <c r="F14" s="793">
        <f t="shared" si="4"/>
        <v>57.91</v>
      </c>
      <c r="G14" s="785">
        <f t="shared" si="5"/>
        <v>-2.81E-2</v>
      </c>
      <c r="H14" s="235">
        <f t="shared" si="6"/>
        <v>59.43</v>
      </c>
      <c r="I14" s="227">
        <f t="shared" si="7"/>
        <v>59.43</v>
      </c>
      <c r="J14" s="277">
        <f t="shared" si="8"/>
        <v>57.85</v>
      </c>
      <c r="K14" s="231">
        <f t="shared" si="9"/>
        <v>59.59</v>
      </c>
      <c r="L14" s="248">
        <f t="shared" si="10"/>
        <v>19782101</v>
      </c>
      <c r="M14" s="597">
        <f t="shared" si="11"/>
        <v>33959457</v>
      </c>
      <c r="N14" s="594">
        <f t="shared" si="12"/>
        <v>11422</v>
      </c>
      <c r="O14" s="269">
        <f t="shared" si="13"/>
        <v>45406.708541666667</v>
      </c>
      <c r="P14" s="282">
        <v>13</v>
      </c>
      <c r="Q14" s="261"/>
      <c r="R14" s="550"/>
      <c r="S14" s="540"/>
      <c r="T14" s="429"/>
      <c r="U14" s="574"/>
      <c r="V14" s="778"/>
      <c r="W14" s="804"/>
      <c r="X14" s="566"/>
      <c r="Y14" s="562">
        <v>100</v>
      </c>
      <c r="Z14" s="520">
        <f>IFERROR($C14*(1-$V$1)/100*$Y14,"")</f>
        <v>57.91</v>
      </c>
      <c r="AA14" s="819">
        <f>IFERROR($Z14-$Z15,"")</f>
        <v>0.20799999999999841</v>
      </c>
      <c r="AN14" s="47"/>
      <c r="AO14" s="47"/>
      <c r="AP14" s="47"/>
    </row>
    <row r="15" spans="1:42" ht="12.75" hidden="1" customHeight="1">
      <c r="A15" s="307" t="s">
        <v>241</v>
      </c>
      <c r="B15" s="612">
        <f t="shared" si="0"/>
        <v>60935</v>
      </c>
      <c r="C15" s="299">
        <f t="shared" si="1"/>
        <v>48.55</v>
      </c>
      <c r="D15" s="301">
        <f t="shared" si="2"/>
        <v>48.9</v>
      </c>
      <c r="E15" s="615">
        <f t="shared" si="3"/>
        <v>1821</v>
      </c>
      <c r="F15" s="794">
        <f t="shared" si="4"/>
        <v>48.55</v>
      </c>
      <c r="G15" s="786">
        <f t="shared" si="5"/>
        <v>8.199999999999999E-3</v>
      </c>
      <c r="H15" s="238">
        <f t="shared" si="6"/>
        <v>47.5</v>
      </c>
      <c r="I15" s="239">
        <f t="shared" si="7"/>
        <v>49</v>
      </c>
      <c r="J15" s="278">
        <f t="shared" si="8"/>
        <v>47</v>
      </c>
      <c r="K15" s="240">
        <f t="shared" si="9"/>
        <v>48.155000000000001</v>
      </c>
      <c r="L15" s="258">
        <f t="shared" si="10"/>
        <v>458994</v>
      </c>
      <c r="M15" s="605">
        <f t="shared" si="11"/>
        <v>947375</v>
      </c>
      <c r="N15" s="606">
        <f t="shared" si="12"/>
        <v>531</v>
      </c>
      <c r="O15" s="270">
        <f t="shared" si="13"/>
        <v>45401.708460648151</v>
      </c>
      <c r="P15" s="281">
        <v>14</v>
      </c>
      <c r="Q15" s="473"/>
      <c r="R15" s="555"/>
      <c r="S15" s="544"/>
      <c r="T15" s="434"/>
      <c r="U15" s="575"/>
      <c r="V15" s="779"/>
      <c r="W15" s="459"/>
      <c r="X15" s="565"/>
      <c r="Y15" s="560">
        <f>IFERROR(INT($Z14/($D15*(1+$V$1)/100)),0)</f>
        <v>118</v>
      </c>
      <c r="Z15" s="519">
        <f>IFERROR($D15/100*INT($Y15),"")</f>
        <v>57.701999999999998</v>
      </c>
      <c r="AA15" s="820"/>
    </row>
    <row r="16" spans="1:42" ht="12.75" hidden="1" customHeight="1">
      <c r="A16" s="306" t="s">
        <v>184</v>
      </c>
      <c r="B16" s="611">
        <f t="shared" si="0"/>
        <v>9448</v>
      </c>
      <c r="C16" s="300">
        <f t="shared" si="1"/>
        <v>49890</v>
      </c>
      <c r="D16" s="298">
        <f t="shared" si="2"/>
        <v>49900</v>
      </c>
      <c r="E16" s="616">
        <f t="shared" si="3"/>
        <v>36844</v>
      </c>
      <c r="F16" s="793">
        <f t="shared" si="4"/>
        <v>49890</v>
      </c>
      <c r="G16" s="785">
        <f t="shared" si="5"/>
        <v>1.7100000000000001E-2</v>
      </c>
      <c r="H16" s="233">
        <f t="shared" si="6"/>
        <v>49100</v>
      </c>
      <c r="I16" s="224">
        <f t="shared" si="7"/>
        <v>49995</v>
      </c>
      <c r="J16" s="224">
        <f t="shared" si="8"/>
        <v>48900</v>
      </c>
      <c r="K16" s="228">
        <f t="shared" si="9"/>
        <v>49050</v>
      </c>
      <c r="L16" s="255">
        <f t="shared" si="10"/>
        <v>2075041556</v>
      </c>
      <c r="M16" s="602">
        <f t="shared" si="11"/>
        <v>4187673</v>
      </c>
      <c r="N16" s="596">
        <f t="shared" si="12"/>
        <v>2843</v>
      </c>
      <c r="O16" s="268">
        <f t="shared" si="13"/>
        <v>45401.708379629628</v>
      </c>
      <c r="P16" s="282">
        <v>15</v>
      </c>
      <c r="Q16" s="474"/>
      <c r="R16" s="552"/>
      <c r="S16" s="542"/>
      <c r="T16" s="433"/>
      <c r="U16" s="574"/>
      <c r="V16" s="778"/>
      <c r="W16" s="804"/>
      <c r="X16" s="567"/>
      <c r="Y16" s="561">
        <f t="shared" ref="Y16" si="15">Y15</f>
        <v>118</v>
      </c>
      <c r="Z16" s="518">
        <f>IFERROR($C16*(1-$V$1)/100*INT($Y16),"")</f>
        <v>58870.2</v>
      </c>
      <c r="AA16" s="816">
        <f>IFERROR($Z16-$Z17,"")</f>
        <v>60.19999999999709</v>
      </c>
    </row>
    <row r="17" spans="1:41" ht="12.75" hidden="1" customHeight="1">
      <c r="A17" s="478" t="s">
        <v>2</v>
      </c>
      <c r="B17" s="613">
        <f t="shared" si="0"/>
        <v>264535</v>
      </c>
      <c r="C17" s="303">
        <f t="shared" si="1"/>
        <v>58800</v>
      </c>
      <c r="D17" s="304">
        <f t="shared" si="2"/>
        <v>58810</v>
      </c>
      <c r="E17" s="617">
        <f t="shared" si="3"/>
        <v>167820</v>
      </c>
      <c r="F17" s="799">
        <f t="shared" si="4"/>
        <v>58810</v>
      </c>
      <c r="G17" s="792">
        <f t="shared" si="5"/>
        <v>-1.9599999999999999E-2</v>
      </c>
      <c r="H17" s="249">
        <f t="shared" si="6"/>
        <v>59600</v>
      </c>
      <c r="I17" s="250">
        <f t="shared" si="7"/>
        <v>59600</v>
      </c>
      <c r="J17" s="279">
        <f t="shared" si="8"/>
        <v>58560</v>
      </c>
      <c r="K17" s="251">
        <f t="shared" si="9"/>
        <v>59990</v>
      </c>
      <c r="L17" s="253">
        <f t="shared" si="10"/>
        <v>66410942821</v>
      </c>
      <c r="M17" s="600">
        <f t="shared" si="11"/>
        <v>112746209</v>
      </c>
      <c r="N17" s="604">
        <f t="shared" si="12"/>
        <v>24844</v>
      </c>
      <c r="O17" s="305">
        <f t="shared" si="13"/>
        <v>45406.70853009259</v>
      </c>
      <c r="P17" s="583">
        <v>16</v>
      </c>
      <c r="Q17" s="472"/>
      <c r="R17" s="554"/>
      <c r="S17" s="541"/>
      <c r="T17" s="435"/>
      <c r="U17" s="575"/>
      <c r="V17" s="779"/>
      <c r="W17" s="584"/>
      <c r="X17" s="585"/>
      <c r="Y17" s="586">
        <f>IFERROR($Z16/($D17*(1+$V$1)/100),0)</f>
        <v>100.10236354361503</v>
      </c>
      <c r="Z17" s="587">
        <f>IFERROR($D17/100*INT($Y17),"")</f>
        <v>58810</v>
      </c>
      <c r="AA17" s="821"/>
      <c r="AO17" s="354"/>
    </row>
    <row r="18" spans="1:41" ht="12.75" hidden="1" customHeight="1">
      <c r="A18" s="479" t="s">
        <v>14</v>
      </c>
      <c r="B18" s="611">
        <f t="shared" si="0"/>
        <v>7391</v>
      </c>
      <c r="C18" s="300">
        <f t="shared" si="1"/>
        <v>58.15</v>
      </c>
      <c r="D18" s="247">
        <f t="shared" si="2"/>
        <v>58.17</v>
      </c>
      <c r="E18" s="614">
        <f t="shared" si="3"/>
        <v>852</v>
      </c>
      <c r="F18" s="793">
        <f t="shared" si="4"/>
        <v>58.16</v>
      </c>
      <c r="G18" s="785">
        <f t="shared" si="5"/>
        <v>-2.2599999999999999E-2</v>
      </c>
      <c r="H18" s="308">
        <f t="shared" si="6"/>
        <v>59.3</v>
      </c>
      <c r="I18" s="309">
        <f t="shared" si="7"/>
        <v>59.3</v>
      </c>
      <c r="J18" s="310">
        <f t="shared" si="8"/>
        <v>57.87</v>
      </c>
      <c r="K18" s="311">
        <f t="shared" si="9"/>
        <v>59.51</v>
      </c>
      <c r="L18" s="312">
        <f t="shared" si="10"/>
        <v>68410559</v>
      </c>
      <c r="M18" s="607">
        <f t="shared" si="11"/>
        <v>117452298</v>
      </c>
      <c r="N18" s="594">
        <f t="shared" si="12"/>
        <v>52225</v>
      </c>
      <c r="O18" s="269"/>
      <c r="P18" s="282">
        <v>17</v>
      </c>
      <c r="Q18" s="261"/>
      <c r="R18" s="556"/>
      <c r="S18" s="540"/>
      <c r="T18" s="429"/>
      <c r="U18" s="577"/>
      <c r="V18" s="778"/>
      <c r="W18" s="804"/>
      <c r="X18" s="566"/>
      <c r="Y18" s="562">
        <v>101</v>
      </c>
      <c r="Z18" s="520">
        <f>IFERROR($C18*(1-$V$1)/100*$Y18,"")</f>
        <v>58.731500000000004</v>
      </c>
      <c r="AA18" s="819">
        <f>IFERROR($Z18-$Z19,"")</f>
        <v>1.3100000000036971E-3</v>
      </c>
    </row>
    <row r="19" spans="1:41" ht="12.75" hidden="1" customHeight="1">
      <c r="A19" s="307" t="s">
        <v>586</v>
      </c>
      <c r="B19" s="612">
        <f t="shared" si="0"/>
        <v>500000000</v>
      </c>
      <c r="C19" s="299">
        <f t="shared" si="1"/>
        <v>0.18099999999999999</v>
      </c>
      <c r="D19" s="301">
        <f t="shared" si="2"/>
        <v>0.183</v>
      </c>
      <c r="E19" s="615">
        <f t="shared" si="3"/>
        <v>8153762</v>
      </c>
      <c r="F19" s="794">
        <f t="shared" si="4"/>
        <v>0.183</v>
      </c>
      <c r="G19" s="786">
        <f t="shared" si="5"/>
        <v>-5.4000000000000003E-3</v>
      </c>
      <c r="H19" s="313">
        <f t="shared" si="6"/>
        <v>0.183</v>
      </c>
      <c r="I19" s="314">
        <f t="shared" si="7"/>
        <v>0.184</v>
      </c>
      <c r="J19" s="315">
        <f t="shared" si="8"/>
        <v>0.182</v>
      </c>
      <c r="K19" s="316">
        <f t="shared" si="9"/>
        <v>0.184</v>
      </c>
      <c r="L19" s="317">
        <f t="shared" si="10"/>
        <v>7278705</v>
      </c>
      <c r="M19" s="608">
        <f t="shared" si="11"/>
        <v>3967206367</v>
      </c>
      <c r="N19" s="606">
        <f t="shared" ref="N19:N29" si="16">IF($A19&lt;&gt;"",VLOOKUP($A19,$A$60:$N$201,14,0),"")</f>
        <v>592</v>
      </c>
      <c r="O19" s="270">
        <f t="shared" ref="O19:O29" si="17">IF($A19&lt;&gt;"",VLOOKUP($A19,$A$60:$O$201,15,0),"")</f>
        <v>45406.68309027778</v>
      </c>
      <c r="P19" s="281">
        <v>18</v>
      </c>
      <c r="Q19" s="473"/>
      <c r="R19" s="555"/>
      <c r="S19" s="544"/>
      <c r="T19" s="434"/>
      <c r="U19" s="576"/>
      <c r="V19" s="779"/>
      <c r="W19" s="459"/>
      <c r="X19" s="565"/>
      <c r="Y19" s="560">
        <f>IFERROR(INT($Z18/($D19*(1+$V$1)/100)),0)</f>
        <v>32093</v>
      </c>
      <c r="Z19" s="519">
        <f>IFERROR($D19/100*INT($Y19),"")</f>
        <v>58.73019</v>
      </c>
      <c r="AA19" s="820"/>
    </row>
    <row r="20" spans="1:41" ht="12.75" hidden="1" customHeight="1">
      <c r="A20" s="306" t="s">
        <v>584</v>
      </c>
      <c r="B20" s="611">
        <f t="shared" si="0"/>
        <v>2398451</v>
      </c>
      <c r="C20" s="300">
        <f t="shared" si="1"/>
        <v>0.17499999999999999</v>
      </c>
      <c r="D20" s="298">
        <f t="shared" si="2"/>
        <v>0.17599999999999999</v>
      </c>
      <c r="E20" s="616">
        <f t="shared" si="3"/>
        <v>32746770</v>
      </c>
      <c r="F20" s="793">
        <f t="shared" si="4"/>
        <v>0.17499999999999999</v>
      </c>
      <c r="G20" s="785">
        <f t="shared" si="5"/>
        <v>5.6999999999999993E-3</v>
      </c>
      <c r="H20" s="318">
        <f t="shared" si="6"/>
        <v>0.17499999999999999</v>
      </c>
      <c r="I20" s="319">
        <f t="shared" si="7"/>
        <v>0.17699999999999999</v>
      </c>
      <c r="J20" s="320">
        <f t="shared" si="8"/>
        <v>0.17399999999999999</v>
      </c>
      <c r="K20" s="321">
        <f t="shared" si="9"/>
        <v>0.17499999999999999</v>
      </c>
      <c r="L20" s="322">
        <f t="shared" si="10"/>
        <v>3320840</v>
      </c>
      <c r="M20" s="609">
        <f t="shared" si="11"/>
        <v>1892187524</v>
      </c>
      <c r="N20" s="596">
        <f t="shared" si="16"/>
        <v>308</v>
      </c>
      <c r="O20" s="268">
        <f t="shared" si="17"/>
        <v>45406.680451388886</v>
      </c>
      <c r="P20" s="282">
        <v>19</v>
      </c>
      <c r="Q20" s="474"/>
      <c r="R20" s="552"/>
      <c r="S20" s="542"/>
      <c r="T20" s="433"/>
      <c r="U20" s="577"/>
      <c r="V20" s="778"/>
      <c r="W20" s="804"/>
      <c r="X20" s="566"/>
      <c r="Y20" s="561">
        <f t="shared" ref="Y20" si="18">Y19</f>
        <v>32093</v>
      </c>
      <c r="Z20" s="518">
        <f>IFERROR($C20*(1-$V$1)/100*INT($Y20),"")</f>
        <v>56.162749999999996</v>
      </c>
      <c r="AA20" s="816">
        <f>IFERROR($Z20-$Z21,"")</f>
        <v>0.3227499999999921</v>
      </c>
    </row>
    <row r="21" spans="1:41" ht="12.75" hidden="1" customHeight="1">
      <c r="A21" s="478" t="s">
        <v>15</v>
      </c>
      <c r="B21" s="613">
        <f t="shared" si="0"/>
        <v>500000</v>
      </c>
      <c r="C21" s="303">
        <f t="shared" si="1"/>
        <v>55.75</v>
      </c>
      <c r="D21" s="304">
        <f t="shared" si="2"/>
        <v>55.84</v>
      </c>
      <c r="E21" s="617">
        <f t="shared" si="3"/>
        <v>2517</v>
      </c>
      <c r="F21" s="799">
        <f t="shared" si="4"/>
        <v>55.84</v>
      </c>
      <c r="G21" s="792">
        <f t="shared" si="5"/>
        <v>-1.67E-2</v>
      </c>
      <c r="H21" s="578">
        <f t="shared" si="6"/>
        <v>56.95</v>
      </c>
      <c r="I21" s="579">
        <f t="shared" si="7"/>
        <v>56.95</v>
      </c>
      <c r="J21" s="580">
        <f t="shared" si="8"/>
        <v>55.5</v>
      </c>
      <c r="K21" s="581">
        <f t="shared" si="9"/>
        <v>56.79</v>
      </c>
      <c r="L21" s="582">
        <f t="shared" si="10"/>
        <v>30993427</v>
      </c>
      <c r="M21" s="610">
        <f t="shared" si="11"/>
        <v>55596943</v>
      </c>
      <c r="N21" s="604">
        <f t="shared" si="16"/>
        <v>6941</v>
      </c>
      <c r="O21" s="305">
        <f t="shared" si="17"/>
        <v>45406.6875462963</v>
      </c>
      <c r="P21" s="583">
        <v>20</v>
      </c>
      <c r="Q21" s="472"/>
      <c r="R21" s="554"/>
      <c r="S21" s="541"/>
      <c r="T21" s="435"/>
      <c r="U21" s="575"/>
      <c r="V21" s="779"/>
      <c r="W21" s="584"/>
      <c r="X21" s="585"/>
      <c r="Y21" s="586">
        <f>IFERROR($Z20/($D21*(1+$V$1)/100),0)</f>
        <v>100.57799068767908</v>
      </c>
      <c r="Z21" s="587">
        <f>IFERROR($D21/100*INT($Y21),"")</f>
        <v>55.84</v>
      </c>
      <c r="AA21" s="821"/>
    </row>
    <row r="22" spans="1:41" ht="12.75" hidden="1" customHeight="1">
      <c r="A22" s="479" t="s">
        <v>4</v>
      </c>
      <c r="B22" s="611">
        <f t="shared" si="0"/>
        <v>6245</v>
      </c>
      <c r="C22" s="300">
        <f t="shared" si="1"/>
        <v>57.91</v>
      </c>
      <c r="D22" s="247">
        <f t="shared" si="2"/>
        <v>57.92</v>
      </c>
      <c r="E22" s="614">
        <f t="shared" si="3"/>
        <v>293</v>
      </c>
      <c r="F22" s="793">
        <f t="shared" si="4"/>
        <v>57.91</v>
      </c>
      <c r="G22" s="785">
        <f t="shared" si="5"/>
        <v>-2.81E-2</v>
      </c>
      <c r="H22" s="308">
        <f t="shared" si="6"/>
        <v>59.43</v>
      </c>
      <c r="I22" s="309">
        <f t="shared" si="7"/>
        <v>59.43</v>
      </c>
      <c r="J22" s="310">
        <f t="shared" si="8"/>
        <v>57.85</v>
      </c>
      <c r="K22" s="311">
        <f t="shared" si="9"/>
        <v>59.59</v>
      </c>
      <c r="L22" s="312">
        <f t="shared" si="10"/>
        <v>19782101</v>
      </c>
      <c r="M22" s="589">
        <f t="shared" si="11"/>
        <v>33959457</v>
      </c>
      <c r="N22" s="594">
        <f t="shared" si="16"/>
        <v>11422</v>
      </c>
      <c r="O22" s="271">
        <f t="shared" si="17"/>
        <v>45406.708541666667</v>
      </c>
      <c r="P22" s="282">
        <v>21</v>
      </c>
      <c r="Q22" s="261"/>
      <c r="R22" s="556"/>
      <c r="S22" s="540"/>
      <c r="T22" s="429"/>
      <c r="U22" s="574"/>
      <c r="V22" s="778"/>
      <c r="W22" s="804"/>
      <c r="X22" s="566"/>
      <c r="Y22" s="562">
        <v>102</v>
      </c>
      <c r="Z22" s="520">
        <f>IFERROR($C22*(1-$V$1)/100*$Y22,"")</f>
        <v>59.068199999999997</v>
      </c>
      <c r="AA22" s="819">
        <f>IFERROR($Z22-$Z23,"")</f>
        <v>0.56899999999999551</v>
      </c>
    </row>
    <row r="23" spans="1:41" ht="12.75" hidden="1" customHeight="1">
      <c r="A23" s="307" t="s">
        <v>4</v>
      </c>
      <c r="B23" s="612">
        <f t="shared" si="0"/>
        <v>6245</v>
      </c>
      <c r="C23" s="299">
        <f t="shared" si="1"/>
        <v>57.91</v>
      </c>
      <c r="D23" s="301">
        <f t="shared" si="2"/>
        <v>57.92</v>
      </c>
      <c r="E23" s="615">
        <f t="shared" si="3"/>
        <v>293</v>
      </c>
      <c r="F23" s="794">
        <f t="shared" si="4"/>
        <v>57.91</v>
      </c>
      <c r="G23" s="786">
        <f t="shared" si="5"/>
        <v>-2.81E-2</v>
      </c>
      <c r="H23" s="323">
        <f t="shared" si="6"/>
        <v>59.43</v>
      </c>
      <c r="I23" s="324">
        <f t="shared" si="7"/>
        <v>59.43</v>
      </c>
      <c r="J23" s="325">
        <f t="shared" si="8"/>
        <v>57.85</v>
      </c>
      <c r="K23" s="326">
        <f t="shared" si="9"/>
        <v>59.59</v>
      </c>
      <c r="L23" s="327">
        <f t="shared" si="10"/>
        <v>19782101</v>
      </c>
      <c r="M23" s="590">
        <f t="shared" si="11"/>
        <v>33959457</v>
      </c>
      <c r="N23" s="599">
        <f t="shared" si="16"/>
        <v>11422</v>
      </c>
      <c r="O23" s="272">
        <f t="shared" si="17"/>
        <v>45406.708541666667</v>
      </c>
      <c r="P23" s="281">
        <v>22</v>
      </c>
      <c r="Q23" s="259"/>
      <c r="R23" s="549"/>
      <c r="S23" s="539"/>
      <c r="T23" s="430"/>
      <c r="U23" s="575"/>
      <c r="V23" s="779"/>
      <c r="W23" s="459"/>
      <c r="X23" s="565"/>
      <c r="Y23" s="560">
        <f>IFERROR(INT($Z22/($D23*(1+$V$1)/100)),0)</f>
        <v>101</v>
      </c>
      <c r="Z23" s="519">
        <f>IFERROR($D23/100*INT($Y23),"")</f>
        <v>58.499200000000002</v>
      </c>
      <c r="AA23" s="820"/>
    </row>
    <row r="24" spans="1:41" ht="12.75" hidden="1" customHeight="1">
      <c r="A24" s="306" t="s">
        <v>3</v>
      </c>
      <c r="B24" s="611">
        <f t="shared" si="0"/>
        <v>245600</v>
      </c>
      <c r="C24" s="300">
        <f t="shared" si="1"/>
        <v>55.6</v>
      </c>
      <c r="D24" s="298">
        <f t="shared" si="2"/>
        <v>56</v>
      </c>
      <c r="E24" s="616">
        <f t="shared" si="3"/>
        <v>592700</v>
      </c>
      <c r="F24" s="793">
        <f t="shared" si="4"/>
        <v>55.6</v>
      </c>
      <c r="G24" s="785">
        <f t="shared" si="5"/>
        <v>-2.3099999999999999E-2</v>
      </c>
      <c r="H24" s="308">
        <f t="shared" si="6"/>
        <v>55.89</v>
      </c>
      <c r="I24" s="224">
        <f t="shared" si="7"/>
        <v>56.35</v>
      </c>
      <c r="J24" s="310">
        <f t="shared" si="8"/>
        <v>55.5</v>
      </c>
      <c r="K24" s="311">
        <f t="shared" si="9"/>
        <v>56.92</v>
      </c>
      <c r="L24" s="312">
        <f t="shared" si="10"/>
        <v>1111975</v>
      </c>
      <c r="M24" s="591">
        <f t="shared" si="11"/>
        <v>1995448</v>
      </c>
      <c r="N24" s="594">
        <f t="shared" si="16"/>
        <v>723</v>
      </c>
      <c r="O24" s="271">
        <f t="shared" si="17"/>
        <v>45406.702233796299</v>
      </c>
      <c r="P24" s="282">
        <v>23</v>
      </c>
      <c r="Q24" s="261"/>
      <c r="R24" s="550"/>
      <c r="S24" s="540"/>
      <c r="T24" s="429"/>
      <c r="U24" s="574"/>
      <c r="V24" s="778"/>
      <c r="W24" s="804"/>
      <c r="X24" s="567"/>
      <c r="Y24" s="561">
        <f t="shared" ref="Y24" si="19">Y23</f>
        <v>101</v>
      </c>
      <c r="Z24" s="518">
        <f>IFERROR($C24*(1-$V$1)/100*INT($Y24),"")</f>
        <v>56.156000000000006</v>
      </c>
      <c r="AA24" s="816">
        <f>IFERROR($Z24-$Z25,"")</f>
        <v>0.15599999999999881</v>
      </c>
    </row>
    <row r="25" spans="1:41" ht="12.75" hidden="1" customHeight="1">
      <c r="A25" s="634" t="s">
        <v>3</v>
      </c>
      <c r="B25" s="635">
        <f t="shared" si="0"/>
        <v>245600</v>
      </c>
      <c r="C25" s="636">
        <f t="shared" si="1"/>
        <v>55.6</v>
      </c>
      <c r="D25" s="637">
        <f t="shared" si="2"/>
        <v>56</v>
      </c>
      <c r="E25" s="638">
        <f t="shared" si="3"/>
        <v>592700</v>
      </c>
      <c r="F25" s="798">
        <f t="shared" si="4"/>
        <v>55.6</v>
      </c>
      <c r="G25" s="787">
        <f t="shared" si="5"/>
        <v>-2.3099999999999999E-2</v>
      </c>
      <c r="H25" s="639">
        <f t="shared" si="6"/>
        <v>55.89</v>
      </c>
      <c r="I25" s="640">
        <f t="shared" si="7"/>
        <v>56.35</v>
      </c>
      <c r="J25" s="641">
        <f t="shared" si="8"/>
        <v>55.5</v>
      </c>
      <c r="K25" s="642">
        <f t="shared" si="9"/>
        <v>56.92</v>
      </c>
      <c r="L25" s="643">
        <f t="shared" si="10"/>
        <v>1111975</v>
      </c>
      <c r="M25" s="644">
        <f t="shared" si="11"/>
        <v>1995448</v>
      </c>
      <c r="N25" s="645">
        <f t="shared" si="16"/>
        <v>723</v>
      </c>
      <c r="O25" s="646">
        <f t="shared" si="17"/>
        <v>45406.702233796299</v>
      </c>
      <c r="P25" s="647">
        <v>24</v>
      </c>
      <c r="Q25" s="648"/>
      <c r="R25" s="649"/>
      <c r="S25" s="650"/>
      <c r="T25" s="651"/>
      <c r="U25" s="576"/>
      <c r="V25" s="779"/>
      <c r="W25" s="652"/>
      <c r="X25" s="653"/>
      <c r="Y25" s="654">
        <f>IFERROR($Z24/($D25*(1+$V$1)/100),0)</f>
        <v>100.27857142857142</v>
      </c>
      <c r="Z25" s="655">
        <f>IFERROR($D25/100*INT($Y25),"")</f>
        <v>56.000000000000007</v>
      </c>
      <c r="AA25" s="817"/>
    </row>
    <row r="26" spans="1:41" ht="12.75" customHeight="1">
      <c r="A26" s="768" t="s">
        <v>13</v>
      </c>
      <c r="B26" s="592">
        <f t="shared" si="0"/>
        <v>18055</v>
      </c>
      <c r="C26" s="300">
        <f t="shared" si="1"/>
        <v>58700</v>
      </c>
      <c r="D26" s="300">
        <f t="shared" si="2"/>
        <v>58790</v>
      </c>
      <c r="E26" s="592">
        <f t="shared" si="3"/>
        <v>10255</v>
      </c>
      <c r="F26" s="793">
        <f t="shared" si="4"/>
        <v>58780</v>
      </c>
      <c r="G26" s="785">
        <f t="shared" si="5"/>
        <v>-1.5700000000000002E-2</v>
      </c>
      <c r="H26" s="235">
        <f t="shared" si="6"/>
        <v>61500</v>
      </c>
      <c r="I26" s="227">
        <f t="shared" si="7"/>
        <v>61500</v>
      </c>
      <c r="J26" s="277">
        <f t="shared" si="8"/>
        <v>58360</v>
      </c>
      <c r="K26" s="231">
        <f t="shared" si="9"/>
        <v>59720</v>
      </c>
      <c r="L26" s="248">
        <f t="shared" si="10"/>
        <v>94069720171</v>
      </c>
      <c r="M26" s="589">
        <f t="shared" si="11"/>
        <v>160253216</v>
      </c>
      <c r="N26" s="594">
        <f t="shared" si="16"/>
        <v>62982</v>
      </c>
      <c r="O26" s="269">
        <f t="shared" si="17"/>
        <v>45406.687604166669</v>
      </c>
      <c r="P26" s="282">
        <v>25</v>
      </c>
      <c r="Q26" s="261"/>
      <c r="R26" s="550"/>
      <c r="S26" s="540"/>
      <c r="T26" s="703"/>
      <c r="U26" s="455"/>
      <c r="V26" s="778"/>
      <c r="W26" s="804"/>
      <c r="X26" s="566"/>
      <c r="Y26" s="562">
        <v>20</v>
      </c>
      <c r="Z26" s="461">
        <f>IFERROR(C26/100*V26-(X26*V26),"")</f>
        <v>0</v>
      </c>
      <c r="AA26" s="521" t="str">
        <f t="shared" ref="AA26:AA29" si="20">IF(V26&lt;&gt;0,F26/100*V26,"")</f>
        <v/>
      </c>
      <c r="AB26" s="47">
        <v>4248</v>
      </c>
      <c r="AC26" s="223"/>
      <c r="AM26">
        <v>88529</v>
      </c>
    </row>
    <row r="27" spans="1:41" ht="12.75" customHeight="1">
      <c r="A27" s="769" t="s">
        <v>2</v>
      </c>
      <c r="B27" s="593">
        <f t="shared" si="0"/>
        <v>264535</v>
      </c>
      <c r="C27" s="301">
        <f t="shared" si="1"/>
        <v>58800</v>
      </c>
      <c r="D27" s="475">
        <f t="shared" si="2"/>
        <v>58810</v>
      </c>
      <c r="E27" s="593">
        <f t="shared" si="3"/>
        <v>167820</v>
      </c>
      <c r="F27" s="794">
        <f t="shared" si="4"/>
        <v>58810</v>
      </c>
      <c r="G27" s="786">
        <f t="shared" si="5"/>
        <v>-1.9599999999999999E-2</v>
      </c>
      <c r="H27" s="442">
        <f t="shared" si="6"/>
        <v>59600</v>
      </c>
      <c r="I27" s="443">
        <f t="shared" si="7"/>
        <v>59600</v>
      </c>
      <c r="J27" s="444">
        <f t="shared" si="8"/>
        <v>58560</v>
      </c>
      <c r="K27" s="445">
        <f t="shared" si="9"/>
        <v>59990</v>
      </c>
      <c r="L27" s="446">
        <f t="shared" si="10"/>
        <v>66410942821</v>
      </c>
      <c r="M27" s="590">
        <f t="shared" si="11"/>
        <v>112746209</v>
      </c>
      <c r="N27" s="595">
        <f t="shared" si="16"/>
        <v>24844</v>
      </c>
      <c r="O27" s="447">
        <f t="shared" si="17"/>
        <v>45406.70853009259</v>
      </c>
      <c r="P27" s="281">
        <v>26</v>
      </c>
      <c r="Q27" s="462"/>
      <c r="R27" s="557"/>
      <c r="S27" s="539"/>
      <c r="T27" s="430"/>
      <c r="U27" s="456"/>
      <c r="V27" s="779"/>
      <c r="W27" s="459"/>
      <c r="X27" s="565"/>
      <c r="Y27" s="563">
        <v>10</v>
      </c>
      <c r="Z27" s="460">
        <f t="shared" ref="Z27:Z29" si="21">IFERROR(C27/100*V27-(X27*V27),"")</f>
        <v>0</v>
      </c>
      <c r="AA27" s="522" t="str">
        <f>IF(V27&lt;&gt;0,F27/100*V27,"")</f>
        <v/>
      </c>
    </row>
    <row r="28" spans="1:41" ht="12.75" customHeight="1">
      <c r="A28" s="768" t="s">
        <v>582</v>
      </c>
      <c r="B28" s="592">
        <f t="shared" si="0"/>
        <v>15589015</v>
      </c>
      <c r="C28" s="300">
        <f t="shared" si="1"/>
        <v>184.2</v>
      </c>
      <c r="D28" s="300">
        <f t="shared" si="2"/>
        <v>185.5</v>
      </c>
      <c r="E28" s="592">
        <f t="shared" si="3"/>
        <v>10000</v>
      </c>
      <c r="F28" s="793">
        <f t="shared" si="4"/>
        <v>184.2</v>
      </c>
      <c r="G28" s="785">
        <f t="shared" si="5"/>
        <v>-1.6000000000000001E-3</v>
      </c>
      <c r="H28" s="233">
        <f t="shared" si="6"/>
        <v>184.5</v>
      </c>
      <c r="I28" s="224">
        <f t="shared" si="7"/>
        <v>184.8</v>
      </c>
      <c r="J28" s="224">
        <f t="shared" si="8"/>
        <v>183.001</v>
      </c>
      <c r="K28" s="228">
        <f t="shared" si="9"/>
        <v>184.5</v>
      </c>
      <c r="L28" s="255">
        <f t="shared" si="10"/>
        <v>8154378667</v>
      </c>
      <c r="M28" s="591">
        <f t="shared" si="11"/>
        <v>4418476872</v>
      </c>
      <c r="N28" s="596">
        <f t="shared" si="16"/>
        <v>1708</v>
      </c>
      <c r="O28" s="268">
        <f t="shared" si="17"/>
        <v>45406.687800925924</v>
      </c>
      <c r="P28" s="282">
        <v>27</v>
      </c>
      <c r="Q28" s="463"/>
      <c r="R28" s="552"/>
      <c r="S28" s="540"/>
      <c r="T28" s="429"/>
      <c r="U28" s="455"/>
      <c r="V28" s="778"/>
      <c r="W28" s="804"/>
      <c r="X28" s="566"/>
      <c r="Y28" s="562">
        <v>1000</v>
      </c>
      <c r="Z28" s="461">
        <f t="shared" si="21"/>
        <v>0</v>
      </c>
      <c r="AA28" s="521" t="str">
        <f t="shared" si="20"/>
        <v/>
      </c>
    </row>
    <row r="29" spans="1:41" ht="12.75" customHeight="1">
      <c r="A29" s="709" t="s">
        <v>676</v>
      </c>
      <c r="B29" s="657">
        <f t="shared" si="0"/>
        <v>10082000</v>
      </c>
      <c r="C29" s="658">
        <f t="shared" si="1"/>
        <v>183.001</v>
      </c>
      <c r="D29" s="656">
        <f t="shared" si="2"/>
        <v>185.999</v>
      </c>
      <c r="E29" s="657">
        <f t="shared" si="3"/>
        <v>213396</v>
      </c>
      <c r="F29" s="798">
        <f t="shared" si="4"/>
        <v>184.4</v>
      </c>
      <c r="G29" s="787">
        <f t="shared" si="5"/>
        <v>-8.5000000000000006E-3</v>
      </c>
      <c r="H29" s="659">
        <f t="shared" si="6"/>
        <v>184.4</v>
      </c>
      <c r="I29" s="660">
        <f t="shared" si="7"/>
        <v>185</v>
      </c>
      <c r="J29" s="661">
        <f t="shared" si="8"/>
        <v>184.4</v>
      </c>
      <c r="K29" s="662">
        <f t="shared" si="9"/>
        <v>185.999</v>
      </c>
      <c r="L29" s="663">
        <f t="shared" si="10"/>
        <v>6452145</v>
      </c>
      <c r="M29" s="644">
        <f t="shared" si="11"/>
        <v>3498593</v>
      </c>
      <c r="N29" s="645">
        <f t="shared" si="16"/>
        <v>8</v>
      </c>
      <c r="O29" s="664">
        <f t="shared" si="17"/>
        <v>45406.535000000003</v>
      </c>
      <c r="P29" s="647">
        <v>28</v>
      </c>
      <c r="Q29" s="648"/>
      <c r="R29" s="665"/>
      <c r="S29" s="650"/>
      <c r="T29" s="666"/>
      <c r="U29" s="456"/>
      <c r="V29" s="779"/>
      <c r="W29" s="652"/>
      <c r="X29" s="653"/>
      <c r="Y29" s="669">
        <v>5000</v>
      </c>
      <c r="Z29" s="670">
        <f t="shared" si="21"/>
        <v>0</v>
      </c>
      <c r="AA29" s="671" t="str">
        <f t="shared" si="20"/>
        <v/>
      </c>
    </row>
    <row r="30" spans="1:41" ht="12.75" customHeight="1">
      <c r="A30" s="810" t="s">
        <v>605</v>
      </c>
      <c r="B30" s="245">
        <v>1</v>
      </c>
      <c r="C30" s="298">
        <v>480</v>
      </c>
      <c r="D30" s="252">
        <v>500</v>
      </c>
      <c r="E30" s="696">
        <v>100</v>
      </c>
      <c r="F30" s="793">
        <v>489</v>
      </c>
      <c r="G30" s="785">
        <v>-0.16260000000000002</v>
      </c>
      <c r="H30" s="235">
        <v>559</v>
      </c>
      <c r="I30" s="227">
        <v>573.96799999999996</v>
      </c>
      <c r="J30" s="277">
        <v>450</v>
      </c>
      <c r="K30" s="231">
        <v>584</v>
      </c>
      <c r="L30" s="248">
        <v>44234526</v>
      </c>
      <c r="M30" s="594">
        <v>893</v>
      </c>
      <c r="N30" s="437">
        <v>115</v>
      </c>
      <c r="O30" s="271">
        <v>45406.704918981479</v>
      </c>
      <c r="P30" s="282">
        <v>29</v>
      </c>
      <c r="Q30" s="482"/>
      <c r="R30" s="550"/>
      <c r="S30" s="540"/>
      <c r="T30" s="429"/>
      <c r="U30" s="622"/>
      <c r="V30" s="778"/>
      <c r="W30" s="804"/>
      <c r="X30" s="704"/>
      <c r="Y30" s="667">
        <v>1</v>
      </c>
      <c r="Z30" s="668">
        <f t="shared" ref="Z30:Z39" si="22">C30*100*V30-(X30*V30)</f>
        <v>0</v>
      </c>
      <c r="AA30" s="521" t="str">
        <f>IF(V30&lt;&gt;0,F30*100*V30,"")</f>
        <v/>
      </c>
    </row>
    <row r="31" spans="1:41" ht="12.75" customHeight="1">
      <c r="A31" s="811" t="s">
        <v>606</v>
      </c>
      <c r="B31" s="508">
        <v>10</v>
      </c>
      <c r="C31" s="236">
        <v>416</v>
      </c>
      <c r="D31" s="236">
        <v>425</v>
      </c>
      <c r="E31" s="508">
        <v>2</v>
      </c>
      <c r="F31" s="794">
        <v>416.1</v>
      </c>
      <c r="G31" s="786">
        <v>-0.18010000000000001</v>
      </c>
      <c r="H31" s="234">
        <v>460</v>
      </c>
      <c r="I31" s="225">
        <v>490</v>
      </c>
      <c r="J31" s="275">
        <v>409</v>
      </c>
      <c r="K31" s="229">
        <v>507.55900000000003</v>
      </c>
      <c r="L31" s="232">
        <v>189992191</v>
      </c>
      <c r="M31" s="599">
        <v>4346</v>
      </c>
      <c r="N31" s="438">
        <v>765</v>
      </c>
      <c r="O31" s="272">
        <v>45406.708090277774</v>
      </c>
      <c r="P31" s="281">
        <v>30</v>
      </c>
      <c r="Q31" s="464"/>
      <c r="R31" s="549"/>
      <c r="S31" s="539"/>
      <c r="T31" s="430"/>
      <c r="U31" s="623"/>
      <c r="V31" s="779"/>
      <c r="W31" s="459"/>
      <c r="X31" s="565"/>
      <c r="Y31" s="626">
        <v>1</v>
      </c>
      <c r="Z31" s="627">
        <f t="shared" si="22"/>
        <v>0</v>
      </c>
      <c r="AA31" s="522" t="str">
        <f t="shared" ref="AA31:AA39" si="23">IF(V31&lt;&gt;0,F31*100*V31,"")</f>
        <v/>
      </c>
    </row>
    <row r="32" spans="1:41" ht="12.75" customHeight="1">
      <c r="A32" s="810" t="s">
        <v>607</v>
      </c>
      <c r="B32" s="245">
        <v>27</v>
      </c>
      <c r="C32" s="298">
        <v>315</v>
      </c>
      <c r="D32" s="252">
        <v>332</v>
      </c>
      <c r="E32" s="245">
        <v>4</v>
      </c>
      <c r="F32" s="793">
        <v>320</v>
      </c>
      <c r="G32" s="785">
        <v>-0.20730000000000001</v>
      </c>
      <c r="H32" s="237">
        <v>390</v>
      </c>
      <c r="I32" s="226">
        <v>390</v>
      </c>
      <c r="J32" s="280">
        <v>310</v>
      </c>
      <c r="K32" s="230">
        <v>403.69799999999998</v>
      </c>
      <c r="L32" s="244">
        <v>69696789</v>
      </c>
      <c r="M32" s="780">
        <v>2050</v>
      </c>
      <c r="N32" s="439">
        <v>400</v>
      </c>
      <c r="O32" s="273">
        <v>45406.707719907405</v>
      </c>
      <c r="P32" s="282">
        <v>31</v>
      </c>
      <c r="Q32" s="465"/>
      <c r="R32" s="558"/>
      <c r="S32" s="545"/>
      <c r="T32" s="431"/>
      <c r="U32" s="622"/>
      <c r="V32" s="778"/>
      <c r="W32" s="804"/>
      <c r="X32" s="704"/>
      <c r="Y32" s="628">
        <v>1</v>
      </c>
      <c r="Z32" s="629">
        <f t="shared" si="22"/>
        <v>0</v>
      </c>
      <c r="AA32" s="521" t="str">
        <f t="shared" si="23"/>
        <v/>
      </c>
    </row>
    <row r="33" spans="1:27" ht="12.75" customHeight="1">
      <c r="A33" s="811" t="s">
        <v>608</v>
      </c>
      <c r="B33" s="508">
        <v>3</v>
      </c>
      <c r="C33" s="236">
        <v>243</v>
      </c>
      <c r="D33" s="236">
        <v>252</v>
      </c>
      <c r="E33" s="508">
        <v>83</v>
      </c>
      <c r="F33" s="794">
        <v>247</v>
      </c>
      <c r="G33" s="786">
        <v>-0.19030000000000002</v>
      </c>
      <c r="H33" s="234">
        <v>280</v>
      </c>
      <c r="I33" s="225">
        <v>293</v>
      </c>
      <c r="J33" s="275">
        <v>240</v>
      </c>
      <c r="K33" s="229">
        <v>305.053</v>
      </c>
      <c r="L33" s="232">
        <v>123424035</v>
      </c>
      <c r="M33" s="599">
        <v>4632</v>
      </c>
      <c r="N33" s="438">
        <v>858</v>
      </c>
      <c r="O33" s="272">
        <v>45406.708275462966</v>
      </c>
      <c r="P33" s="281">
        <v>32</v>
      </c>
      <c r="Q33" s="464"/>
      <c r="R33" s="549"/>
      <c r="S33" s="539"/>
      <c r="T33" s="430"/>
      <c r="U33" s="623"/>
      <c r="V33" s="779"/>
      <c r="W33" s="459"/>
      <c r="X33" s="565"/>
      <c r="Y33" s="626">
        <v>1</v>
      </c>
      <c r="Z33" s="627">
        <f t="shared" si="22"/>
        <v>0</v>
      </c>
      <c r="AA33" s="522" t="str">
        <f t="shared" si="23"/>
        <v/>
      </c>
    </row>
    <row r="34" spans="1:27" ht="12.75" customHeight="1">
      <c r="A34" s="810" t="s">
        <v>609</v>
      </c>
      <c r="B34" s="245">
        <v>21</v>
      </c>
      <c r="C34" s="298">
        <v>182</v>
      </c>
      <c r="D34" s="252">
        <v>186</v>
      </c>
      <c r="E34" s="245">
        <v>1</v>
      </c>
      <c r="F34" s="793">
        <v>182</v>
      </c>
      <c r="G34" s="785">
        <v>-0.20850000000000002</v>
      </c>
      <c r="H34" s="237">
        <v>213</v>
      </c>
      <c r="I34" s="226">
        <v>224.99</v>
      </c>
      <c r="J34" s="280">
        <v>181.11099999999999</v>
      </c>
      <c r="K34" s="230">
        <v>229.95699999999999</v>
      </c>
      <c r="L34" s="244">
        <v>70178693</v>
      </c>
      <c r="M34" s="780">
        <v>3579</v>
      </c>
      <c r="N34" s="439">
        <v>526</v>
      </c>
      <c r="O34" s="273">
        <v>45406.708240740743</v>
      </c>
      <c r="P34" s="282">
        <v>33</v>
      </c>
      <c r="Q34" s="465"/>
      <c r="R34" s="558"/>
      <c r="S34" s="545"/>
      <c r="T34" s="431"/>
      <c r="U34" s="622"/>
      <c r="V34" s="778"/>
      <c r="W34" s="804"/>
      <c r="X34" s="704"/>
      <c r="Y34" s="628">
        <v>1</v>
      </c>
      <c r="Z34" s="629">
        <f t="shared" si="22"/>
        <v>0</v>
      </c>
      <c r="AA34" s="521" t="str">
        <f t="shared" si="23"/>
        <v/>
      </c>
    </row>
    <row r="35" spans="1:27" ht="12.75" customHeight="1">
      <c r="A35" s="811" t="s">
        <v>610</v>
      </c>
      <c r="B35" s="508">
        <v>1</v>
      </c>
      <c r="C35" s="236">
        <v>131.5</v>
      </c>
      <c r="D35" s="236">
        <v>133</v>
      </c>
      <c r="E35" s="508">
        <v>1</v>
      </c>
      <c r="F35" s="794">
        <v>133</v>
      </c>
      <c r="G35" s="786">
        <v>-0.19320000000000001</v>
      </c>
      <c r="H35" s="234">
        <v>150.5</v>
      </c>
      <c r="I35" s="225">
        <v>154.50200000000001</v>
      </c>
      <c r="J35" s="275">
        <v>126</v>
      </c>
      <c r="K35" s="229">
        <v>164.85300000000001</v>
      </c>
      <c r="L35" s="232">
        <v>330011497</v>
      </c>
      <c r="M35" s="599">
        <v>23867</v>
      </c>
      <c r="N35" s="438">
        <v>2032</v>
      </c>
      <c r="O35" s="272">
        <v>45406.708252314813</v>
      </c>
      <c r="P35" s="281">
        <v>34</v>
      </c>
      <c r="Q35" s="464"/>
      <c r="R35" s="549"/>
      <c r="S35" s="539"/>
      <c r="T35" s="430"/>
      <c r="U35" s="623"/>
      <c r="V35" s="779"/>
      <c r="W35" s="459"/>
      <c r="X35" s="565"/>
      <c r="Y35" s="630">
        <v>1</v>
      </c>
      <c r="Z35" s="631">
        <f t="shared" si="22"/>
        <v>0</v>
      </c>
      <c r="AA35" s="522" t="str">
        <f t="shared" si="23"/>
        <v/>
      </c>
    </row>
    <row r="36" spans="1:27" ht="12.75" customHeight="1">
      <c r="A36" s="810" t="s">
        <v>611</v>
      </c>
      <c r="B36" s="245">
        <v>11</v>
      </c>
      <c r="C36" s="298">
        <v>84.998999999999995</v>
      </c>
      <c r="D36" s="252">
        <v>89.99</v>
      </c>
      <c r="E36" s="245">
        <v>1</v>
      </c>
      <c r="F36" s="793">
        <v>89.99</v>
      </c>
      <c r="G36" s="785">
        <v>-0.18100000000000002</v>
      </c>
      <c r="H36" s="237">
        <v>95</v>
      </c>
      <c r="I36" s="226">
        <v>103</v>
      </c>
      <c r="J36" s="280">
        <v>84.34</v>
      </c>
      <c r="K36" s="230">
        <v>109.88800000000001</v>
      </c>
      <c r="L36" s="244">
        <v>65085862</v>
      </c>
      <c r="M36" s="780">
        <v>7140</v>
      </c>
      <c r="N36" s="439">
        <v>696</v>
      </c>
      <c r="O36" s="273">
        <v>45406.70821759259</v>
      </c>
      <c r="P36" s="282">
        <v>35</v>
      </c>
      <c r="Q36" s="465"/>
      <c r="R36" s="558"/>
      <c r="S36" s="545"/>
      <c r="T36" s="431"/>
      <c r="U36" s="622"/>
      <c r="V36" s="778"/>
      <c r="W36" s="804"/>
      <c r="X36" s="704"/>
      <c r="Y36" s="632">
        <v>1</v>
      </c>
      <c r="Z36" s="633">
        <f t="shared" si="22"/>
        <v>0</v>
      </c>
      <c r="AA36" s="521" t="str">
        <f t="shared" si="23"/>
        <v/>
      </c>
    </row>
    <row r="37" spans="1:27" ht="12.75" customHeight="1">
      <c r="A37" s="811" t="s">
        <v>612</v>
      </c>
      <c r="B37" s="508">
        <v>18</v>
      </c>
      <c r="C37" s="236">
        <v>56.01</v>
      </c>
      <c r="D37" s="236">
        <v>56.11</v>
      </c>
      <c r="E37" s="508">
        <v>21</v>
      </c>
      <c r="F37" s="794">
        <v>56.11</v>
      </c>
      <c r="G37" s="786">
        <v>-0.23170000000000002</v>
      </c>
      <c r="H37" s="234">
        <v>62</v>
      </c>
      <c r="I37" s="225">
        <v>67</v>
      </c>
      <c r="J37" s="275">
        <v>54.750999999999998</v>
      </c>
      <c r="K37" s="229">
        <v>73.031999999999996</v>
      </c>
      <c r="L37" s="232">
        <v>39796604</v>
      </c>
      <c r="M37" s="599">
        <v>6665</v>
      </c>
      <c r="N37" s="438">
        <v>616</v>
      </c>
      <c r="O37" s="272">
        <v>45406.708275462966</v>
      </c>
      <c r="P37" s="281">
        <v>36</v>
      </c>
      <c r="Q37" s="464"/>
      <c r="R37" s="549"/>
      <c r="S37" s="539"/>
      <c r="T37" s="430"/>
      <c r="U37" s="623"/>
      <c r="V37" s="779"/>
      <c r="W37" s="459">
        <v>0</v>
      </c>
      <c r="X37" s="565"/>
      <c r="Y37" s="626">
        <v>1</v>
      </c>
      <c r="Z37" s="627">
        <f t="shared" si="22"/>
        <v>0</v>
      </c>
      <c r="AA37" s="522" t="str">
        <f t="shared" si="23"/>
        <v/>
      </c>
    </row>
    <row r="38" spans="1:27" ht="12.75" customHeight="1">
      <c r="A38" s="810" t="s">
        <v>613</v>
      </c>
      <c r="B38" s="245">
        <v>10</v>
      </c>
      <c r="C38" s="298">
        <v>38</v>
      </c>
      <c r="D38" s="252">
        <v>40</v>
      </c>
      <c r="E38" s="245">
        <v>51</v>
      </c>
      <c r="F38" s="793">
        <v>39.33</v>
      </c>
      <c r="G38" s="785">
        <v>-0.24179999999999999</v>
      </c>
      <c r="H38" s="237">
        <v>50</v>
      </c>
      <c r="I38" s="226">
        <v>50</v>
      </c>
      <c r="J38" s="280">
        <v>36</v>
      </c>
      <c r="K38" s="230">
        <v>51.874000000000002</v>
      </c>
      <c r="L38" s="244">
        <v>13020717</v>
      </c>
      <c r="M38" s="780">
        <v>3285</v>
      </c>
      <c r="N38" s="439">
        <v>352</v>
      </c>
      <c r="O38" s="273">
        <v>45406.70820601852</v>
      </c>
      <c r="P38" s="282">
        <v>37</v>
      </c>
      <c r="Q38" s="465"/>
      <c r="R38" s="558"/>
      <c r="S38" s="546"/>
      <c r="T38" s="431"/>
      <c r="U38" s="622"/>
      <c r="V38" s="778"/>
      <c r="W38" s="804"/>
      <c r="X38" s="704"/>
      <c r="Y38" s="628">
        <v>1</v>
      </c>
      <c r="Z38" s="629">
        <f t="shared" si="22"/>
        <v>0</v>
      </c>
      <c r="AA38" s="521" t="str">
        <f t="shared" si="23"/>
        <v/>
      </c>
    </row>
    <row r="39" spans="1:27" ht="12.75" customHeight="1">
      <c r="A39" s="812" t="s">
        <v>614</v>
      </c>
      <c r="B39" s="509">
        <v>4</v>
      </c>
      <c r="C39" s="483">
        <v>26.3</v>
      </c>
      <c r="D39" s="483">
        <v>28.15</v>
      </c>
      <c r="E39" s="509">
        <v>5</v>
      </c>
      <c r="F39" s="795">
        <v>28</v>
      </c>
      <c r="G39" s="788">
        <v>-0.20420000000000002</v>
      </c>
      <c r="H39" s="484">
        <v>34</v>
      </c>
      <c r="I39" s="485">
        <v>34</v>
      </c>
      <c r="J39" s="486">
        <v>25.3</v>
      </c>
      <c r="K39" s="487">
        <v>35.189</v>
      </c>
      <c r="L39" s="488">
        <v>19619950</v>
      </c>
      <c r="M39" s="781">
        <v>6908</v>
      </c>
      <c r="N39" s="494">
        <v>807</v>
      </c>
      <c r="O39" s="489">
        <v>45406.708171296297</v>
      </c>
      <c r="P39" s="495">
        <v>38</v>
      </c>
      <c r="Q39" s="496"/>
      <c r="R39" s="553"/>
      <c r="S39" s="543"/>
      <c r="T39" s="492"/>
      <c r="U39" s="623"/>
      <c r="V39" s="779">
        <v>18</v>
      </c>
      <c r="W39" s="493" t="s">
        <v>675</v>
      </c>
      <c r="X39" s="568">
        <v>2610.1</v>
      </c>
      <c r="Y39" s="620">
        <v>10</v>
      </c>
      <c r="Z39" s="621">
        <f t="shared" si="22"/>
        <v>358.20000000000437</v>
      </c>
      <c r="AA39" s="523">
        <f t="shared" si="23"/>
        <v>50400</v>
      </c>
    </row>
    <row r="40" spans="1:27" ht="12.75" customHeight="1">
      <c r="A40" s="805" t="s">
        <v>652</v>
      </c>
      <c r="B40" s="505">
        <v>485</v>
      </c>
      <c r="C40" s="247">
        <v>2.4700000000000002</v>
      </c>
      <c r="D40" s="247">
        <v>3.0979999999999999</v>
      </c>
      <c r="E40" s="698">
        <v>1</v>
      </c>
      <c r="F40" s="793">
        <v>2.5150000000000001</v>
      </c>
      <c r="G40" s="785">
        <v>-0.28300000000000003</v>
      </c>
      <c r="H40" s="235">
        <v>3.7</v>
      </c>
      <c r="I40" s="227">
        <v>3.7</v>
      </c>
      <c r="J40" s="277">
        <v>2.02</v>
      </c>
      <c r="K40" s="231">
        <v>3.508</v>
      </c>
      <c r="L40" s="248">
        <v>651975</v>
      </c>
      <c r="M40" s="594">
        <v>2283</v>
      </c>
      <c r="N40" s="437">
        <v>931</v>
      </c>
      <c r="O40" s="271">
        <v>45406.70784722222</v>
      </c>
      <c r="P40" s="282">
        <v>39</v>
      </c>
      <c r="Q40" s="482"/>
      <c r="R40" s="550"/>
      <c r="S40" s="540"/>
      <c r="T40" s="429"/>
      <c r="U40" s="481"/>
      <c r="V40" s="778"/>
      <c r="W40" s="804"/>
      <c r="X40" s="566"/>
      <c r="Y40" s="624">
        <v>5</v>
      </c>
      <c r="Z40" s="625">
        <f t="shared" ref="Z40:Z49" si="24">C50*100*V40-(X40*V40)</f>
        <v>0</v>
      </c>
      <c r="AA40" s="521" t="str">
        <f t="shared" ref="AA40:AA49" si="25">IF(V40&lt;&gt;0,F50*100*V40,"")</f>
        <v/>
      </c>
    </row>
    <row r="41" spans="1:27" ht="12.75" customHeight="1">
      <c r="A41" s="806" t="s">
        <v>653</v>
      </c>
      <c r="B41" s="510">
        <v>6</v>
      </c>
      <c r="C41" s="236">
        <v>4.4109999999999996</v>
      </c>
      <c r="D41" s="352">
        <v>4.9790000000000001</v>
      </c>
      <c r="E41" s="515">
        <v>12</v>
      </c>
      <c r="F41" s="794">
        <v>4.9790000000000001</v>
      </c>
      <c r="G41" s="786">
        <v>-8.4199999999999997E-2</v>
      </c>
      <c r="H41" s="234">
        <v>6</v>
      </c>
      <c r="I41" s="225">
        <v>6.9</v>
      </c>
      <c r="J41" s="275">
        <v>4.125</v>
      </c>
      <c r="K41" s="229">
        <v>5.4370000000000003</v>
      </c>
      <c r="L41" s="232">
        <v>1307530</v>
      </c>
      <c r="M41" s="599">
        <v>2525</v>
      </c>
      <c r="N41" s="438">
        <v>558</v>
      </c>
      <c r="O41" s="272">
        <v>45406.708101851851</v>
      </c>
      <c r="P41" s="281">
        <v>40</v>
      </c>
      <c r="Q41" s="464"/>
      <c r="R41" s="549"/>
      <c r="S41" s="539"/>
      <c r="T41" s="430"/>
      <c r="U41" s="456"/>
      <c r="V41" s="779"/>
      <c r="W41" s="459"/>
      <c r="X41" s="565"/>
      <c r="Y41" s="626" t="str">
        <f t="shared" ref="Y41:Y44" si="26">IF(V41&gt;0,V41,"")</f>
        <v/>
      </c>
      <c r="Z41" s="627">
        <f t="shared" si="24"/>
        <v>0</v>
      </c>
      <c r="AA41" s="522" t="str">
        <f t="shared" si="25"/>
        <v/>
      </c>
    </row>
    <row r="42" spans="1:27" ht="12.75" customHeight="1">
      <c r="A42" s="805" t="s">
        <v>654</v>
      </c>
      <c r="B42" s="511">
        <v>14</v>
      </c>
      <c r="C42" s="375">
        <v>7.5010000000000003</v>
      </c>
      <c r="D42" s="375">
        <v>9.5</v>
      </c>
      <c r="E42" s="511">
        <v>18</v>
      </c>
      <c r="F42" s="793">
        <v>9</v>
      </c>
      <c r="G42" s="789">
        <v>-8.8800000000000004E-2</v>
      </c>
      <c r="H42" s="237">
        <v>10.51</v>
      </c>
      <c r="I42" s="226">
        <v>11.8</v>
      </c>
      <c r="J42" s="280">
        <v>7.5</v>
      </c>
      <c r="K42" s="230">
        <v>9.8780000000000001</v>
      </c>
      <c r="L42" s="244">
        <v>2241725</v>
      </c>
      <c r="M42" s="780">
        <v>2572</v>
      </c>
      <c r="N42" s="439">
        <v>196</v>
      </c>
      <c r="O42" s="273">
        <v>45406.705381944441</v>
      </c>
      <c r="P42" s="282">
        <v>41</v>
      </c>
      <c r="Q42" s="465"/>
      <c r="R42" s="558"/>
      <c r="S42" s="545"/>
      <c r="T42" s="431"/>
      <c r="U42" s="481"/>
      <c r="V42" s="778"/>
      <c r="W42" s="804"/>
      <c r="X42" s="704"/>
      <c r="Y42" s="628" t="str">
        <f t="shared" si="26"/>
        <v/>
      </c>
      <c r="Z42" s="629">
        <f t="shared" si="24"/>
        <v>0</v>
      </c>
      <c r="AA42" s="521" t="str">
        <f t="shared" si="25"/>
        <v/>
      </c>
    </row>
    <row r="43" spans="1:27" ht="12.75" customHeight="1">
      <c r="A43" s="806" t="s">
        <v>655</v>
      </c>
      <c r="B43" s="510">
        <v>5</v>
      </c>
      <c r="C43" s="236">
        <v>14.25</v>
      </c>
      <c r="D43" s="352">
        <v>16</v>
      </c>
      <c r="E43" s="515">
        <v>5</v>
      </c>
      <c r="F43" s="794">
        <v>15</v>
      </c>
      <c r="G43" s="786">
        <v>-5.5800000000000002E-2</v>
      </c>
      <c r="H43" s="234">
        <v>19.989999999999998</v>
      </c>
      <c r="I43" s="225">
        <v>19.989999999999998</v>
      </c>
      <c r="J43" s="275">
        <v>13.96</v>
      </c>
      <c r="K43" s="229">
        <v>15.887</v>
      </c>
      <c r="L43" s="232">
        <v>4888273</v>
      </c>
      <c r="M43" s="599">
        <v>3026</v>
      </c>
      <c r="N43" s="438">
        <v>388</v>
      </c>
      <c r="O43" s="272">
        <v>45406.708090277774</v>
      </c>
      <c r="P43" s="281">
        <v>42</v>
      </c>
      <c r="Q43" s="464"/>
      <c r="R43" s="549"/>
      <c r="S43" s="539"/>
      <c r="T43" s="430"/>
      <c r="U43" s="456"/>
      <c r="V43" s="779"/>
      <c r="W43" s="459"/>
      <c r="X43" s="565"/>
      <c r="Y43" s="626" t="str">
        <f t="shared" si="26"/>
        <v/>
      </c>
      <c r="Z43" s="627">
        <f t="shared" si="24"/>
        <v>0</v>
      </c>
      <c r="AA43" s="522" t="str">
        <f t="shared" si="25"/>
        <v/>
      </c>
    </row>
    <row r="44" spans="1:27" ht="12.75" customHeight="1">
      <c r="A44" s="805" t="s">
        <v>656</v>
      </c>
      <c r="B44" s="511">
        <v>14</v>
      </c>
      <c r="C44" s="375">
        <v>26.001000000000001</v>
      </c>
      <c r="D44" s="375">
        <v>28</v>
      </c>
      <c r="E44" s="511">
        <v>3</v>
      </c>
      <c r="F44" s="793">
        <v>28</v>
      </c>
      <c r="G44" s="789">
        <v>1.9799999999999998E-2</v>
      </c>
      <c r="H44" s="237">
        <v>27.5</v>
      </c>
      <c r="I44" s="226">
        <v>34</v>
      </c>
      <c r="J44" s="280">
        <v>24.2</v>
      </c>
      <c r="K44" s="230">
        <v>27.454999999999998</v>
      </c>
      <c r="L44" s="244">
        <v>13866443</v>
      </c>
      <c r="M44" s="780">
        <v>4828</v>
      </c>
      <c r="N44" s="439">
        <v>547</v>
      </c>
      <c r="O44" s="273">
        <v>45406.70826388889</v>
      </c>
      <c r="P44" s="282">
        <v>43</v>
      </c>
      <c r="Q44" s="465"/>
      <c r="R44" s="558"/>
      <c r="S44" s="545"/>
      <c r="T44" s="431"/>
      <c r="U44" s="481"/>
      <c r="V44" s="778"/>
      <c r="W44" s="804"/>
      <c r="X44" s="704"/>
      <c r="Y44" s="628" t="str">
        <f t="shared" si="26"/>
        <v/>
      </c>
      <c r="Z44" s="629">
        <f t="shared" si="24"/>
        <v>0</v>
      </c>
      <c r="AA44" s="521" t="str">
        <f t="shared" si="25"/>
        <v/>
      </c>
    </row>
    <row r="45" spans="1:27" ht="12.75" customHeight="1">
      <c r="A45" s="806" t="s">
        <v>657</v>
      </c>
      <c r="B45" s="510">
        <v>1</v>
      </c>
      <c r="C45" s="236">
        <v>45</v>
      </c>
      <c r="D45" s="352">
        <v>47</v>
      </c>
      <c r="E45" s="515">
        <v>15</v>
      </c>
      <c r="F45" s="794">
        <v>44.889000000000003</v>
      </c>
      <c r="G45" s="786">
        <v>6.3799999999999996E-2</v>
      </c>
      <c r="H45" s="234">
        <v>58</v>
      </c>
      <c r="I45" s="225">
        <v>58</v>
      </c>
      <c r="J45" s="275">
        <v>41.5</v>
      </c>
      <c r="K45" s="229">
        <v>42.192999999999998</v>
      </c>
      <c r="L45" s="232">
        <v>20498967</v>
      </c>
      <c r="M45" s="599">
        <v>4359</v>
      </c>
      <c r="N45" s="232">
        <v>760</v>
      </c>
      <c r="O45" s="272">
        <v>45406.70758101852</v>
      </c>
      <c r="P45" s="468">
        <v>44</v>
      </c>
      <c r="Q45" s="466"/>
      <c r="R45" s="549"/>
      <c r="S45" s="547"/>
      <c r="T45" s="430"/>
      <c r="U45" s="456"/>
      <c r="V45" s="779"/>
      <c r="W45" s="459"/>
      <c r="X45" s="565"/>
      <c r="Y45" s="630" t="str">
        <f t="shared" ref="Y45:Y59" si="27">IF(V45&gt;0,V45,"")</f>
        <v/>
      </c>
      <c r="Z45" s="631">
        <f t="shared" si="24"/>
        <v>0</v>
      </c>
      <c r="AA45" s="522" t="str">
        <f t="shared" si="25"/>
        <v/>
      </c>
    </row>
    <row r="46" spans="1:27" ht="12.75" customHeight="1">
      <c r="A46" s="805" t="s">
        <v>658</v>
      </c>
      <c r="B46" s="511">
        <v>15</v>
      </c>
      <c r="C46" s="375">
        <v>70.89</v>
      </c>
      <c r="D46" s="375">
        <v>72.998999999999995</v>
      </c>
      <c r="E46" s="511">
        <v>9</v>
      </c>
      <c r="F46" s="793">
        <v>72.998999999999995</v>
      </c>
      <c r="G46" s="789">
        <v>0.17699999999999999</v>
      </c>
      <c r="H46" s="237">
        <v>66</v>
      </c>
      <c r="I46" s="226">
        <v>80.001000000000005</v>
      </c>
      <c r="J46" s="280">
        <v>64</v>
      </c>
      <c r="K46" s="230">
        <v>62.015999999999998</v>
      </c>
      <c r="L46" s="244">
        <v>65405514</v>
      </c>
      <c r="M46" s="780">
        <v>9145</v>
      </c>
      <c r="N46" s="244">
        <v>1411</v>
      </c>
      <c r="O46" s="273">
        <v>45406.708124999997</v>
      </c>
      <c r="P46" s="469">
        <v>45</v>
      </c>
      <c r="Q46" s="465"/>
      <c r="R46" s="558"/>
      <c r="S46" s="545"/>
      <c r="T46" s="431"/>
      <c r="U46" s="481"/>
      <c r="V46" s="778"/>
      <c r="W46" s="804"/>
      <c r="X46" s="704"/>
      <c r="Y46" s="632" t="str">
        <f t="shared" si="27"/>
        <v/>
      </c>
      <c r="Z46" s="633">
        <f t="shared" si="24"/>
        <v>0</v>
      </c>
      <c r="AA46" s="521" t="str">
        <f t="shared" si="25"/>
        <v/>
      </c>
    </row>
    <row r="47" spans="1:27" ht="12.75" customHeight="1">
      <c r="A47" s="806" t="s">
        <v>659</v>
      </c>
      <c r="B47" s="510">
        <v>5</v>
      </c>
      <c r="C47" s="236">
        <v>125.42</v>
      </c>
      <c r="D47" s="236">
        <v>127.9</v>
      </c>
      <c r="E47" s="515">
        <v>2</v>
      </c>
      <c r="F47" s="794">
        <v>127</v>
      </c>
      <c r="G47" s="786">
        <v>0.23600000000000002</v>
      </c>
      <c r="H47" s="234">
        <v>124.999</v>
      </c>
      <c r="I47" s="225">
        <v>140</v>
      </c>
      <c r="J47" s="275">
        <v>105</v>
      </c>
      <c r="K47" s="229">
        <v>102.75</v>
      </c>
      <c r="L47" s="232">
        <v>46571669</v>
      </c>
      <c r="M47" s="599">
        <v>3819</v>
      </c>
      <c r="N47" s="232">
        <v>885</v>
      </c>
      <c r="O47" s="272">
        <v>45406.70784722222</v>
      </c>
      <c r="P47" s="470">
        <v>46</v>
      </c>
      <c r="Q47" s="467"/>
      <c r="R47" s="549"/>
      <c r="S47" s="539"/>
      <c r="T47" s="430"/>
      <c r="U47" s="456"/>
      <c r="V47" s="779"/>
      <c r="W47" s="459"/>
      <c r="X47" s="565"/>
      <c r="Y47" s="626" t="str">
        <f t="shared" si="27"/>
        <v/>
      </c>
      <c r="Z47" s="627">
        <f t="shared" si="24"/>
        <v>0</v>
      </c>
      <c r="AA47" s="522" t="str">
        <f t="shared" si="25"/>
        <v/>
      </c>
    </row>
    <row r="48" spans="1:27" ht="12.75" customHeight="1">
      <c r="A48" s="805" t="s">
        <v>660</v>
      </c>
      <c r="B48" s="511">
        <v>1</v>
      </c>
      <c r="C48" s="375">
        <v>208</v>
      </c>
      <c r="D48" s="436">
        <v>229.999</v>
      </c>
      <c r="E48" s="511">
        <v>10</v>
      </c>
      <c r="F48" s="793">
        <v>220</v>
      </c>
      <c r="G48" s="789">
        <v>0.42259999999999998</v>
      </c>
      <c r="H48" s="237">
        <v>180</v>
      </c>
      <c r="I48" s="226">
        <v>230</v>
      </c>
      <c r="J48" s="280">
        <v>170</v>
      </c>
      <c r="K48" s="230">
        <v>154.64400000000001</v>
      </c>
      <c r="L48" s="244">
        <v>26353953</v>
      </c>
      <c r="M48" s="780">
        <v>1294</v>
      </c>
      <c r="N48" s="244">
        <v>336</v>
      </c>
      <c r="O48" s="273">
        <v>45406.707916666666</v>
      </c>
      <c r="P48" s="469">
        <v>47</v>
      </c>
      <c r="Q48" s="465"/>
      <c r="R48" s="558"/>
      <c r="S48" s="545"/>
      <c r="T48" s="431"/>
      <c r="U48" s="481"/>
      <c r="V48" s="778"/>
      <c r="W48" s="804"/>
      <c r="X48" s="704"/>
      <c r="Y48" s="628" t="str">
        <f t="shared" si="27"/>
        <v/>
      </c>
      <c r="Z48" s="629">
        <f t="shared" si="24"/>
        <v>0</v>
      </c>
      <c r="AA48" s="521" t="str">
        <f t="shared" si="25"/>
        <v/>
      </c>
    </row>
    <row r="49" spans="1:40" ht="12.75" customHeight="1">
      <c r="A49" s="807" t="s">
        <v>661</v>
      </c>
      <c r="B49" s="509">
        <v>1</v>
      </c>
      <c r="C49" s="683">
        <v>330.5</v>
      </c>
      <c r="D49" s="683">
        <v>360</v>
      </c>
      <c r="E49" s="509">
        <v>6</v>
      </c>
      <c r="F49" s="795">
        <v>330</v>
      </c>
      <c r="G49" s="788">
        <v>0.42849999999999999</v>
      </c>
      <c r="H49" s="484">
        <v>330</v>
      </c>
      <c r="I49" s="485">
        <v>360</v>
      </c>
      <c r="J49" s="486">
        <v>285</v>
      </c>
      <c r="K49" s="487">
        <v>231</v>
      </c>
      <c r="L49" s="488">
        <v>27620160</v>
      </c>
      <c r="M49" s="781">
        <v>809</v>
      </c>
      <c r="N49" s="488">
        <v>76</v>
      </c>
      <c r="O49" s="489">
        <v>45406.707141203704</v>
      </c>
      <c r="P49" s="490">
        <v>48</v>
      </c>
      <c r="Q49" s="491"/>
      <c r="R49" s="553"/>
      <c r="S49" s="543"/>
      <c r="T49" s="492"/>
      <c r="U49" s="456"/>
      <c r="V49" s="779"/>
      <c r="W49" s="493"/>
      <c r="X49" s="568"/>
      <c r="Y49" s="620" t="str">
        <f t="shared" si="27"/>
        <v/>
      </c>
      <c r="Z49" s="621">
        <f t="shared" si="24"/>
        <v>0</v>
      </c>
      <c r="AA49" s="523" t="str">
        <f t="shared" si="25"/>
        <v/>
      </c>
    </row>
    <row r="50" spans="1:40" ht="12.75" customHeight="1">
      <c r="A50" s="810" t="s">
        <v>664</v>
      </c>
      <c r="B50" s="245">
        <v>50</v>
      </c>
      <c r="C50" s="298">
        <v>475</v>
      </c>
      <c r="D50" s="252">
        <v>600</v>
      </c>
      <c r="E50" s="698">
        <v>30</v>
      </c>
      <c r="F50" s="793"/>
      <c r="G50" s="785"/>
      <c r="H50" s="235"/>
      <c r="I50" s="227"/>
      <c r="J50" s="277"/>
      <c r="K50" s="231">
        <v>635</v>
      </c>
      <c r="L50" s="248"/>
      <c r="M50" s="594"/>
      <c r="N50" s="248"/>
      <c r="O50" s="271"/>
      <c r="P50" s="469">
        <v>49</v>
      </c>
      <c r="Q50" s="482"/>
      <c r="R50" s="550"/>
      <c r="S50" s="540"/>
      <c r="T50" s="429"/>
      <c r="U50" s="481"/>
      <c r="V50" s="778"/>
      <c r="W50" s="804"/>
      <c r="X50" s="566"/>
      <c r="Y50" s="624" t="str">
        <f t="shared" si="27"/>
        <v/>
      </c>
      <c r="Z50" s="625">
        <f t="shared" ref="Z50:Z59" si="28">C40*100*V50-(X50*V50)</f>
        <v>0</v>
      </c>
      <c r="AA50" s="521" t="str">
        <f t="shared" ref="AA50:AA59" si="29">IF(V50&lt;&gt;0,F40*100*V50,"")</f>
        <v/>
      </c>
    </row>
    <row r="51" spans="1:40" ht="12.75" customHeight="1">
      <c r="A51" s="811" t="s">
        <v>665</v>
      </c>
      <c r="B51" s="508">
        <v>5</v>
      </c>
      <c r="C51" s="236">
        <v>75</v>
      </c>
      <c r="D51" s="236">
        <v>104.998</v>
      </c>
      <c r="E51" s="508">
        <v>55</v>
      </c>
      <c r="F51" s="794"/>
      <c r="G51" s="786"/>
      <c r="H51" s="234"/>
      <c r="I51" s="225"/>
      <c r="J51" s="275"/>
      <c r="K51" s="229">
        <v>110</v>
      </c>
      <c r="L51" s="232"/>
      <c r="M51" s="599"/>
      <c r="N51" s="232"/>
      <c r="O51" s="272"/>
      <c r="P51" s="470">
        <v>50</v>
      </c>
      <c r="Q51" s="467"/>
      <c r="R51" s="549"/>
      <c r="S51" s="539"/>
      <c r="T51" s="430"/>
      <c r="U51" s="456"/>
      <c r="V51" s="779"/>
      <c r="W51" s="459"/>
      <c r="X51" s="565"/>
      <c r="Y51" s="626" t="str">
        <f t="shared" si="27"/>
        <v/>
      </c>
      <c r="Z51" s="627">
        <f t="shared" si="28"/>
        <v>0</v>
      </c>
      <c r="AA51" s="522" t="str">
        <f t="shared" si="29"/>
        <v/>
      </c>
    </row>
    <row r="52" spans="1:40" ht="12.75" customHeight="1">
      <c r="A52" s="810" t="s">
        <v>666</v>
      </c>
      <c r="B52" s="245">
        <v>1</v>
      </c>
      <c r="C52" s="375">
        <v>68.001000000000005</v>
      </c>
      <c r="D52" s="375">
        <v>69.998999999999995</v>
      </c>
      <c r="E52" s="505">
        <v>1</v>
      </c>
      <c r="F52" s="793">
        <v>68</v>
      </c>
      <c r="G52" s="789">
        <v>-0.161</v>
      </c>
      <c r="H52" s="237">
        <v>65</v>
      </c>
      <c r="I52" s="226">
        <v>75</v>
      </c>
      <c r="J52" s="280">
        <v>65</v>
      </c>
      <c r="K52" s="230">
        <v>81.05</v>
      </c>
      <c r="L52" s="244">
        <v>443650</v>
      </c>
      <c r="M52" s="780">
        <v>63</v>
      </c>
      <c r="N52" s="244">
        <v>27</v>
      </c>
      <c r="O52" s="273">
        <v>45406.699965277781</v>
      </c>
      <c r="P52" s="469">
        <v>51</v>
      </c>
      <c r="Q52" s="465"/>
      <c r="R52" s="558"/>
      <c r="S52" s="545"/>
      <c r="T52" s="431"/>
      <c r="U52" s="481"/>
      <c r="V52" s="778"/>
      <c r="W52" s="804"/>
      <c r="X52" s="704"/>
      <c r="Y52" s="628" t="str">
        <f t="shared" si="27"/>
        <v/>
      </c>
      <c r="Z52" s="629">
        <f t="shared" si="28"/>
        <v>0</v>
      </c>
      <c r="AA52" s="521" t="str">
        <f t="shared" si="29"/>
        <v/>
      </c>
    </row>
    <row r="53" spans="1:40" ht="12.75" customHeight="1">
      <c r="A53" s="811" t="s">
        <v>667</v>
      </c>
      <c r="B53" s="508">
        <v>1</v>
      </c>
      <c r="C53" s="236">
        <v>22.2</v>
      </c>
      <c r="D53" s="352">
        <v>150</v>
      </c>
      <c r="E53" s="508">
        <v>30</v>
      </c>
      <c r="F53" s="794">
        <v>28</v>
      </c>
      <c r="G53" s="786">
        <v>-0.11939999999999999</v>
      </c>
      <c r="H53" s="234">
        <v>28</v>
      </c>
      <c r="I53" s="225">
        <v>28</v>
      </c>
      <c r="J53" s="275">
        <v>28</v>
      </c>
      <c r="K53" s="229">
        <v>31.8</v>
      </c>
      <c r="L53" s="232">
        <v>70000</v>
      </c>
      <c r="M53" s="599">
        <v>25</v>
      </c>
      <c r="N53" s="232">
        <v>4</v>
      </c>
      <c r="O53" s="272">
        <v>45406.636631944442</v>
      </c>
      <c r="P53" s="470">
        <v>52</v>
      </c>
      <c r="Q53" s="467"/>
      <c r="R53" s="549"/>
      <c r="S53" s="539"/>
      <c r="T53" s="430"/>
      <c r="U53" s="456"/>
      <c r="V53" s="779"/>
      <c r="W53" s="459"/>
      <c r="X53" s="565"/>
      <c r="Y53" s="626" t="str">
        <f t="shared" si="27"/>
        <v/>
      </c>
      <c r="Z53" s="627">
        <f t="shared" si="28"/>
        <v>0</v>
      </c>
      <c r="AA53" s="522" t="str">
        <f t="shared" si="29"/>
        <v/>
      </c>
    </row>
    <row r="54" spans="1:40" ht="12.75" customHeight="1">
      <c r="A54" s="813" t="s">
        <v>668</v>
      </c>
      <c r="B54" s="770">
        <v>1</v>
      </c>
      <c r="C54" s="375">
        <v>7.5</v>
      </c>
      <c r="D54" s="375">
        <v>24.998999999999999</v>
      </c>
      <c r="E54" s="511">
        <v>1</v>
      </c>
      <c r="F54" s="796">
        <v>19</v>
      </c>
      <c r="G54" s="789">
        <v>0.1176</v>
      </c>
      <c r="H54" s="237">
        <v>20</v>
      </c>
      <c r="I54" s="226">
        <v>20</v>
      </c>
      <c r="J54" s="280">
        <v>19</v>
      </c>
      <c r="K54" s="230">
        <v>17</v>
      </c>
      <c r="L54" s="244">
        <v>3900</v>
      </c>
      <c r="M54" s="780">
        <v>2</v>
      </c>
      <c r="N54" s="244">
        <v>2</v>
      </c>
      <c r="O54" s="273">
        <v>45406.57335648148</v>
      </c>
      <c r="P54" s="771">
        <v>53</v>
      </c>
      <c r="Q54" s="465"/>
      <c r="R54" s="558"/>
      <c r="S54" s="545"/>
      <c r="T54" s="431"/>
      <c r="U54" s="481"/>
      <c r="V54" s="778"/>
      <c r="W54" s="804"/>
      <c r="X54" s="567"/>
      <c r="Y54" s="628" t="str">
        <f t="shared" si="27"/>
        <v/>
      </c>
      <c r="Z54" s="629">
        <f t="shared" si="28"/>
        <v>0</v>
      </c>
      <c r="AA54" s="772" t="str">
        <f t="shared" si="29"/>
        <v/>
      </c>
    </row>
    <row r="55" spans="1:40" ht="12.75" customHeight="1">
      <c r="A55" s="808" t="s">
        <v>669</v>
      </c>
      <c r="B55" s="510"/>
      <c r="C55" s="236"/>
      <c r="D55" s="352">
        <v>5.7</v>
      </c>
      <c r="E55" s="515">
        <v>8</v>
      </c>
      <c r="F55" s="797">
        <v>4.9000000000000004</v>
      </c>
      <c r="G55" s="786">
        <v>-0.109</v>
      </c>
      <c r="H55" s="234">
        <v>4.9000000000000004</v>
      </c>
      <c r="I55" s="225">
        <v>4.9000000000000004</v>
      </c>
      <c r="J55" s="275">
        <v>4.9000000000000004</v>
      </c>
      <c r="K55" s="229">
        <v>5.5</v>
      </c>
      <c r="L55" s="232">
        <v>9800</v>
      </c>
      <c r="M55" s="599">
        <v>20</v>
      </c>
      <c r="N55" s="232">
        <v>1</v>
      </c>
      <c r="O55" s="272">
        <v>45406.696250000001</v>
      </c>
      <c r="P55" s="470">
        <v>54</v>
      </c>
      <c r="Q55" s="467"/>
      <c r="R55" s="549"/>
      <c r="S55" s="539"/>
      <c r="T55" s="430"/>
      <c r="U55" s="456"/>
      <c r="V55" s="779"/>
      <c r="W55" s="459"/>
      <c r="X55" s="705"/>
      <c r="Y55" s="560" t="str">
        <f t="shared" si="27"/>
        <v/>
      </c>
      <c r="Z55" s="706">
        <f t="shared" si="28"/>
        <v>0</v>
      </c>
      <c r="AA55" s="707" t="str">
        <f t="shared" si="29"/>
        <v/>
      </c>
    </row>
    <row r="56" spans="1:40" ht="12.75" customHeight="1">
      <c r="A56" s="805" t="s">
        <v>670</v>
      </c>
      <c r="B56" s="511">
        <v>15</v>
      </c>
      <c r="C56" s="375">
        <v>21</v>
      </c>
      <c r="D56" s="375">
        <v>48</v>
      </c>
      <c r="E56" s="511">
        <v>2</v>
      </c>
      <c r="F56" s="793">
        <v>40</v>
      </c>
      <c r="G56" s="789">
        <v>0.48139999999999999</v>
      </c>
      <c r="H56" s="237">
        <v>40</v>
      </c>
      <c r="I56" s="226">
        <v>40</v>
      </c>
      <c r="J56" s="280">
        <v>40</v>
      </c>
      <c r="K56" s="230">
        <v>27</v>
      </c>
      <c r="L56" s="244">
        <v>4000</v>
      </c>
      <c r="M56" s="780">
        <v>1</v>
      </c>
      <c r="N56" s="244">
        <v>1</v>
      </c>
      <c r="O56" s="273">
        <v>45406.676574074074</v>
      </c>
      <c r="P56" s="469">
        <v>55</v>
      </c>
      <c r="Q56" s="465"/>
      <c r="R56" s="558"/>
      <c r="S56" s="545"/>
      <c r="T56" s="431"/>
      <c r="U56" s="481"/>
      <c r="V56" s="778"/>
      <c r="W56" s="804"/>
      <c r="X56" s="704"/>
      <c r="Y56" s="632" t="str">
        <f t="shared" si="27"/>
        <v/>
      </c>
      <c r="Z56" s="633">
        <f t="shared" si="28"/>
        <v>0</v>
      </c>
      <c r="AA56" s="521" t="str">
        <f t="shared" si="29"/>
        <v/>
      </c>
    </row>
    <row r="57" spans="1:40" ht="12.75" customHeight="1">
      <c r="A57" s="806" t="s">
        <v>671</v>
      </c>
      <c r="B57" s="510">
        <v>33</v>
      </c>
      <c r="C57" s="236">
        <v>39.807000000000002</v>
      </c>
      <c r="D57" s="352">
        <v>85</v>
      </c>
      <c r="E57" s="515">
        <v>1</v>
      </c>
      <c r="F57" s="794"/>
      <c r="G57" s="786"/>
      <c r="H57" s="234"/>
      <c r="I57" s="225"/>
      <c r="J57" s="275"/>
      <c r="K57" s="229">
        <v>42</v>
      </c>
      <c r="L57" s="232"/>
      <c r="M57" s="599"/>
      <c r="N57" s="232"/>
      <c r="O57" s="272"/>
      <c r="P57" s="470">
        <v>56</v>
      </c>
      <c r="Q57" s="467"/>
      <c r="R57" s="549"/>
      <c r="S57" s="539"/>
      <c r="T57" s="430"/>
      <c r="U57" s="456"/>
      <c r="V57" s="779"/>
      <c r="W57" s="459"/>
      <c r="X57" s="565"/>
      <c r="Y57" s="626" t="str">
        <f t="shared" si="27"/>
        <v/>
      </c>
      <c r="Z57" s="627">
        <f t="shared" si="28"/>
        <v>0</v>
      </c>
      <c r="AA57" s="522" t="str">
        <f t="shared" si="29"/>
        <v/>
      </c>
    </row>
    <row r="58" spans="1:40" ht="12.75" customHeight="1">
      <c r="A58" s="805" t="s">
        <v>672</v>
      </c>
      <c r="B58" s="511"/>
      <c r="C58" s="375"/>
      <c r="D58" s="375"/>
      <c r="E58" s="511"/>
      <c r="F58" s="793"/>
      <c r="G58" s="789"/>
      <c r="H58" s="237"/>
      <c r="I58" s="226"/>
      <c r="J58" s="280"/>
      <c r="K58" s="230">
        <v>13.41</v>
      </c>
      <c r="L58" s="244"/>
      <c r="M58" s="780"/>
      <c r="N58" s="244"/>
      <c r="O58" s="273"/>
      <c r="P58" s="469">
        <v>57</v>
      </c>
      <c r="Q58" s="465"/>
      <c r="R58" s="558"/>
      <c r="S58" s="545"/>
      <c r="T58" s="431"/>
      <c r="U58" s="481"/>
      <c r="V58" s="778"/>
      <c r="W58" s="804"/>
      <c r="X58" s="704"/>
      <c r="Y58" s="628" t="str">
        <f t="shared" si="27"/>
        <v/>
      </c>
      <c r="Z58" s="629">
        <f t="shared" si="28"/>
        <v>0</v>
      </c>
      <c r="AA58" s="521" t="str">
        <f t="shared" si="29"/>
        <v/>
      </c>
    </row>
    <row r="59" spans="1:40" ht="12.75" customHeight="1">
      <c r="A59" s="809" t="s">
        <v>673</v>
      </c>
      <c r="B59" s="672"/>
      <c r="C59" s="673"/>
      <c r="D59" s="674"/>
      <c r="E59" s="699"/>
      <c r="F59" s="798"/>
      <c r="G59" s="790"/>
      <c r="H59" s="659"/>
      <c r="I59" s="660"/>
      <c r="J59" s="661"/>
      <c r="K59" s="662">
        <v>320</v>
      </c>
      <c r="L59" s="663"/>
      <c r="M59" s="645"/>
      <c r="N59" s="663"/>
      <c r="O59" s="646"/>
      <c r="P59" s="677">
        <v>58</v>
      </c>
      <c r="Q59" s="678"/>
      <c r="R59" s="665"/>
      <c r="S59" s="650"/>
      <c r="T59" s="666"/>
      <c r="U59" s="456"/>
      <c r="V59" s="779"/>
      <c r="W59" s="652"/>
      <c r="X59" s="653"/>
      <c r="Y59" s="679" t="str">
        <f t="shared" si="27"/>
        <v/>
      </c>
      <c r="Z59" s="680">
        <f t="shared" si="28"/>
        <v>0</v>
      </c>
      <c r="AA59" s="671" t="str">
        <f t="shared" si="29"/>
        <v/>
      </c>
    </row>
    <row r="60" spans="1:40" ht="12.75" customHeight="1">
      <c r="A60" s="768" t="s">
        <v>335</v>
      </c>
      <c r="B60" s="505">
        <v>2</v>
      </c>
      <c r="C60" s="247">
        <v>3079.6</v>
      </c>
      <c r="D60" s="247">
        <v>3099.95</v>
      </c>
      <c r="E60" s="696">
        <v>50</v>
      </c>
      <c r="F60" s="800">
        <v>3079.6</v>
      </c>
      <c r="G60" s="785">
        <v>-5.0799999999999998E-2</v>
      </c>
      <c r="H60" s="235">
        <v>3220</v>
      </c>
      <c r="I60" s="227">
        <v>3295.95</v>
      </c>
      <c r="J60" s="277">
        <v>3066.5</v>
      </c>
      <c r="K60" s="231">
        <v>3244.5</v>
      </c>
      <c r="L60" s="248">
        <v>107650721</v>
      </c>
      <c r="M60" s="597">
        <v>34524</v>
      </c>
      <c r="N60" s="248">
        <v>774</v>
      </c>
      <c r="O60" s="271">
        <v>45406.685277777775</v>
      </c>
      <c r="P60" s="282">
        <v>59</v>
      </c>
      <c r="Q60" s="261"/>
      <c r="R60" s="550">
        <v>0</v>
      </c>
      <c r="S60" s="570">
        <v>0</v>
      </c>
      <c r="T60" s="243">
        <v>0</v>
      </c>
      <c r="U60" s="441"/>
      <c r="V60" s="263"/>
      <c r="W60" s="369"/>
      <c r="X60" s="766"/>
      <c r="Y60" s="688">
        <f>IF(D60&lt;&gt;0,($C61*(1-$V$1))-$D60,0)</f>
        <v>-18.949999999999818</v>
      </c>
      <c r="Z60" s="689"/>
      <c r="AA60" s="824" t="str">
        <f>MID($A60,1,5)</f>
        <v xml:space="preserve">GGAL </v>
      </c>
    </row>
    <row r="61" spans="1:40" ht="12.75" customHeight="1">
      <c r="A61" s="426" t="s">
        <v>336</v>
      </c>
      <c r="B61" s="773">
        <v>1</v>
      </c>
      <c r="C61" s="774">
        <v>3081</v>
      </c>
      <c r="D61" s="775">
        <v>3090</v>
      </c>
      <c r="E61" s="508">
        <v>1000</v>
      </c>
      <c r="F61" s="801">
        <v>3087</v>
      </c>
      <c r="G61" s="803">
        <v>-3.85E-2</v>
      </c>
      <c r="H61" s="234">
        <v>3185</v>
      </c>
      <c r="I61" s="225">
        <v>3189.95</v>
      </c>
      <c r="J61" s="275">
        <v>3070</v>
      </c>
      <c r="K61" s="229">
        <v>3210.9</v>
      </c>
      <c r="L61" s="232">
        <v>6623613403</v>
      </c>
      <c r="M61" s="598">
        <v>2130788</v>
      </c>
      <c r="N61" s="232">
        <v>4444</v>
      </c>
      <c r="O61" s="272">
        <v>45406.708148148151</v>
      </c>
      <c r="P61" s="281">
        <v>60</v>
      </c>
      <c r="Q61" s="259">
        <v>0</v>
      </c>
      <c r="R61" s="549">
        <v>0</v>
      </c>
      <c r="S61" s="571">
        <v>0</v>
      </c>
      <c r="T61" s="242">
        <v>0</v>
      </c>
      <c r="U61" s="440"/>
      <c r="V61" s="262">
        <v>0</v>
      </c>
      <c r="W61" s="459">
        <v>0</v>
      </c>
      <c r="X61" s="776">
        <v>0</v>
      </c>
      <c r="Y61" s="777">
        <f>IFERROR(INT($Y$1/(F60)),"")</f>
        <v>32</v>
      </c>
      <c r="Z61" s="528"/>
      <c r="AA61" s="825"/>
    </row>
    <row r="62" spans="1:40" ht="12.75" customHeight="1">
      <c r="A62" s="768" t="s">
        <v>574</v>
      </c>
      <c r="B62" s="245">
        <v>15</v>
      </c>
      <c r="C62" s="359">
        <v>1843</v>
      </c>
      <c r="D62" s="360">
        <v>1885</v>
      </c>
      <c r="E62" s="505">
        <v>13</v>
      </c>
      <c r="F62" s="800">
        <v>1843</v>
      </c>
      <c r="G62" s="785">
        <v>-3.95E-2</v>
      </c>
      <c r="H62" s="235">
        <v>1890</v>
      </c>
      <c r="I62" s="227">
        <v>1890</v>
      </c>
      <c r="J62" s="277">
        <v>1840</v>
      </c>
      <c r="K62" s="231">
        <v>1918.9</v>
      </c>
      <c r="L62" s="248">
        <v>130240840</v>
      </c>
      <c r="M62" s="597">
        <v>69943</v>
      </c>
      <c r="N62" s="248">
        <v>1059</v>
      </c>
      <c r="O62" s="271">
        <v>45406.68681712963</v>
      </c>
      <c r="P62" s="282">
        <v>61</v>
      </c>
      <c r="Q62" s="261">
        <v>0</v>
      </c>
      <c r="R62" s="550">
        <v>0</v>
      </c>
      <c r="S62" s="570">
        <v>0</v>
      </c>
      <c r="T62" s="243">
        <v>0</v>
      </c>
      <c r="U62" s="441"/>
      <c r="V62" s="263">
        <v>0</v>
      </c>
      <c r="W62" s="355">
        <v>0</v>
      </c>
      <c r="X62" s="573">
        <v>0</v>
      </c>
      <c r="Y62" s="524">
        <f>IF(D62&lt;&gt;0,($C63*(1-$V$1))-$D62,0)</f>
        <v>-43</v>
      </c>
      <c r="Z62" s="525">
        <f>$F63*($AE$1*$AD$1)</f>
        <v>6.3247475342465744</v>
      </c>
      <c r="AA62" s="822" t="str">
        <f>MID($A62,1,5)</f>
        <v xml:space="preserve">PAMP </v>
      </c>
    </row>
    <row r="63" spans="1:40" ht="12.75" customHeight="1">
      <c r="A63" s="740" t="s">
        <v>575</v>
      </c>
      <c r="B63" s="684">
        <v>865</v>
      </c>
      <c r="C63" s="685">
        <v>1842</v>
      </c>
      <c r="D63" s="685">
        <v>1845.35</v>
      </c>
      <c r="E63" s="697">
        <v>65985</v>
      </c>
      <c r="F63" s="798">
        <v>1845.35</v>
      </c>
      <c r="G63" s="787">
        <v>-3.5099999999999999E-2</v>
      </c>
      <c r="H63" s="659">
        <v>1887.35</v>
      </c>
      <c r="I63" s="660">
        <v>1889.5</v>
      </c>
      <c r="J63" s="661">
        <v>1835.5</v>
      </c>
      <c r="K63" s="662">
        <v>1912.5</v>
      </c>
      <c r="L63" s="663">
        <v>3325320326</v>
      </c>
      <c r="M63" s="782">
        <v>1784352</v>
      </c>
      <c r="N63" s="663">
        <v>4281</v>
      </c>
      <c r="O63" s="686">
        <v>45406.708252314813</v>
      </c>
      <c r="P63" s="647">
        <v>62</v>
      </c>
      <c r="Q63" s="648">
        <v>0</v>
      </c>
      <c r="R63" s="665">
        <v>0</v>
      </c>
      <c r="S63" s="675">
        <v>0</v>
      </c>
      <c r="T63" s="676">
        <v>0</v>
      </c>
      <c r="U63" s="440"/>
      <c r="V63" s="333">
        <v>0</v>
      </c>
      <c r="W63" s="690">
        <v>0</v>
      </c>
      <c r="X63" s="691">
        <v>0</v>
      </c>
      <c r="Y63" s="692">
        <f>IFERROR(IF($Y$1&lt;&gt;"",INT($Y$1/(D62)),100),100)</f>
        <v>53</v>
      </c>
      <c r="Z63" s="693"/>
      <c r="AA63" s="823"/>
    </row>
    <row r="64" spans="1:40" ht="12.75" customHeight="1">
      <c r="A64" s="768" t="s">
        <v>13</v>
      </c>
      <c r="B64" s="506">
        <v>18055</v>
      </c>
      <c r="C64" s="300">
        <v>58700</v>
      </c>
      <c r="D64" s="300">
        <v>58790</v>
      </c>
      <c r="E64" s="700">
        <v>10255</v>
      </c>
      <c r="F64" s="800">
        <v>58780</v>
      </c>
      <c r="G64" s="785">
        <v>-1.5700000000000002E-2</v>
      </c>
      <c r="H64" s="235">
        <v>61500</v>
      </c>
      <c r="I64" s="227">
        <v>61500</v>
      </c>
      <c r="J64" s="277">
        <v>58360</v>
      </c>
      <c r="K64" s="231">
        <v>59720</v>
      </c>
      <c r="L64" s="248">
        <v>94069720171</v>
      </c>
      <c r="M64" s="597">
        <v>160253216</v>
      </c>
      <c r="N64" s="248">
        <v>62982</v>
      </c>
      <c r="O64" s="271">
        <v>45406.687604166669</v>
      </c>
      <c r="P64" s="282">
        <v>63</v>
      </c>
      <c r="Q64" s="261">
        <v>0</v>
      </c>
      <c r="R64" s="550">
        <v>0</v>
      </c>
      <c r="S64" s="570">
        <v>0</v>
      </c>
      <c r="T64" s="243">
        <v>0</v>
      </c>
      <c r="U64" s="441"/>
      <c r="V64" s="339"/>
      <c r="W64" s="687">
        <f t="shared" ref="W64:W68" si="30">(V64*X64)</f>
        <v>0</v>
      </c>
      <c r="X64" s="566"/>
      <c r="Y64" s="524">
        <f>IF(D64&lt;&gt;0,($C65*(1-$V$1))-$D64,0)</f>
        <v>10</v>
      </c>
      <c r="Z64" s="526"/>
      <c r="AA64" s="527"/>
      <c r="AB64" s="38"/>
      <c r="AC64" s="341">
        <v>325</v>
      </c>
      <c r="AE64" s="47">
        <v>0.47860000000000003</v>
      </c>
      <c r="AF64" s="47">
        <f>AC64*AE64</f>
        <v>155.54500000000002</v>
      </c>
      <c r="AN64" s="353"/>
    </row>
    <row r="65" spans="1:40" ht="12.75" customHeight="1">
      <c r="A65" s="426" t="s">
        <v>2</v>
      </c>
      <c r="B65" s="507">
        <v>264535</v>
      </c>
      <c r="C65" s="301">
        <v>58800</v>
      </c>
      <c r="D65" s="475">
        <v>58810</v>
      </c>
      <c r="E65" s="701">
        <v>167820</v>
      </c>
      <c r="F65" s="794">
        <v>58810</v>
      </c>
      <c r="G65" s="786">
        <v>-1.9599999999999999E-2</v>
      </c>
      <c r="H65" s="234">
        <v>59600</v>
      </c>
      <c r="I65" s="225">
        <v>59600</v>
      </c>
      <c r="J65" s="275">
        <v>58560</v>
      </c>
      <c r="K65" s="229">
        <v>59990</v>
      </c>
      <c r="L65" s="232">
        <v>66410942821</v>
      </c>
      <c r="M65" s="598">
        <v>112746209</v>
      </c>
      <c r="N65" s="232">
        <v>24844</v>
      </c>
      <c r="O65" s="272">
        <v>45406.70853009259</v>
      </c>
      <c r="P65" s="281">
        <v>64</v>
      </c>
      <c r="Q65" s="259">
        <v>0</v>
      </c>
      <c r="R65" s="549">
        <v>0</v>
      </c>
      <c r="S65" s="571">
        <v>0</v>
      </c>
      <c r="T65" s="242">
        <v>0</v>
      </c>
      <c r="U65" s="440"/>
      <c r="V65" s="338"/>
      <c r="W65" s="451">
        <f>V64*(C64/100)</f>
        <v>0</v>
      </c>
      <c r="X65" s="565"/>
      <c r="Y65" s="448">
        <f>IFERROR(INT($Y$1/(F64/100)),"")</f>
        <v>172</v>
      </c>
      <c r="Z65" s="528"/>
      <c r="AA65" s="529"/>
      <c r="AB65" s="38"/>
      <c r="AC65" s="341">
        <v>179</v>
      </c>
      <c r="AE65" s="47">
        <v>0.47910000000000003</v>
      </c>
      <c r="AF65" s="47">
        <f t="shared" ref="AF65:AF67" si="31">AC65*AE65</f>
        <v>85.758900000000011</v>
      </c>
      <c r="AN65" s="353"/>
    </row>
    <row r="66" spans="1:40" ht="12.75" customHeight="1">
      <c r="A66" s="767" t="s">
        <v>15</v>
      </c>
      <c r="B66" s="512">
        <v>500000</v>
      </c>
      <c r="C66" s="298">
        <v>55.75</v>
      </c>
      <c r="D66" s="252">
        <v>55.84</v>
      </c>
      <c r="E66" s="702">
        <v>2517</v>
      </c>
      <c r="F66" s="800">
        <v>55.84</v>
      </c>
      <c r="G66" s="785">
        <v>-1.67E-2</v>
      </c>
      <c r="H66" s="237">
        <v>56.95</v>
      </c>
      <c r="I66" s="226">
        <v>56.95</v>
      </c>
      <c r="J66" s="280">
        <v>55.5</v>
      </c>
      <c r="K66" s="230">
        <v>56.79</v>
      </c>
      <c r="L66" s="244">
        <v>30993427</v>
      </c>
      <c r="M66" s="783">
        <v>55596943</v>
      </c>
      <c r="N66" s="244">
        <v>6941</v>
      </c>
      <c r="O66" s="273">
        <v>45406.6875462963</v>
      </c>
      <c r="P66" s="282">
        <v>65</v>
      </c>
      <c r="Q66" s="260">
        <v>0</v>
      </c>
      <c r="R66" s="558">
        <v>0</v>
      </c>
      <c r="S66" s="572">
        <v>0</v>
      </c>
      <c r="T66" s="241">
        <v>0</v>
      </c>
      <c r="U66" s="441"/>
      <c r="V66" s="295"/>
      <c r="W66" s="452">
        <f t="shared" si="30"/>
        <v>0</v>
      </c>
      <c r="X66" s="569"/>
      <c r="Y66" s="530">
        <f>IF(D66&lt;&gt;0,($C67*(1-$V$1))-$D66,0)</f>
        <v>-0.24000000000000199</v>
      </c>
      <c r="Z66" s="531">
        <f>IFERROR(IF(C66&lt;&gt;"",$Y$1/(D64/100)*(C66/100),""),"")</f>
        <v>96.269825457969588</v>
      </c>
      <c r="AA66" s="532">
        <f>IFERROR($AA$1/(D66/100)*(C64/100),"")</f>
        <v>105121.77650429799</v>
      </c>
      <c r="AB66" s="38"/>
      <c r="AC66" s="342"/>
      <c r="AF66" s="47">
        <f t="shared" si="31"/>
        <v>0</v>
      </c>
      <c r="AN66" s="353"/>
    </row>
    <row r="67" spans="1:40" ht="12.75" customHeight="1">
      <c r="A67" s="426" t="s">
        <v>3</v>
      </c>
      <c r="B67" s="513">
        <v>245600</v>
      </c>
      <c r="C67" s="236">
        <v>55.6</v>
      </c>
      <c r="D67" s="352">
        <v>56</v>
      </c>
      <c r="E67" s="514">
        <v>592700</v>
      </c>
      <c r="F67" s="794">
        <v>55.6</v>
      </c>
      <c r="G67" s="786">
        <v>-2.3099999999999999E-2</v>
      </c>
      <c r="H67" s="234">
        <v>55.89</v>
      </c>
      <c r="I67" s="225">
        <v>56.35</v>
      </c>
      <c r="J67" s="275">
        <v>55.5</v>
      </c>
      <c r="K67" s="229">
        <v>56.92</v>
      </c>
      <c r="L67" s="232">
        <v>1111975</v>
      </c>
      <c r="M67" s="598">
        <v>1995448</v>
      </c>
      <c r="N67" s="232">
        <v>723</v>
      </c>
      <c r="O67" s="272">
        <v>45406.702233796299</v>
      </c>
      <c r="P67" s="281">
        <v>66</v>
      </c>
      <c r="Q67" s="259">
        <v>0</v>
      </c>
      <c r="R67" s="549">
        <v>0</v>
      </c>
      <c r="S67" s="571">
        <v>0</v>
      </c>
      <c r="T67" s="242">
        <v>0</v>
      </c>
      <c r="U67" s="440"/>
      <c r="V67" s="294"/>
      <c r="W67" s="453">
        <f>V66*(F66/100)</f>
        <v>0</v>
      </c>
      <c r="X67" s="565"/>
      <c r="Y67" s="449">
        <f>IFERROR(INT($AA$1/(F66/100)),"")</f>
        <v>179</v>
      </c>
      <c r="Z67" s="533">
        <f>IFERROR(IF(C67&lt;&gt;"",$Y$1/(D65/100)*(C67/100),""),"")</f>
        <v>95.978152323100602</v>
      </c>
      <c r="AA67" s="534">
        <f>IFERROR($AA$1/(D67/100)*(C65/100),"")</f>
        <v>104999.99999999999</v>
      </c>
      <c r="AB67" s="38"/>
      <c r="AC67" s="343"/>
      <c r="AD67" s="340"/>
      <c r="AE67" s="340"/>
      <c r="AF67" s="340">
        <f t="shared" si="31"/>
        <v>0</v>
      </c>
      <c r="AN67" s="353"/>
    </row>
    <row r="68" spans="1:40" ht="12.75" customHeight="1">
      <c r="A68" s="767" t="s">
        <v>14</v>
      </c>
      <c r="B68" s="512">
        <v>7391</v>
      </c>
      <c r="C68" s="298">
        <v>58.15</v>
      </c>
      <c r="D68" s="252">
        <v>58.17</v>
      </c>
      <c r="E68" s="702">
        <v>852</v>
      </c>
      <c r="F68" s="800">
        <v>58.16</v>
      </c>
      <c r="G68" s="785">
        <v>-2.2599999999999999E-2</v>
      </c>
      <c r="H68" s="237">
        <v>59.3</v>
      </c>
      <c r="I68" s="226">
        <v>59.3</v>
      </c>
      <c r="J68" s="280">
        <v>57.87</v>
      </c>
      <c r="K68" s="230">
        <v>59.51</v>
      </c>
      <c r="L68" s="244">
        <v>68410559</v>
      </c>
      <c r="M68" s="783">
        <v>117452298</v>
      </c>
      <c r="N68" s="244">
        <v>52225</v>
      </c>
      <c r="O68" s="273">
        <v>45406.687650462962</v>
      </c>
      <c r="P68" s="282">
        <v>67</v>
      </c>
      <c r="Q68" s="260">
        <v>0</v>
      </c>
      <c r="R68" s="558">
        <v>0</v>
      </c>
      <c r="S68" s="572">
        <v>0</v>
      </c>
      <c r="T68" s="241">
        <v>0</v>
      </c>
      <c r="U68" s="441"/>
      <c r="V68" s="336"/>
      <c r="W68" s="454">
        <f t="shared" si="30"/>
        <v>0</v>
      </c>
      <c r="X68" s="567"/>
      <c r="Y68" s="535">
        <f>IF(D68&lt;&gt;0,($C69*(1-$V$1))-$D68,0)</f>
        <v>-0.26000000000000512</v>
      </c>
      <c r="Z68" s="536">
        <f>IFERROR(IF(C68&lt;&gt;"",$Y$1/(D64/100)*(C68/100),""),"")</f>
        <v>100.41417668844721</v>
      </c>
      <c r="AA68" s="537">
        <f>IFERROR($Z$1/(D68/100)*(C64/100),"")</f>
        <v>100911.1225717724</v>
      </c>
      <c r="AB68" s="38"/>
      <c r="AC68" s="344">
        <f>SUM(AC64:AC67)</f>
        <v>504</v>
      </c>
      <c r="AD68" s="345"/>
      <c r="AE68" s="345"/>
      <c r="AF68" s="345">
        <f>SUM(AF64:AF67)</f>
        <v>241.30390000000003</v>
      </c>
    </row>
    <row r="69" spans="1:40" ht="12.75" customHeight="1">
      <c r="A69" s="741" t="s">
        <v>4</v>
      </c>
      <c r="B69" s="742">
        <v>6245</v>
      </c>
      <c r="C69" s="743">
        <v>57.91</v>
      </c>
      <c r="D69" s="744">
        <v>57.92</v>
      </c>
      <c r="E69" s="745">
        <v>293</v>
      </c>
      <c r="F69" s="802">
        <v>57.91</v>
      </c>
      <c r="G69" s="791">
        <v>-2.81E-2</v>
      </c>
      <c r="H69" s="746">
        <v>59.43</v>
      </c>
      <c r="I69" s="747">
        <v>59.43</v>
      </c>
      <c r="J69" s="748">
        <v>57.85</v>
      </c>
      <c r="K69" s="749">
        <v>59.59</v>
      </c>
      <c r="L69" s="750">
        <v>19782101</v>
      </c>
      <c r="M69" s="784">
        <v>33959457</v>
      </c>
      <c r="N69" s="750">
        <v>11422</v>
      </c>
      <c r="O69" s="751">
        <v>45406.708541666667</v>
      </c>
      <c r="P69" s="752">
        <v>68</v>
      </c>
      <c r="Q69" s="753">
        <v>0</v>
      </c>
      <c r="R69" s="754">
        <v>0</v>
      </c>
      <c r="S69" s="755">
        <v>0</v>
      </c>
      <c r="T69" s="756">
        <v>0</v>
      </c>
      <c r="U69" s="440"/>
      <c r="V69" s="361"/>
      <c r="W69" s="757">
        <f>V68*(C68/100)</f>
        <v>0</v>
      </c>
      <c r="X69" s="758"/>
      <c r="Y69" s="759">
        <f>IFERROR(INT($Z$1/(F68/100)),"")</f>
        <v>171</v>
      </c>
      <c r="Z69" s="760">
        <f>IFERROR(IF(C69&lt;&gt;"",$Y$1/(D65/100)*(C69/100),""),"")</f>
        <v>99.965733831488407</v>
      </c>
      <c r="AA69" s="761">
        <f>IFERROR($Z$1/(D69/100)*(C65/100),"")</f>
        <v>101519.33701657457</v>
      </c>
      <c r="AB69" s="38"/>
      <c r="AC69" s="818">
        <f>AF68/AC68</f>
        <v>0.47877757936507942</v>
      </c>
      <c r="AD69" s="818"/>
      <c r="AE69" s="818"/>
      <c r="AF69" s="818"/>
    </row>
    <row r="70" spans="1:40" ht="12.75" customHeight="1">
      <c r="A70" s="768" t="s">
        <v>16</v>
      </c>
      <c r="B70" s="512">
        <v>4870</v>
      </c>
      <c r="C70" s="298">
        <v>61600</v>
      </c>
      <c r="D70" s="252">
        <v>61800</v>
      </c>
      <c r="E70" s="702">
        <v>814</v>
      </c>
      <c r="F70" s="800">
        <v>61790</v>
      </c>
      <c r="G70" s="785">
        <v>-1.18E-2</v>
      </c>
      <c r="H70" s="235">
        <v>62670</v>
      </c>
      <c r="I70" s="227">
        <v>62670</v>
      </c>
      <c r="J70" s="277">
        <v>60510</v>
      </c>
      <c r="K70" s="231">
        <v>62530</v>
      </c>
      <c r="L70" s="248">
        <v>6914496899</v>
      </c>
      <c r="M70" s="597">
        <v>11288213</v>
      </c>
      <c r="N70" s="248">
        <v>3246</v>
      </c>
      <c r="O70" s="271">
        <v>45406.687650462962</v>
      </c>
      <c r="P70" s="282">
        <v>69</v>
      </c>
      <c r="Q70" s="261"/>
      <c r="R70" s="550">
        <v>0</v>
      </c>
      <c r="S70" s="570">
        <v>0</v>
      </c>
      <c r="T70" s="243">
        <v>0</v>
      </c>
      <c r="U70" s="441"/>
      <c r="V70" s="293">
        <v>0</v>
      </c>
      <c r="W70" s="687">
        <f t="shared" ref="W70:W82" si="32">(V70*X70)</f>
        <v>0</v>
      </c>
      <c r="X70" s="566"/>
      <c r="Y70" s="524">
        <f>IF(D70&lt;&gt;0,($C71*(1-$V$1))-$D70,0)</f>
        <v>-150</v>
      </c>
      <c r="Z70" s="526"/>
      <c r="AA70" s="527"/>
      <c r="AB70" s="38"/>
      <c r="AC70" s="335">
        <v>506</v>
      </c>
      <c r="AE70" s="47">
        <v>0.48499999999999999</v>
      </c>
      <c r="AF70" s="47">
        <f>AC70*AE70</f>
        <v>245.41</v>
      </c>
    </row>
    <row r="71" spans="1:40" ht="12.75" customHeight="1">
      <c r="A71" s="426" t="s">
        <v>5</v>
      </c>
      <c r="B71" s="513">
        <v>2982</v>
      </c>
      <c r="C71" s="236">
        <v>61650</v>
      </c>
      <c r="D71" s="352">
        <v>61720</v>
      </c>
      <c r="E71" s="514">
        <v>10000</v>
      </c>
      <c r="F71" s="794">
        <v>61650</v>
      </c>
      <c r="G71" s="786">
        <v>-1.6399999999999998E-2</v>
      </c>
      <c r="H71" s="234">
        <v>62380</v>
      </c>
      <c r="I71" s="225">
        <v>62540</v>
      </c>
      <c r="J71" s="275">
        <v>61080</v>
      </c>
      <c r="K71" s="229">
        <v>62680</v>
      </c>
      <c r="L71" s="232">
        <v>23079567015</v>
      </c>
      <c r="M71" s="598">
        <v>37525043</v>
      </c>
      <c r="N71" s="232">
        <v>3995</v>
      </c>
      <c r="O71" s="272">
        <v>45406.708356481482</v>
      </c>
      <c r="P71" s="281">
        <v>70</v>
      </c>
      <c r="Q71" s="259">
        <v>0</v>
      </c>
      <c r="R71" s="549">
        <v>0</v>
      </c>
      <c r="S71" s="571">
        <v>0</v>
      </c>
      <c r="T71" s="242">
        <v>0</v>
      </c>
      <c r="U71" s="440"/>
      <c r="V71" s="338">
        <v>0</v>
      </c>
      <c r="W71" s="450">
        <f>V70*(F71/100)</f>
        <v>0</v>
      </c>
      <c r="X71" s="565"/>
      <c r="Y71" s="448">
        <f>IFERROR(INT($Y$1/(F70/100)),"")</f>
        <v>164</v>
      </c>
      <c r="Z71" s="528"/>
      <c r="AA71" s="529"/>
      <c r="AB71" s="38"/>
      <c r="AC71" s="335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767" t="s">
        <v>17</v>
      </c>
      <c r="B72" s="512">
        <v>16711</v>
      </c>
      <c r="C72" s="298">
        <v>58.86</v>
      </c>
      <c r="D72" s="252">
        <v>59</v>
      </c>
      <c r="E72" s="702">
        <v>200000</v>
      </c>
      <c r="F72" s="800">
        <v>58.86</v>
      </c>
      <c r="G72" s="785">
        <v>-9.8999999999999991E-3</v>
      </c>
      <c r="H72" s="237">
        <v>58.48</v>
      </c>
      <c r="I72" s="226">
        <v>59.25</v>
      </c>
      <c r="J72" s="280">
        <v>57.94</v>
      </c>
      <c r="K72" s="230">
        <v>59.45</v>
      </c>
      <c r="L72" s="244">
        <v>203933</v>
      </c>
      <c r="M72" s="783">
        <v>349582</v>
      </c>
      <c r="N72" s="244">
        <v>188</v>
      </c>
      <c r="O72" s="273">
        <v>45406.687696759262</v>
      </c>
      <c r="P72" s="282">
        <v>71</v>
      </c>
      <c r="Q72" s="260">
        <v>0</v>
      </c>
      <c r="R72" s="558">
        <v>0</v>
      </c>
      <c r="S72" s="572">
        <v>0</v>
      </c>
      <c r="T72" s="241">
        <v>0</v>
      </c>
      <c r="U72" s="441"/>
      <c r="V72" s="295">
        <v>0</v>
      </c>
      <c r="W72" s="452">
        <f t="shared" ref="W72" si="34">(V72*X72)</f>
        <v>0</v>
      </c>
      <c r="X72" s="569"/>
      <c r="Y72" s="530">
        <f>IF(D72&lt;&gt;0,($C73*(1-$V$1))-$D72,0)</f>
        <v>-0.75</v>
      </c>
      <c r="Z72" s="531">
        <f>IFERROR(IF(C72&lt;&gt;"",$Y$1/(D70/100)*(C72/100),""),"")</f>
        <v>96.689776323553062</v>
      </c>
      <c r="AA72" s="532">
        <f>IFERROR($AA$1/(D72/100)*(C70/100),"")</f>
        <v>104406.77966101696</v>
      </c>
      <c r="AB72" s="38"/>
      <c r="AC72" s="335"/>
      <c r="AF72" s="47">
        <f t="shared" si="33"/>
        <v>0</v>
      </c>
    </row>
    <row r="73" spans="1:40" ht="12.75" customHeight="1">
      <c r="A73" s="426" t="s">
        <v>6</v>
      </c>
      <c r="B73" s="513">
        <v>500000</v>
      </c>
      <c r="C73" s="236">
        <v>58.25</v>
      </c>
      <c r="D73" s="352">
        <v>58.8</v>
      </c>
      <c r="E73" s="514">
        <v>113968</v>
      </c>
      <c r="F73" s="794">
        <v>58.5</v>
      </c>
      <c r="G73" s="786">
        <v>-1.5900000000000001E-2</v>
      </c>
      <c r="H73" s="234">
        <v>57.83</v>
      </c>
      <c r="I73" s="225">
        <v>58.94</v>
      </c>
      <c r="J73" s="275">
        <v>57.83</v>
      </c>
      <c r="K73" s="229">
        <v>59.45</v>
      </c>
      <c r="L73" s="232">
        <v>987904</v>
      </c>
      <c r="M73" s="598">
        <v>1684777</v>
      </c>
      <c r="N73" s="232">
        <v>98</v>
      </c>
      <c r="O73" s="272">
        <v>45406.699166666665</v>
      </c>
      <c r="P73" s="281">
        <v>72</v>
      </c>
      <c r="Q73" s="259">
        <v>0</v>
      </c>
      <c r="R73" s="549">
        <v>0</v>
      </c>
      <c r="S73" s="571">
        <v>0</v>
      </c>
      <c r="T73" s="242">
        <v>0</v>
      </c>
      <c r="U73" s="440"/>
      <c r="V73" s="294">
        <v>0</v>
      </c>
      <c r="W73" s="453">
        <f>V72*(F72/100)</f>
        <v>0</v>
      </c>
      <c r="X73" s="565"/>
      <c r="Y73" s="449">
        <f>IFERROR(INT($AA$1/(F72/100)),"")</f>
        <v>169</v>
      </c>
      <c r="Z73" s="533">
        <f>IFERROR(IF(C73&lt;&gt;"",$Y$1/(D71/100)*(C73/100),""),"")</f>
        <v>95.81175277406787</v>
      </c>
      <c r="AA73" s="534">
        <f>IFERROR($AA$1/(D73/100)*(C71/100),"")</f>
        <v>104846.93877551021</v>
      </c>
      <c r="AB73" s="38"/>
      <c r="AC73" s="340"/>
      <c r="AD73" s="340"/>
      <c r="AE73" s="340"/>
      <c r="AF73" s="340">
        <f t="shared" si="33"/>
        <v>0</v>
      </c>
    </row>
    <row r="74" spans="1:40" ht="12.75" customHeight="1">
      <c r="A74" s="767" t="s">
        <v>18</v>
      </c>
      <c r="B74" s="512">
        <v>50000</v>
      </c>
      <c r="C74" s="298">
        <v>60.85</v>
      </c>
      <c r="D74" s="252">
        <v>61.08</v>
      </c>
      <c r="E74" s="702">
        <v>479</v>
      </c>
      <c r="F74" s="800">
        <v>61</v>
      </c>
      <c r="G74" s="785">
        <v>-1.5900000000000001E-2</v>
      </c>
      <c r="H74" s="237">
        <v>60.89</v>
      </c>
      <c r="I74" s="226">
        <v>61.71</v>
      </c>
      <c r="J74" s="280">
        <v>60.34</v>
      </c>
      <c r="K74" s="230">
        <v>61.99</v>
      </c>
      <c r="L74" s="244">
        <v>2425062</v>
      </c>
      <c r="M74" s="783">
        <v>3985976</v>
      </c>
      <c r="N74" s="244">
        <v>1846</v>
      </c>
      <c r="O74" s="273">
        <v>45406.687777777777</v>
      </c>
      <c r="P74" s="282">
        <v>73</v>
      </c>
      <c r="Q74" s="260">
        <v>0</v>
      </c>
      <c r="R74" s="558">
        <v>0</v>
      </c>
      <c r="S74" s="572">
        <v>0</v>
      </c>
      <c r="T74" s="241">
        <v>0</v>
      </c>
      <c r="U74" s="441"/>
      <c r="V74" s="336">
        <v>0</v>
      </c>
      <c r="W74" s="454">
        <f t="shared" si="32"/>
        <v>0</v>
      </c>
      <c r="X74" s="567"/>
      <c r="Y74" s="535">
        <f>IF(D74&lt;&gt;0,($C75*(1-$V$1))-$D74,0)</f>
        <v>-0.25999999999999801</v>
      </c>
      <c r="Z74" s="536">
        <f>IFERROR(IF(C74&lt;&gt;"",$Y$1/(D70/100)*(C74/100),""),"")</f>
        <v>99.958764683795522</v>
      </c>
      <c r="AA74" s="537">
        <f>IFERROR($Z$1/(D74/100)*(C70/100),"")</f>
        <v>100851.34250163719</v>
      </c>
      <c r="AB74" s="38"/>
      <c r="AC74" s="344">
        <f>SUM(AC70:AC73)</f>
        <v>856</v>
      </c>
      <c r="AD74" s="345"/>
      <c r="AE74" s="345" t="s">
        <v>588</v>
      </c>
      <c r="AF74" s="345">
        <f>SUM(AF70:AF73)</f>
        <v>412.01350000000002</v>
      </c>
    </row>
    <row r="75" spans="1:40" ht="12.75" customHeight="1">
      <c r="A75" s="741" t="s">
        <v>7</v>
      </c>
      <c r="B75" s="742">
        <v>52</v>
      </c>
      <c r="C75" s="743">
        <v>60.82</v>
      </c>
      <c r="D75" s="744">
        <v>60.99</v>
      </c>
      <c r="E75" s="745">
        <v>350</v>
      </c>
      <c r="F75" s="802">
        <v>60.98</v>
      </c>
      <c r="G75" s="791">
        <v>-1.8000000000000002E-2</v>
      </c>
      <c r="H75" s="746">
        <v>61</v>
      </c>
      <c r="I75" s="747">
        <v>61.65</v>
      </c>
      <c r="J75" s="748">
        <v>60.25</v>
      </c>
      <c r="K75" s="749">
        <v>62.1</v>
      </c>
      <c r="L75" s="762">
        <v>2120076</v>
      </c>
      <c r="M75" s="784">
        <v>3486145</v>
      </c>
      <c r="N75" s="750">
        <v>1012</v>
      </c>
      <c r="O75" s="751">
        <v>45406.706157407411</v>
      </c>
      <c r="P75" s="752">
        <v>74</v>
      </c>
      <c r="Q75" s="753">
        <v>0</v>
      </c>
      <c r="R75" s="754">
        <v>0</v>
      </c>
      <c r="S75" s="755">
        <v>0</v>
      </c>
      <c r="T75" s="756">
        <v>0</v>
      </c>
      <c r="U75" s="440"/>
      <c r="V75" s="337">
        <v>0</v>
      </c>
      <c r="W75" s="714">
        <f>V74*(F74/100)</f>
        <v>0</v>
      </c>
      <c r="X75" s="585"/>
      <c r="Y75" s="715">
        <f>IFERROR(INT($Z$1/(F74/100)),"")</f>
        <v>163</v>
      </c>
      <c r="Z75" s="716">
        <f>IFERROR(IF(C75&lt;&gt;"",$Y$1/(D71/100)*(C75/100),""),"")</f>
        <v>100.0389837548293</v>
      </c>
      <c r="AA75" s="717">
        <f>IFERROR($Z$1/(D75/100)*(C71/100),"")</f>
        <v>101082.14461387113</v>
      </c>
      <c r="AB75" s="38"/>
      <c r="AC75" s="818">
        <f>AF74/AC74</f>
        <v>0.48132418224299067</v>
      </c>
      <c r="AD75" s="818"/>
      <c r="AE75" s="818"/>
      <c r="AF75" s="818"/>
    </row>
    <row r="76" spans="1:40" ht="12.75" customHeight="1">
      <c r="A76" s="768" t="s">
        <v>582</v>
      </c>
      <c r="B76" s="245">
        <v>15589015</v>
      </c>
      <c r="C76" s="298">
        <v>184.2</v>
      </c>
      <c r="D76" s="252">
        <v>185.5</v>
      </c>
      <c r="E76" s="505">
        <v>10000</v>
      </c>
      <c r="F76" s="800">
        <v>184.2</v>
      </c>
      <c r="G76" s="785">
        <v>-1.6000000000000001E-3</v>
      </c>
      <c r="H76" s="235">
        <v>184.5</v>
      </c>
      <c r="I76" s="227">
        <v>184.8</v>
      </c>
      <c r="J76" s="277">
        <v>183.001</v>
      </c>
      <c r="K76" s="231">
        <v>184.5</v>
      </c>
      <c r="L76" s="248">
        <v>8154378667</v>
      </c>
      <c r="M76" s="597">
        <v>4418476872</v>
      </c>
      <c r="N76" s="248">
        <v>1708</v>
      </c>
      <c r="O76" s="271">
        <v>45406.687800925924</v>
      </c>
      <c r="P76" s="282">
        <v>75</v>
      </c>
      <c r="Q76" s="261">
        <v>0</v>
      </c>
      <c r="R76" s="550">
        <v>0</v>
      </c>
      <c r="S76" s="570">
        <v>0</v>
      </c>
      <c r="T76" s="243">
        <v>0</v>
      </c>
      <c r="U76" s="441"/>
      <c r="V76" s="349"/>
      <c r="W76" s="368">
        <f>V76*X76</f>
        <v>0</v>
      </c>
      <c r="X76" s="566"/>
      <c r="Y76" s="524">
        <f>IF(D76&lt;&gt;0,($C77*(1-$V$1))-$D76,0)</f>
        <v>-2.4989999999999952</v>
      </c>
      <c r="Z76" s="526"/>
      <c r="AA76" s="527"/>
      <c r="AB76" s="38"/>
    </row>
    <row r="77" spans="1:40" ht="12.75" customHeight="1">
      <c r="A77" s="426" t="s">
        <v>676</v>
      </c>
      <c r="B77" s="510">
        <v>10082000</v>
      </c>
      <c r="C77" s="236">
        <v>183.001</v>
      </c>
      <c r="D77" s="352">
        <v>185.999</v>
      </c>
      <c r="E77" s="515">
        <v>213396</v>
      </c>
      <c r="F77" s="794">
        <v>184.4</v>
      </c>
      <c r="G77" s="786">
        <v>-8.5000000000000006E-3</v>
      </c>
      <c r="H77" s="234">
        <v>184.4</v>
      </c>
      <c r="I77" s="225">
        <v>185</v>
      </c>
      <c r="J77" s="275">
        <v>184.4</v>
      </c>
      <c r="K77" s="229">
        <v>185.999</v>
      </c>
      <c r="L77" s="232">
        <v>6452145</v>
      </c>
      <c r="M77" s="598">
        <v>3498593</v>
      </c>
      <c r="N77" s="232">
        <v>8</v>
      </c>
      <c r="O77" s="272">
        <v>45406.535000000003</v>
      </c>
      <c r="P77" s="281">
        <v>76</v>
      </c>
      <c r="Q77" s="259">
        <v>0</v>
      </c>
      <c r="R77" s="549">
        <v>0</v>
      </c>
      <c r="S77" s="571">
        <v>0</v>
      </c>
      <c r="T77" s="242">
        <v>0</v>
      </c>
      <c r="U77" s="440"/>
      <c r="V77" s="346">
        <v>0</v>
      </c>
      <c r="W77" s="364">
        <f>V76*(F76/100)</f>
        <v>0</v>
      </c>
      <c r="X77" s="565"/>
      <c r="Y77" s="448">
        <f>IFERROR(INT($Y$1/(F76/100)),"")</f>
        <v>55113</v>
      </c>
      <c r="Z77" s="528"/>
      <c r="AA77" s="529"/>
      <c r="AB77" s="38"/>
    </row>
    <row r="78" spans="1:40" ht="12.75" customHeight="1">
      <c r="A78" s="767" t="s">
        <v>584</v>
      </c>
      <c r="B78" s="245">
        <v>2398451</v>
      </c>
      <c r="C78" s="298">
        <v>0.17499999999999999</v>
      </c>
      <c r="D78" s="252">
        <v>0.17599999999999999</v>
      </c>
      <c r="E78" s="505">
        <v>32746770</v>
      </c>
      <c r="F78" s="800">
        <v>0.17499999999999999</v>
      </c>
      <c r="G78" s="785">
        <v>5.6999999999999993E-3</v>
      </c>
      <c r="H78" s="237">
        <v>0.17499999999999999</v>
      </c>
      <c r="I78" s="226">
        <v>0.17699999999999999</v>
      </c>
      <c r="J78" s="280">
        <v>0.17399999999999999</v>
      </c>
      <c r="K78" s="230">
        <v>0.17499999999999999</v>
      </c>
      <c r="L78" s="244">
        <v>3320840</v>
      </c>
      <c r="M78" s="783">
        <v>1892187524</v>
      </c>
      <c r="N78" s="244">
        <v>308</v>
      </c>
      <c r="O78" s="273">
        <v>45406.680451388886</v>
      </c>
      <c r="P78" s="282">
        <v>77</v>
      </c>
      <c r="Q78" s="260">
        <v>0</v>
      </c>
      <c r="R78" s="558">
        <v>0</v>
      </c>
      <c r="S78" s="572">
        <v>0</v>
      </c>
      <c r="T78" s="241">
        <v>0</v>
      </c>
      <c r="U78" s="441"/>
      <c r="V78" s="350">
        <v>0</v>
      </c>
      <c r="W78" s="365">
        <f t="shared" ref="W78" si="35">(V78*X78)</f>
        <v>0</v>
      </c>
      <c r="X78" s="569"/>
      <c r="Y78" s="530">
        <f>IF(D78&lt;&gt;0,($C79*(1-$V$1))-$D78,0)</f>
        <v>-3.0000000000000027E-3</v>
      </c>
      <c r="Z78" s="531">
        <f>IFERROR(IF(C78&lt;&gt;"",$Y$1/(D76/100)*(C78/100),""),"")</f>
        <v>95.772959449598645</v>
      </c>
      <c r="AA78" s="532">
        <f>IFERROR($AA$1/(D78/100)*(C76/100),"")</f>
        <v>104659.09090909091</v>
      </c>
      <c r="AB78" s="38"/>
    </row>
    <row r="79" spans="1:40" ht="12.75" customHeight="1">
      <c r="A79" s="426" t="s">
        <v>585</v>
      </c>
      <c r="B79" s="510">
        <v>19415150</v>
      </c>
      <c r="C79" s="236">
        <v>0.17299999999999999</v>
      </c>
      <c r="D79" s="352"/>
      <c r="E79" s="515"/>
      <c r="F79" s="794">
        <v>0.17499999999999999</v>
      </c>
      <c r="G79" s="786"/>
      <c r="H79" s="234">
        <v>0.17499999999999999</v>
      </c>
      <c r="I79" s="225">
        <v>0.17499999999999999</v>
      </c>
      <c r="J79" s="275">
        <v>0.17499999999999999</v>
      </c>
      <c r="K79" s="229">
        <v>0.17499999999999999</v>
      </c>
      <c r="L79" s="232">
        <v>1023</v>
      </c>
      <c r="M79" s="598">
        <v>584850</v>
      </c>
      <c r="N79" s="232">
        <v>2</v>
      </c>
      <c r="O79" s="272">
        <v>45406.558981481481</v>
      </c>
      <c r="P79" s="281">
        <v>78</v>
      </c>
      <c r="Q79" s="259">
        <v>0</v>
      </c>
      <c r="R79" s="549">
        <v>0</v>
      </c>
      <c r="S79" s="571">
        <v>0</v>
      </c>
      <c r="T79" s="242">
        <v>0</v>
      </c>
      <c r="U79" s="440"/>
      <c r="V79" s="347">
        <v>0</v>
      </c>
      <c r="W79" s="366">
        <f>V78*(F78/100)</f>
        <v>0</v>
      </c>
      <c r="X79" s="565"/>
      <c r="Y79" s="449">
        <f>IFERROR(INT($AA$1/(F78/100)),"")</f>
        <v>57142</v>
      </c>
      <c r="Z79" s="533">
        <f>IFERROR(IF(C79&lt;&gt;"",$Y$1/(D77/100)*(C79/100),""),"")</f>
        <v>94.424407141260957</v>
      </c>
      <c r="AA79" s="534" t="str">
        <f>IFERROR($AA$1/(D79/100)*(C77/100),"")</f>
        <v/>
      </c>
      <c r="AB79" s="38"/>
    </row>
    <row r="80" spans="1:40" ht="12.75" customHeight="1">
      <c r="A80" s="767" t="s">
        <v>586</v>
      </c>
      <c r="B80" s="245">
        <v>500000000</v>
      </c>
      <c r="C80" s="359">
        <v>0.18099999999999999</v>
      </c>
      <c r="D80" s="360">
        <v>0.183</v>
      </c>
      <c r="E80" s="505">
        <v>8153762</v>
      </c>
      <c r="F80" s="800">
        <v>0.183</v>
      </c>
      <c r="G80" s="785">
        <v>-5.4000000000000003E-3</v>
      </c>
      <c r="H80" s="237">
        <v>0.183</v>
      </c>
      <c r="I80" s="226">
        <v>0.184</v>
      </c>
      <c r="J80" s="280">
        <v>0.182</v>
      </c>
      <c r="K80" s="230">
        <v>0.184</v>
      </c>
      <c r="L80" s="244">
        <v>7278705</v>
      </c>
      <c r="M80" s="783">
        <v>3967206367</v>
      </c>
      <c r="N80" s="244">
        <v>592</v>
      </c>
      <c r="O80" s="273">
        <v>45406.68309027778</v>
      </c>
      <c r="P80" s="282">
        <v>79</v>
      </c>
      <c r="Q80" s="260">
        <v>0</v>
      </c>
      <c r="R80" s="558">
        <v>0</v>
      </c>
      <c r="S80" s="572">
        <v>0</v>
      </c>
      <c r="T80" s="241">
        <v>0</v>
      </c>
      <c r="U80" s="441"/>
      <c r="V80" s="351">
        <v>0</v>
      </c>
      <c r="W80" s="367">
        <f t="shared" si="32"/>
        <v>0</v>
      </c>
      <c r="X80" s="567"/>
      <c r="Y80" s="535">
        <f>IF(D80&lt;&gt;0,($C81*(1-$V$1))-$D80,0)</f>
        <v>-1.0000000000000009E-3</v>
      </c>
      <c r="Z80" s="536">
        <f>IFERROR(IF(C80&lt;&gt;"",$Y$1/(D76/100)*(C80/100),""),"")</f>
        <v>99.056603773584882</v>
      </c>
      <c r="AA80" s="537">
        <f>IFERROR($Z$1/(D80/100)*(C76/100),"")</f>
        <v>100655.73770491802</v>
      </c>
      <c r="AB80" s="38"/>
      <c r="AC80"/>
    </row>
    <row r="81" spans="1:29" ht="12.75" customHeight="1">
      <c r="A81" s="741" t="s">
        <v>587</v>
      </c>
      <c r="B81" s="763">
        <v>110820</v>
      </c>
      <c r="C81" s="743">
        <v>0.182</v>
      </c>
      <c r="D81" s="744">
        <v>0.184</v>
      </c>
      <c r="E81" s="764">
        <v>260190</v>
      </c>
      <c r="F81" s="802">
        <v>0.183</v>
      </c>
      <c r="G81" s="791">
        <v>-5.4000000000000003E-3</v>
      </c>
      <c r="H81" s="746">
        <v>0.183</v>
      </c>
      <c r="I81" s="747">
        <v>0.187</v>
      </c>
      <c r="J81" s="748">
        <v>0.18099999999999999</v>
      </c>
      <c r="K81" s="749">
        <v>0.184</v>
      </c>
      <c r="L81" s="750">
        <v>8582</v>
      </c>
      <c r="M81" s="784">
        <v>4675199</v>
      </c>
      <c r="N81" s="750">
        <v>33</v>
      </c>
      <c r="O81" s="751">
        <v>45406.705740740741</v>
      </c>
      <c r="P81" s="752">
        <v>80</v>
      </c>
      <c r="Q81" s="753">
        <v>0</v>
      </c>
      <c r="R81" s="754">
        <v>0</v>
      </c>
      <c r="S81" s="755">
        <v>0</v>
      </c>
      <c r="T81" s="756">
        <v>0</v>
      </c>
      <c r="U81" s="440"/>
      <c r="V81" s="348">
        <v>0</v>
      </c>
      <c r="W81" s="723">
        <f>V80*(F80/100)</f>
        <v>0</v>
      </c>
      <c r="X81" s="585"/>
      <c r="Y81" s="715">
        <f>IFERROR(INT($Z$1/(F80/100)),"")</f>
        <v>54644</v>
      </c>
      <c r="Z81" s="716">
        <f>IFERROR(IF(C81&lt;&gt;"",$Y$1/(D77/100)*(C81/100),""),"")</f>
        <v>99.336659535893048</v>
      </c>
      <c r="AA81" s="717">
        <f>IFERROR($Z$1/(D81/100)*(C77/100),"")</f>
        <v>99457.065217391311</v>
      </c>
      <c r="AB81" s="38"/>
      <c r="AC81"/>
    </row>
    <row r="82" spans="1:29" ht="12.75" customHeight="1">
      <c r="A82" s="768" t="s">
        <v>596</v>
      </c>
      <c r="B82" s="245">
        <v>250000</v>
      </c>
      <c r="C82" s="298">
        <v>118.6</v>
      </c>
      <c r="D82" s="252">
        <v>121.99</v>
      </c>
      <c r="E82" s="505">
        <v>561167</v>
      </c>
      <c r="F82" s="800">
        <v>121.7</v>
      </c>
      <c r="G82" s="785">
        <v>3.15E-2</v>
      </c>
      <c r="H82" s="235">
        <v>118.5</v>
      </c>
      <c r="I82" s="227">
        <v>121.75</v>
      </c>
      <c r="J82" s="277">
        <v>117.17400000000001</v>
      </c>
      <c r="K82" s="231">
        <v>117.97799999999999</v>
      </c>
      <c r="L82" s="248">
        <v>400170380</v>
      </c>
      <c r="M82" s="597">
        <v>336986438</v>
      </c>
      <c r="N82" s="248">
        <v>136</v>
      </c>
      <c r="O82" s="271">
        <v>45406.683530092596</v>
      </c>
      <c r="P82" s="282">
        <v>81</v>
      </c>
      <c r="Q82" s="261">
        <v>0</v>
      </c>
      <c r="R82" s="550">
        <v>0</v>
      </c>
      <c r="S82" s="570">
        <v>0</v>
      </c>
      <c r="T82" s="243">
        <v>0</v>
      </c>
      <c r="U82" s="441"/>
      <c r="V82" s="339"/>
      <c r="W82" s="368">
        <f t="shared" si="32"/>
        <v>0</v>
      </c>
      <c r="X82" s="566"/>
      <c r="Y82" s="524">
        <f>IF(D82&lt;&gt;0,($C83*(1-$V$1))-$D82,0)</f>
        <v>-5.9899999999999949</v>
      </c>
      <c r="Z82" s="526"/>
      <c r="AA82" s="527"/>
      <c r="AB82" s="38"/>
      <c r="AC82"/>
    </row>
    <row r="83" spans="1:29" ht="12.75" customHeight="1">
      <c r="A83" s="426" t="s">
        <v>677</v>
      </c>
      <c r="B83" s="510">
        <v>119993</v>
      </c>
      <c r="C83" s="236">
        <v>116</v>
      </c>
      <c r="D83" s="352">
        <v>120.5</v>
      </c>
      <c r="E83" s="515">
        <v>100000</v>
      </c>
      <c r="F83" s="794">
        <v>119</v>
      </c>
      <c r="G83" s="786">
        <v>2.58E-2</v>
      </c>
      <c r="H83" s="234">
        <v>119</v>
      </c>
      <c r="I83" s="225">
        <v>119</v>
      </c>
      <c r="J83" s="275">
        <v>116</v>
      </c>
      <c r="K83" s="229">
        <v>116</v>
      </c>
      <c r="L83" s="232">
        <v>238008</v>
      </c>
      <c r="M83" s="598">
        <v>200007</v>
      </c>
      <c r="N83" s="232">
        <v>3</v>
      </c>
      <c r="O83" s="272">
        <v>45406.678425925929</v>
      </c>
      <c r="P83" s="281">
        <v>82</v>
      </c>
      <c r="Q83" s="259">
        <v>0</v>
      </c>
      <c r="R83" s="549">
        <v>0</v>
      </c>
      <c r="S83" s="571">
        <v>0</v>
      </c>
      <c r="T83" s="242">
        <v>0</v>
      </c>
      <c r="U83" s="440"/>
      <c r="V83" s="338"/>
      <c r="W83" s="364">
        <f>V82*(D83/100)</f>
        <v>0</v>
      </c>
      <c r="X83" s="565"/>
      <c r="Y83" s="448">
        <f>IFERROR(INT($Y$1/(F82/100)),"")</f>
        <v>83417</v>
      </c>
      <c r="Z83" s="528"/>
      <c r="AA83" s="529"/>
      <c r="AB83" s="38"/>
      <c r="AC83"/>
    </row>
    <row r="84" spans="1:29" ht="12.75" customHeight="1">
      <c r="A84" s="767" t="s">
        <v>598</v>
      </c>
      <c r="B84" s="245"/>
      <c r="C84" s="298"/>
      <c r="D84" s="252"/>
      <c r="E84" s="505"/>
      <c r="F84" s="800"/>
      <c r="G84" s="785"/>
      <c r="H84" s="237"/>
      <c r="I84" s="226"/>
      <c r="J84" s="280"/>
      <c r="K84" s="230"/>
      <c r="L84" s="244"/>
      <c r="M84" s="783"/>
      <c r="N84" s="244"/>
      <c r="O84" s="273"/>
      <c r="P84" s="282">
        <v>83</v>
      </c>
      <c r="Q84" s="260">
        <v>0</v>
      </c>
      <c r="R84" s="558">
        <v>0</v>
      </c>
      <c r="S84" s="572">
        <v>0</v>
      </c>
      <c r="T84" s="241">
        <v>0</v>
      </c>
      <c r="U84" s="441"/>
      <c r="V84" s="295"/>
      <c r="W84" s="365">
        <f t="shared" ref="W84" si="36">(V84*X84)</f>
        <v>0</v>
      </c>
      <c r="X84" s="569"/>
      <c r="Y84" s="530">
        <f>IF(D84&lt;&gt;0,($C85*(1-$V$1))-$D84,0)</f>
        <v>0</v>
      </c>
      <c r="Z84" s="531" t="str">
        <f>IFERROR(IF(C84&lt;&gt;"",$Y$1/(D82/100)*(C84/100),""),"")</f>
        <v/>
      </c>
      <c r="AA84" s="532" t="str">
        <f>IFERROR($AA$1/(D84/100)*(C82/100),"")</f>
        <v/>
      </c>
      <c r="AB84" s="38"/>
      <c r="AC84"/>
    </row>
    <row r="85" spans="1:29" ht="12.75" customHeight="1">
      <c r="A85" s="426" t="s">
        <v>599</v>
      </c>
      <c r="B85" s="510"/>
      <c r="C85" s="236"/>
      <c r="D85" s="352"/>
      <c r="E85" s="515"/>
      <c r="F85" s="794"/>
      <c r="G85" s="786"/>
      <c r="H85" s="234"/>
      <c r="I85" s="225"/>
      <c r="J85" s="275"/>
      <c r="K85" s="229"/>
      <c r="L85" s="232"/>
      <c r="M85" s="598"/>
      <c r="N85" s="232"/>
      <c r="O85" s="272"/>
      <c r="P85" s="281">
        <v>84</v>
      </c>
      <c r="Q85" s="259">
        <v>0</v>
      </c>
      <c r="R85" s="549">
        <v>0</v>
      </c>
      <c r="S85" s="571">
        <v>0</v>
      </c>
      <c r="T85" s="242">
        <v>0</v>
      </c>
      <c r="U85" s="440"/>
      <c r="V85" s="294">
        <v>0</v>
      </c>
      <c r="W85" s="366">
        <f>V84*(F84/100)</f>
        <v>0</v>
      </c>
      <c r="X85" s="565"/>
      <c r="Y85" s="449" t="str">
        <f>IFERROR(INT($AA$1/(F84/100)),"")</f>
        <v/>
      </c>
      <c r="Z85" s="533" t="str">
        <f>IFERROR(IF(C85&lt;&gt;"",$Y$1/(D83/100)*(C85/100),""),"")</f>
        <v/>
      </c>
      <c r="AA85" s="534" t="str">
        <f>IFERROR($AA$1/(D85/100)*(C83/100),"")</f>
        <v/>
      </c>
      <c r="AB85" s="38"/>
      <c r="AC85"/>
    </row>
    <row r="86" spans="1:29" ht="12.75" customHeight="1">
      <c r="A86" s="767" t="s">
        <v>600</v>
      </c>
      <c r="B86" s="245">
        <v>8616112</v>
      </c>
      <c r="C86" s="298">
        <v>0.115</v>
      </c>
      <c r="D86" s="252"/>
      <c r="E86" s="505"/>
      <c r="F86" s="800"/>
      <c r="G86" s="785"/>
      <c r="H86" s="237"/>
      <c r="I86" s="226"/>
      <c r="J86" s="280"/>
      <c r="K86" s="230">
        <v>0.109</v>
      </c>
      <c r="L86" s="244"/>
      <c r="M86" s="783"/>
      <c r="N86" s="244"/>
      <c r="O86" s="273"/>
      <c r="P86" s="282">
        <v>85</v>
      </c>
      <c r="Q86" s="260">
        <v>0</v>
      </c>
      <c r="R86" s="558">
        <v>0</v>
      </c>
      <c r="S86" s="572">
        <v>0</v>
      </c>
      <c r="T86" s="241">
        <v>0</v>
      </c>
      <c r="U86" s="441"/>
      <c r="V86" s="336">
        <v>0</v>
      </c>
      <c r="W86" s="367">
        <f t="shared" ref="W86" si="37">(V86*X86)</f>
        <v>0</v>
      </c>
      <c r="X86" s="567"/>
      <c r="Y86" s="535">
        <f>IF(D86&lt;&gt;0,($C87*(1-$V$1))-$D86,0)</f>
        <v>0</v>
      </c>
      <c r="Z86" s="536">
        <f>IFERROR(IF(C86&lt;&gt;"",$Y$1/(D82/100)*(C86/100),""),"")</f>
        <v>95.702301474760844</v>
      </c>
      <c r="AA86" s="537" t="str">
        <f>IFERROR($Z$1/(D86/100)*(C82/100),"")</f>
        <v/>
      </c>
      <c r="AB86" s="38"/>
      <c r="AC86"/>
    </row>
    <row r="87" spans="1:29" ht="12.75" customHeight="1">
      <c r="A87" s="741" t="s">
        <v>601</v>
      </c>
      <c r="B87" s="763"/>
      <c r="C87" s="743"/>
      <c r="D87" s="744"/>
      <c r="E87" s="764"/>
      <c r="F87" s="802"/>
      <c r="G87" s="791"/>
      <c r="H87" s="746"/>
      <c r="I87" s="747"/>
      <c r="J87" s="748"/>
      <c r="K87" s="749"/>
      <c r="L87" s="750"/>
      <c r="M87" s="784"/>
      <c r="N87" s="750"/>
      <c r="O87" s="751"/>
      <c r="P87" s="752">
        <v>86</v>
      </c>
      <c r="Q87" s="753">
        <v>0</v>
      </c>
      <c r="R87" s="754">
        <v>0</v>
      </c>
      <c r="S87" s="755">
        <v>0</v>
      </c>
      <c r="T87" s="756">
        <v>0</v>
      </c>
      <c r="U87" s="440"/>
      <c r="V87" s="337">
        <v>0</v>
      </c>
      <c r="W87" s="721">
        <f>V86*(F86/100)</f>
        <v>0</v>
      </c>
      <c r="X87" s="585"/>
      <c r="Y87" s="715" t="str">
        <f>IFERROR(INT($Z$1/(F86/100)),"")</f>
        <v/>
      </c>
      <c r="Z87" s="716" t="str">
        <f>IFERROR(IF(C87&lt;&gt;"",$Y$1/(D83/100)*(C87/100),""),"")</f>
        <v/>
      </c>
      <c r="AA87" s="717" t="str">
        <f>IFERROR($Z$1/(D87/100)*(C83/100),"")</f>
        <v/>
      </c>
      <c r="AB87" s="38"/>
      <c r="AC87"/>
    </row>
    <row r="88" spans="1:29" ht="12.75" customHeight="1">
      <c r="A88" s="768" t="s">
        <v>568</v>
      </c>
      <c r="B88" s="245"/>
      <c r="C88" s="298"/>
      <c r="D88" s="252"/>
      <c r="E88" s="505"/>
      <c r="F88" s="800"/>
      <c r="G88" s="785"/>
      <c r="H88" s="235"/>
      <c r="I88" s="227"/>
      <c r="J88" s="277"/>
      <c r="K88" s="231"/>
      <c r="L88" s="248"/>
      <c r="M88" s="597"/>
      <c r="N88" s="248"/>
      <c r="O88" s="271"/>
      <c r="P88" s="282">
        <v>87</v>
      </c>
      <c r="Q88" s="261">
        <v>0</v>
      </c>
      <c r="R88" s="550">
        <v>0</v>
      </c>
      <c r="S88" s="570">
        <v>0</v>
      </c>
      <c r="T88" s="243">
        <v>0</v>
      </c>
      <c r="U88" s="441"/>
      <c r="V88" s="339"/>
      <c r="W88" s="368">
        <f t="shared" ref="W88" si="38">(V88*X88)</f>
        <v>0</v>
      </c>
      <c r="X88" s="566"/>
      <c r="Y88" s="524">
        <f>IF(D88&lt;&gt;0,($C89*(1-$V$1))-$D88,0)</f>
        <v>0</v>
      </c>
      <c r="Z88" s="526"/>
      <c r="AA88" s="527"/>
      <c r="AB88" s="38"/>
      <c r="AC88"/>
    </row>
    <row r="89" spans="1:29" ht="12.75" customHeight="1">
      <c r="A89" s="426" t="s">
        <v>569</v>
      </c>
      <c r="B89" s="510"/>
      <c r="C89" s="236"/>
      <c r="D89" s="352"/>
      <c r="E89" s="515"/>
      <c r="F89" s="794"/>
      <c r="G89" s="786"/>
      <c r="H89" s="234"/>
      <c r="I89" s="225"/>
      <c r="J89" s="275"/>
      <c r="K89" s="229"/>
      <c r="L89" s="232"/>
      <c r="M89" s="598"/>
      <c r="N89" s="232"/>
      <c r="O89" s="272"/>
      <c r="P89" s="281">
        <v>88</v>
      </c>
      <c r="Q89" s="259">
        <v>0</v>
      </c>
      <c r="R89" s="549">
        <v>0</v>
      </c>
      <c r="S89" s="571">
        <v>0</v>
      </c>
      <c r="T89" s="242">
        <v>0</v>
      </c>
      <c r="U89" s="440"/>
      <c r="V89" s="338">
        <v>0</v>
      </c>
      <c r="W89" s="364">
        <f>V88*(F88/100)</f>
        <v>0</v>
      </c>
      <c r="X89" s="565"/>
      <c r="Y89" s="448" t="str">
        <f>IFERROR(INT($Y$1/(F88/100)),"")</f>
        <v/>
      </c>
      <c r="Z89" s="528"/>
      <c r="AA89" s="529"/>
      <c r="AB89" s="38"/>
      <c r="AC89"/>
    </row>
    <row r="90" spans="1:29" ht="12.75" customHeight="1">
      <c r="A90" s="767" t="s">
        <v>570</v>
      </c>
      <c r="B90" s="245"/>
      <c r="C90" s="298"/>
      <c r="D90" s="252"/>
      <c r="E90" s="505"/>
      <c r="F90" s="800"/>
      <c r="G90" s="785"/>
      <c r="H90" s="237"/>
      <c r="I90" s="226"/>
      <c r="J90" s="226"/>
      <c r="K90" s="257"/>
      <c r="L90" s="244"/>
      <c r="M90" s="783"/>
      <c r="N90" s="244"/>
      <c r="O90" s="273"/>
      <c r="P90" s="282">
        <v>89</v>
      </c>
      <c r="Q90" s="260">
        <v>0</v>
      </c>
      <c r="R90" s="558">
        <v>0</v>
      </c>
      <c r="S90" s="572">
        <v>0</v>
      </c>
      <c r="T90" s="241">
        <v>0</v>
      </c>
      <c r="U90" s="441"/>
      <c r="V90" s="295"/>
      <c r="W90" s="365">
        <f t="shared" ref="W90" si="39">(V90*X90)</f>
        <v>0</v>
      </c>
      <c r="X90" s="569"/>
      <c r="Y90" s="530">
        <f>IF(D90&lt;&gt;0,($C91*(1-$V$1))-$D90,0)</f>
        <v>0</v>
      </c>
      <c r="Z90" s="531" t="str">
        <f>IFERROR(IF(C90&lt;&gt;"",$Y$1/(D88/100)*(C90/100),""),"")</f>
        <v/>
      </c>
      <c r="AA90" s="532" t="str">
        <f>IFERROR($AA$1/(D90/100)*(C88/100),"")</f>
        <v/>
      </c>
      <c r="AB90" s="38"/>
      <c r="AC90"/>
    </row>
    <row r="91" spans="1:29" ht="12.75" customHeight="1">
      <c r="A91" s="426" t="s">
        <v>571</v>
      </c>
      <c r="B91" s="510"/>
      <c r="C91" s="236"/>
      <c r="D91" s="352"/>
      <c r="E91" s="515"/>
      <c r="F91" s="794"/>
      <c r="G91" s="786"/>
      <c r="H91" s="234"/>
      <c r="I91" s="225"/>
      <c r="J91" s="225"/>
      <c r="K91" s="254"/>
      <c r="L91" s="232"/>
      <c r="M91" s="598"/>
      <c r="N91" s="232"/>
      <c r="O91" s="272"/>
      <c r="P91" s="281">
        <v>90</v>
      </c>
      <c r="Q91" s="259">
        <v>0</v>
      </c>
      <c r="R91" s="549">
        <v>0</v>
      </c>
      <c r="S91" s="571">
        <v>0</v>
      </c>
      <c r="T91" s="242">
        <v>0</v>
      </c>
      <c r="U91" s="440"/>
      <c r="V91" s="294">
        <v>0</v>
      </c>
      <c r="W91" s="366">
        <f>V90*(F90/100)</f>
        <v>0</v>
      </c>
      <c r="X91" s="565"/>
      <c r="Y91" s="449" t="str">
        <f>IFERROR(INT($AA$1/(F90/100)),"")</f>
        <v/>
      </c>
      <c r="Z91" s="533" t="str">
        <f>IFERROR(IF(C91&lt;&gt;"",$Y$1/(D89/100)*(C91/100),""),"")</f>
        <v/>
      </c>
      <c r="AA91" s="534" t="str">
        <f>IFERROR($AA$1/(D91/100)*(C89/100),"")</f>
        <v/>
      </c>
      <c r="AB91" s="38"/>
      <c r="AC91"/>
    </row>
    <row r="92" spans="1:29" ht="12.75" customHeight="1">
      <c r="A92" s="767" t="s">
        <v>572</v>
      </c>
      <c r="B92" s="245"/>
      <c r="C92" s="298"/>
      <c r="D92" s="252"/>
      <c r="E92" s="505"/>
      <c r="F92" s="800"/>
      <c r="G92" s="785"/>
      <c r="H92" s="237"/>
      <c r="I92" s="226"/>
      <c r="J92" s="226"/>
      <c r="K92" s="257"/>
      <c r="L92" s="244"/>
      <c r="M92" s="783"/>
      <c r="N92" s="244"/>
      <c r="O92" s="273"/>
      <c r="P92" s="282">
        <v>91</v>
      </c>
      <c r="Q92" s="260">
        <v>0</v>
      </c>
      <c r="R92" s="558">
        <v>0</v>
      </c>
      <c r="S92" s="572">
        <v>0</v>
      </c>
      <c r="T92" s="241">
        <v>0</v>
      </c>
      <c r="U92" s="441"/>
      <c r="V92" s="336">
        <v>0</v>
      </c>
      <c r="W92" s="367">
        <f t="shared" ref="W92" si="40">(V92*X92)</f>
        <v>0</v>
      </c>
      <c r="X92" s="567"/>
      <c r="Y92" s="535">
        <f>IF(D92&lt;&gt;0,($C93*(1-$V$1))-$D92,0)</f>
        <v>0</v>
      </c>
      <c r="Z92" s="536" t="str">
        <f>IFERROR(IF(C92&lt;&gt;"",$Y$1/(D88/100)*(C92/100),""),"")</f>
        <v/>
      </c>
      <c r="AA92" s="537" t="str">
        <f>IFERROR($Z$1/(D92/100)*(C88/100),"")</f>
        <v/>
      </c>
      <c r="AB92" s="38"/>
      <c r="AC92"/>
    </row>
    <row r="93" spans="1:29" ht="12.75" customHeight="1">
      <c r="A93" s="741" t="s">
        <v>573</v>
      </c>
      <c r="B93" s="763"/>
      <c r="C93" s="743"/>
      <c r="D93" s="744"/>
      <c r="E93" s="764"/>
      <c r="F93" s="802"/>
      <c r="G93" s="791"/>
      <c r="H93" s="746"/>
      <c r="I93" s="747"/>
      <c r="J93" s="747"/>
      <c r="K93" s="765"/>
      <c r="L93" s="750"/>
      <c r="M93" s="784"/>
      <c r="N93" s="750"/>
      <c r="O93" s="751"/>
      <c r="P93" s="752">
        <v>92</v>
      </c>
      <c r="Q93" s="753">
        <v>0</v>
      </c>
      <c r="R93" s="754">
        <v>0</v>
      </c>
      <c r="S93" s="755">
        <v>0</v>
      </c>
      <c r="T93" s="756">
        <v>0</v>
      </c>
      <c r="U93" s="440"/>
      <c r="V93" s="337">
        <v>0</v>
      </c>
      <c r="W93" s="721">
        <f>V92*(F92/100)</f>
        <v>0</v>
      </c>
      <c r="X93" s="585"/>
      <c r="Y93" s="715" t="str">
        <f>IFERROR(INT($Z$1/(F92/100)),"")</f>
        <v/>
      </c>
      <c r="Z93" s="716" t="str">
        <f>IFERROR(IF(C93&lt;&gt;"",$Y$1/(D89/100)*(C93/100),""),"")</f>
        <v/>
      </c>
      <c r="AA93" s="717" t="str">
        <f>IFERROR($Z$1/(D93/100)*(C89/100),"")</f>
        <v/>
      </c>
      <c r="AB93" s="38"/>
      <c r="AC93"/>
    </row>
    <row r="94" spans="1:29" ht="12.75" customHeight="1">
      <c r="A94" s="768" t="s">
        <v>535</v>
      </c>
      <c r="B94" s="245">
        <v>27</v>
      </c>
      <c r="C94" s="298">
        <v>46895</v>
      </c>
      <c r="D94" s="252">
        <v>46960</v>
      </c>
      <c r="E94" s="505">
        <v>43</v>
      </c>
      <c r="F94" s="800">
        <v>46650</v>
      </c>
      <c r="G94" s="785">
        <v>-1.0800000000000001E-2</v>
      </c>
      <c r="H94" s="235">
        <v>46990</v>
      </c>
      <c r="I94" s="227">
        <v>47100</v>
      </c>
      <c r="J94" s="227">
        <v>46000</v>
      </c>
      <c r="K94" s="256">
        <v>47160</v>
      </c>
      <c r="L94" s="248">
        <v>18102029</v>
      </c>
      <c r="M94" s="597">
        <v>38663</v>
      </c>
      <c r="N94" s="248">
        <v>99</v>
      </c>
      <c r="O94" s="271">
        <v>45401.683981481481</v>
      </c>
      <c r="P94" s="282">
        <v>93</v>
      </c>
      <c r="Q94" s="261">
        <v>0</v>
      </c>
      <c r="R94" s="550">
        <v>0</v>
      </c>
      <c r="S94" s="570">
        <v>0</v>
      </c>
      <c r="T94" s="243">
        <v>0</v>
      </c>
      <c r="U94" s="441"/>
      <c r="V94" s="339">
        <v>0</v>
      </c>
      <c r="W94" s="368">
        <f t="shared" ref="W94" si="41">(V94*X94)</f>
        <v>0</v>
      </c>
      <c r="X94" s="566"/>
      <c r="Y94" s="524">
        <f>IF(D94&lt;&gt;0,($C95*(1-$V$1))-$D94,0)</f>
        <v>-20</v>
      </c>
      <c r="Z94" s="526"/>
      <c r="AA94" s="527"/>
      <c r="AB94" s="38"/>
      <c r="AC94"/>
    </row>
    <row r="95" spans="1:29" ht="12.75" customHeight="1">
      <c r="A95" s="426" t="s">
        <v>536</v>
      </c>
      <c r="B95" s="510">
        <v>517</v>
      </c>
      <c r="C95" s="236">
        <v>46940</v>
      </c>
      <c r="D95" s="352">
        <v>46960</v>
      </c>
      <c r="E95" s="515">
        <v>5956</v>
      </c>
      <c r="F95" s="794">
        <v>46960</v>
      </c>
      <c r="G95" s="786">
        <v>-2.0000000000000001E-4</v>
      </c>
      <c r="H95" s="234">
        <v>46990</v>
      </c>
      <c r="I95" s="225">
        <v>47300</v>
      </c>
      <c r="J95" s="225">
        <v>46160</v>
      </c>
      <c r="K95" s="254">
        <v>46970</v>
      </c>
      <c r="L95" s="232">
        <v>283545541</v>
      </c>
      <c r="M95" s="598">
        <v>603117</v>
      </c>
      <c r="N95" s="232">
        <v>397</v>
      </c>
      <c r="O95" s="272">
        <v>45401.708587962959</v>
      </c>
      <c r="P95" s="281">
        <v>94</v>
      </c>
      <c r="Q95" s="259">
        <v>0</v>
      </c>
      <c r="R95" s="549">
        <v>0</v>
      </c>
      <c r="S95" s="571">
        <v>0</v>
      </c>
      <c r="T95" s="242">
        <v>0</v>
      </c>
      <c r="U95" s="440"/>
      <c r="V95" s="338">
        <v>0</v>
      </c>
      <c r="W95" s="364">
        <f>V94*(F94/100)</f>
        <v>0</v>
      </c>
      <c r="X95" s="565"/>
      <c r="Y95" s="448">
        <f>IFERROR(INT($Y$1/(F94/100)),"")</f>
        <v>217</v>
      </c>
      <c r="Z95" s="528"/>
      <c r="AA95" s="529"/>
      <c r="AB95" s="38"/>
      <c r="AC95"/>
    </row>
    <row r="96" spans="1:29" ht="12.75" customHeight="1">
      <c r="A96" s="767" t="s">
        <v>537</v>
      </c>
      <c r="B96" s="245"/>
      <c r="C96" s="298"/>
      <c r="D96" s="252"/>
      <c r="E96" s="505"/>
      <c r="F96" s="800"/>
      <c r="G96" s="785"/>
      <c r="H96" s="237"/>
      <c r="I96" s="226"/>
      <c r="J96" s="226"/>
      <c r="K96" s="257">
        <v>38.42</v>
      </c>
      <c r="L96" s="244"/>
      <c r="M96" s="783"/>
      <c r="N96" s="244"/>
      <c r="O96" s="273"/>
      <c r="P96" s="282">
        <v>95</v>
      </c>
      <c r="Q96" s="260">
        <v>0</v>
      </c>
      <c r="R96" s="558">
        <v>0</v>
      </c>
      <c r="S96" s="572">
        <v>0</v>
      </c>
      <c r="T96" s="241">
        <v>0</v>
      </c>
      <c r="U96" s="441"/>
      <c r="V96" s="295"/>
      <c r="W96" s="365">
        <f t="shared" ref="W96" si="42">(V96*X96)</f>
        <v>0</v>
      </c>
      <c r="X96" s="569"/>
      <c r="Y96" s="530">
        <f>IF(D96&lt;&gt;0,($C97*(1-$V$1))-$D96,0)</f>
        <v>0</v>
      </c>
      <c r="Z96" s="531" t="str">
        <f>IFERROR(IF(C96&lt;&gt;"",$Y$1/(D94/100)*(C96/100),""),"")</f>
        <v/>
      </c>
      <c r="AA96" s="532" t="str">
        <f>IFERROR($AA$1/(D96/100)*(C94/100),"")</f>
        <v/>
      </c>
      <c r="AB96" s="38"/>
      <c r="AC96"/>
    </row>
    <row r="97" spans="1:29" ht="12.75" customHeight="1">
      <c r="A97" s="426" t="s">
        <v>538</v>
      </c>
      <c r="B97" s="510"/>
      <c r="C97" s="236"/>
      <c r="D97" s="352"/>
      <c r="E97" s="515"/>
      <c r="F97" s="794"/>
      <c r="G97" s="786"/>
      <c r="H97" s="234"/>
      <c r="I97" s="225"/>
      <c r="J97" s="225"/>
      <c r="K97" s="254">
        <v>44</v>
      </c>
      <c r="L97" s="232"/>
      <c r="M97" s="598"/>
      <c r="N97" s="232"/>
      <c r="O97" s="272"/>
      <c r="P97" s="281">
        <v>96</v>
      </c>
      <c r="Q97" s="259">
        <v>0</v>
      </c>
      <c r="R97" s="549">
        <v>0</v>
      </c>
      <c r="S97" s="571">
        <v>0</v>
      </c>
      <c r="T97" s="242">
        <v>0</v>
      </c>
      <c r="U97" s="440"/>
      <c r="V97" s="294">
        <v>0</v>
      </c>
      <c r="W97" s="366">
        <f>V96*(F96/100)</f>
        <v>0</v>
      </c>
      <c r="X97" s="565"/>
      <c r="Y97" s="449" t="str">
        <f>IFERROR(INT($AA$1/(F96/100)),"")</f>
        <v/>
      </c>
      <c r="Z97" s="533" t="str">
        <f>IFERROR(IF(C97&lt;&gt;"",$Y$1/(D95/100)*(C97/100),""),"")</f>
        <v/>
      </c>
      <c r="AA97" s="534" t="str">
        <f>IFERROR($AA$1/(D97/100)*(C95/100),"")</f>
        <v/>
      </c>
      <c r="AB97" s="38"/>
    </row>
    <row r="98" spans="1:29" ht="12.75" customHeight="1">
      <c r="A98" s="767" t="s">
        <v>539</v>
      </c>
      <c r="B98" s="245">
        <v>93</v>
      </c>
      <c r="C98" s="298">
        <v>46</v>
      </c>
      <c r="D98" s="252">
        <v>46.75</v>
      </c>
      <c r="E98" s="505">
        <v>8</v>
      </c>
      <c r="F98" s="800">
        <v>45.8</v>
      </c>
      <c r="G98" s="785">
        <v>-2.0299999999999999E-2</v>
      </c>
      <c r="H98" s="237">
        <v>46.95</v>
      </c>
      <c r="I98" s="226">
        <v>46.95</v>
      </c>
      <c r="J98" s="226">
        <v>45.350999999999999</v>
      </c>
      <c r="K98" s="257">
        <v>46.75</v>
      </c>
      <c r="L98" s="244">
        <v>2507</v>
      </c>
      <c r="M98" s="783">
        <v>5437</v>
      </c>
      <c r="N98" s="244">
        <v>11</v>
      </c>
      <c r="O98" s="273">
        <v>45401.635810185187</v>
      </c>
      <c r="P98" s="282">
        <v>97</v>
      </c>
      <c r="Q98" s="260">
        <v>0</v>
      </c>
      <c r="R98" s="558">
        <v>0</v>
      </c>
      <c r="S98" s="572">
        <v>0</v>
      </c>
      <c r="T98" s="241">
        <v>0</v>
      </c>
      <c r="U98" s="441"/>
      <c r="V98" s="336">
        <v>0</v>
      </c>
      <c r="W98" s="367">
        <f t="shared" ref="W98" si="43">(V98*X98)</f>
        <v>0</v>
      </c>
      <c r="X98" s="567"/>
      <c r="Y98" s="535">
        <f>IF(D98&lt;&gt;0,($C99*(1-$V$1))-$D98,0)</f>
        <v>-0.60999999999999943</v>
      </c>
      <c r="Z98" s="536">
        <f>IFERROR(IF(C98&lt;&gt;"",$Y$1/(D94/100)*(C98/100),""),"")</f>
        <v>99.443984300733192</v>
      </c>
      <c r="AA98" s="537">
        <f>IFERROR($Z$1/(D98/100)*(C94/100),"")</f>
        <v>100310.16042780747</v>
      </c>
      <c r="AB98" s="38"/>
      <c r="AC98" s="11"/>
    </row>
    <row r="99" spans="1:29" ht="12.75" customHeight="1">
      <c r="A99" s="741" t="s">
        <v>540</v>
      </c>
      <c r="B99" s="763">
        <v>321</v>
      </c>
      <c r="C99" s="743">
        <v>46.14</v>
      </c>
      <c r="D99" s="744">
        <v>46.15</v>
      </c>
      <c r="E99" s="764">
        <v>6598</v>
      </c>
      <c r="F99" s="802">
        <v>46.15</v>
      </c>
      <c r="G99" s="791">
        <v>3.2000000000000002E-3</v>
      </c>
      <c r="H99" s="746">
        <v>46.899000000000001</v>
      </c>
      <c r="I99" s="747">
        <v>46.9</v>
      </c>
      <c r="J99" s="747">
        <v>44.32</v>
      </c>
      <c r="K99" s="765">
        <v>46</v>
      </c>
      <c r="L99" s="750">
        <v>146120</v>
      </c>
      <c r="M99" s="784">
        <v>316887</v>
      </c>
      <c r="N99" s="750">
        <v>92</v>
      </c>
      <c r="O99" s="751">
        <v>45401.708414351851</v>
      </c>
      <c r="P99" s="752">
        <v>98</v>
      </c>
      <c r="Q99" s="753">
        <v>0</v>
      </c>
      <c r="R99" s="754">
        <v>0</v>
      </c>
      <c r="S99" s="755">
        <v>0</v>
      </c>
      <c r="T99" s="756">
        <v>0</v>
      </c>
      <c r="U99" s="440"/>
      <c r="V99" s="337">
        <v>0</v>
      </c>
      <c r="W99" s="721">
        <f>V98*(F98/100)</f>
        <v>0</v>
      </c>
      <c r="X99" s="585"/>
      <c r="Y99" s="715">
        <f>IFERROR(INT($Z$1/(F98/100)),"")</f>
        <v>218</v>
      </c>
      <c r="Z99" s="716">
        <f>IFERROR(IF(C99&lt;&gt;"",$Y$1/(D95/100)*(C99/100),""),"")</f>
        <v>99.746639905126727</v>
      </c>
      <c r="AA99" s="717">
        <f>IFERROR($Z$1/(D99/100)*(C95/100),"")</f>
        <v>101711.80931744313</v>
      </c>
      <c r="AB99" s="38"/>
      <c r="AC99" s="11"/>
    </row>
    <row r="100" spans="1:29" ht="12.75" customHeight="1">
      <c r="A100" s="768" t="s">
        <v>576</v>
      </c>
      <c r="B100" s="245"/>
      <c r="C100" s="298"/>
      <c r="D100" s="252"/>
      <c r="E100" s="505"/>
      <c r="F100" s="800"/>
      <c r="G100" s="785"/>
      <c r="H100" s="235"/>
      <c r="I100" s="227"/>
      <c r="J100" s="227"/>
      <c r="K100" s="256"/>
      <c r="L100" s="248"/>
      <c r="M100" s="597"/>
      <c r="N100" s="248"/>
      <c r="O100" s="271"/>
      <c r="P100" s="282">
        <v>99</v>
      </c>
      <c r="Q100" s="261">
        <v>0</v>
      </c>
      <c r="R100" s="550">
        <v>0</v>
      </c>
      <c r="S100" s="570">
        <v>0</v>
      </c>
      <c r="T100" s="243">
        <v>0</v>
      </c>
      <c r="U100" s="441"/>
      <c r="V100" s="339">
        <v>0</v>
      </c>
      <c r="W100" s="368">
        <f t="shared" ref="W100" si="44">(V100*X100)</f>
        <v>0</v>
      </c>
      <c r="X100" s="566"/>
      <c r="Y100" s="524">
        <f>IF(D100&lt;&gt;0,($C101*(1-$V$1))-$D100,0)</f>
        <v>0</v>
      </c>
      <c r="Z100" s="526"/>
      <c r="AA100" s="527"/>
      <c r="AB100" s="38"/>
      <c r="AC100" s="11"/>
    </row>
    <row r="101" spans="1:29" ht="12.75" customHeight="1">
      <c r="A101" s="426" t="s">
        <v>577</v>
      </c>
      <c r="B101" s="510"/>
      <c r="C101" s="236"/>
      <c r="D101" s="352"/>
      <c r="E101" s="515"/>
      <c r="F101" s="794"/>
      <c r="G101" s="786"/>
      <c r="H101" s="234"/>
      <c r="I101" s="225"/>
      <c r="J101" s="225"/>
      <c r="K101" s="254"/>
      <c r="L101" s="232"/>
      <c r="M101" s="598"/>
      <c r="N101" s="232"/>
      <c r="O101" s="272"/>
      <c r="P101" s="281">
        <v>100</v>
      </c>
      <c r="Q101" s="259">
        <v>0</v>
      </c>
      <c r="R101" s="549">
        <v>0</v>
      </c>
      <c r="S101" s="571">
        <v>0</v>
      </c>
      <c r="T101" s="242">
        <v>0</v>
      </c>
      <c r="U101" s="440"/>
      <c r="V101" s="338">
        <v>0</v>
      </c>
      <c r="W101" s="364">
        <f>V100*(F100/100)</f>
        <v>0</v>
      </c>
      <c r="X101" s="565"/>
      <c r="Y101" s="448" t="str">
        <f>IFERROR(INT($Y$1/(F100/100)),"")</f>
        <v/>
      </c>
      <c r="Z101" s="528"/>
      <c r="AA101" s="529"/>
      <c r="AB101" s="38"/>
      <c r="AC101" s="11"/>
    </row>
    <row r="102" spans="1:29" ht="12.75" customHeight="1">
      <c r="A102" s="767" t="s">
        <v>578</v>
      </c>
      <c r="B102" s="245"/>
      <c r="C102" s="298"/>
      <c r="D102" s="252"/>
      <c r="E102" s="505"/>
      <c r="F102" s="800"/>
      <c r="G102" s="785"/>
      <c r="H102" s="237"/>
      <c r="I102" s="226"/>
      <c r="J102" s="226"/>
      <c r="K102" s="257"/>
      <c r="L102" s="244"/>
      <c r="M102" s="783"/>
      <c r="N102" s="244"/>
      <c r="O102" s="273"/>
      <c r="P102" s="282">
        <v>101</v>
      </c>
      <c r="Q102" s="260">
        <v>0</v>
      </c>
      <c r="R102" s="558">
        <v>0</v>
      </c>
      <c r="S102" s="572">
        <v>0</v>
      </c>
      <c r="T102" s="241">
        <v>0</v>
      </c>
      <c r="U102" s="441"/>
      <c r="V102" s="295"/>
      <c r="W102" s="365">
        <f t="shared" ref="W102" si="45">(V102*X102)</f>
        <v>0</v>
      </c>
      <c r="X102" s="569"/>
      <c r="Y102" s="530">
        <f>IF(D102&lt;&gt;0,($C103*(1-$V$1))-$D102,0)</f>
        <v>0</v>
      </c>
      <c r="Z102" s="531" t="str">
        <f>IFERROR(IF(C102&lt;&gt;"",$Y$1/(D100/100)*(C102/100),""),"")</f>
        <v/>
      </c>
      <c r="AA102" s="532" t="str">
        <f>IFERROR($AA$1/(D102/100)*(C100/100),"")</f>
        <v/>
      </c>
      <c r="AB102" s="38"/>
      <c r="AC102" s="11"/>
    </row>
    <row r="103" spans="1:29" ht="12.75" customHeight="1">
      <c r="A103" s="426" t="s">
        <v>579</v>
      </c>
      <c r="B103" s="510"/>
      <c r="C103" s="236"/>
      <c r="D103" s="352"/>
      <c r="E103" s="515"/>
      <c r="F103" s="794"/>
      <c r="G103" s="786"/>
      <c r="H103" s="234"/>
      <c r="I103" s="225"/>
      <c r="J103" s="225"/>
      <c r="K103" s="254"/>
      <c r="L103" s="232"/>
      <c r="M103" s="598"/>
      <c r="N103" s="232"/>
      <c r="O103" s="272"/>
      <c r="P103" s="281">
        <v>102</v>
      </c>
      <c r="Q103" s="259">
        <v>0</v>
      </c>
      <c r="R103" s="549">
        <v>0</v>
      </c>
      <c r="S103" s="571">
        <v>0</v>
      </c>
      <c r="T103" s="242">
        <v>0</v>
      </c>
      <c r="U103" s="440"/>
      <c r="V103" s="294">
        <v>0</v>
      </c>
      <c r="W103" s="366">
        <f>V102*(F102/100)</f>
        <v>0</v>
      </c>
      <c r="X103" s="565"/>
      <c r="Y103" s="449" t="str">
        <f>IFERROR(INT($AA$1/(F102/100)),"")</f>
        <v/>
      </c>
      <c r="Z103" s="533" t="str">
        <f>IFERROR(IF(C103&lt;&gt;"",$Y$1/(D101/100)*(C103/100),""),"")</f>
        <v/>
      </c>
      <c r="AA103" s="534" t="str">
        <f>IFERROR($AA$1/(D103/100)*(C101/100),"")</f>
        <v/>
      </c>
      <c r="AB103" s="38"/>
      <c r="AC103" s="11"/>
    </row>
    <row r="104" spans="1:29" ht="12.75" customHeight="1">
      <c r="A104" s="767" t="s">
        <v>580</v>
      </c>
      <c r="B104" s="245"/>
      <c r="C104" s="298"/>
      <c r="D104" s="252"/>
      <c r="E104" s="505"/>
      <c r="F104" s="800"/>
      <c r="G104" s="785"/>
      <c r="H104" s="237"/>
      <c r="I104" s="226"/>
      <c r="J104" s="226"/>
      <c r="K104" s="257"/>
      <c r="L104" s="244"/>
      <c r="M104" s="783"/>
      <c r="N104" s="244"/>
      <c r="O104" s="273"/>
      <c r="P104" s="282">
        <v>103</v>
      </c>
      <c r="Q104" s="260">
        <v>0</v>
      </c>
      <c r="R104" s="558">
        <v>0</v>
      </c>
      <c r="S104" s="572">
        <v>0</v>
      </c>
      <c r="T104" s="241">
        <v>0</v>
      </c>
      <c r="U104" s="441"/>
      <c r="V104" s="336">
        <v>0</v>
      </c>
      <c r="W104" s="367">
        <f t="shared" ref="W104" si="46">(V104*X104)</f>
        <v>0</v>
      </c>
      <c r="X104" s="567"/>
      <c r="Y104" s="535">
        <f>IF(D104&lt;&gt;0,($C105*(1-$V$1))-$D104,0)</f>
        <v>0</v>
      </c>
      <c r="Z104" s="536" t="str">
        <f>IFERROR(IF(C104&lt;&gt;"",$Y$1/(D100/100)*(C104/100),""),"")</f>
        <v/>
      </c>
      <c r="AA104" s="537" t="str">
        <f>IFERROR($Z$1/(D104/100)*(C100/100),"")</f>
        <v/>
      </c>
      <c r="AB104" s="38"/>
      <c r="AC104" s="11"/>
    </row>
    <row r="105" spans="1:29" ht="12.75" customHeight="1">
      <c r="A105" s="741" t="s">
        <v>581</v>
      </c>
      <c r="B105" s="763"/>
      <c r="C105" s="743"/>
      <c r="D105" s="744"/>
      <c r="E105" s="764"/>
      <c r="F105" s="802"/>
      <c r="G105" s="791"/>
      <c r="H105" s="746"/>
      <c r="I105" s="747"/>
      <c r="J105" s="747"/>
      <c r="K105" s="765"/>
      <c r="L105" s="750"/>
      <c r="M105" s="784"/>
      <c r="N105" s="750"/>
      <c r="O105" s="751"/>
      <c r="P105" s="752">
        <v>104</v>
      </c>
      <c r="Q105" s="753">
        <v>0</v>
      </c>
      <c r="R105" s="754">
        <v>0</v>
      </c>
      <c r="S105" s="755">
        <v>0</v>
      </c>
      <c r="T105" s="756">
        <v>0</v>
      </c>
      <c r="U105" s="440"/>
      <c r="V105" s="337">
        <v>0</v>
      </c>
      <c r="W105" s="721">
        <f>V104*(F104/100)</f>
        <v>0</v>
      </c>
      <c r="X105" s="585"/>
      <c r="Y105" s="715" t="str">
        <f>IFERROR(INT($Z$1/(F104/100)),"")</f>
        <v/>
      </c>
      <c r="Z105" s="716" t="str">
        <f>IFERROR(IF(C105&lt;&gt;"",$Y$1/(D101/100)*(C105/100),""),"")</f>
        <v/>
      </c>
      <c r="AA105" s="717" t="str">
        <f>IFERROR($Z$1/(D105/100)*(C101/100),"")</f>
        <v/>
      </c>
      <c r="AB105" s="38"/>
    </row>
    <row r="106" spans="1:29" ht="12.75" customHeight="1">
      <c r="A106" s="768" t="s">
        <v>590</v>
      </c>
      <c r="B106" s="245">
        <v>11</v>
      </c>
      <c r="C106" s="298">
        <v>93940</v>
      </c>
      <c r="D106" s="252">
        <v>95300</v>
      </c>
      <c r="E106" s="505">
        <v>150</v>
      </c>
      <c r="F106" s="800">
        <v>95090</v>
      </c>
      <c r="G106" s="785">
        <v>-5.0000000000000001E-4</v>
      </c>
      <c r="H106" s="235">
        <v>94920</v>
      </c>
      <c r="I106" s="227">
        <v>96400</v>
      </c>
      <c r="J106" s="227">
        <v>94730</v>
      </c>
      <c r="K106" s="256">
        <v>95140</v>
      </c>
      <c r="L106" s="248">
        <v>87435381</v>
      </c>
      <c r="M106" s="597">
        <v>91891</v>
      </c>
      <c r="N106" s="248">
        <v>78</v>
      </c>
      <c r="O106" s="271">
        <v>45401.678981481484</v>
      </c>
      <c r="P106" s="282">
        <v>105</v>
      </c>
      <c r="Q106" s="261">
        <v>0</v>
      </c>
      <c r="R106" s="550">
        <v>0</v>
      </c>
      <c r="S106" s="570">
        <v>0</v>
      </c>
      <c r="T106" s="243">
        <v>0</v>
      </c>
      <c r="U106" s="441"/>
      <c r="V106" s="339"/>
      <c r="W106" s="368">
        <f t="shared" ref="W106" si="47">(V106*X106)</f>
        <v>0</v>
      </c>
      <c r="X106" s="566"/>
      <c r="Y106" s="524">
        <f>IF(D106&lt;&gt;0,($C107*(1-$V$1))-$D106,0)</f>
        <v>550</v>
      </c>
      <c r="Z106" s="526"/>
      <c r="AA106" s="527"/>
      <c r="AB106" s="38"/>
    </row>
    <row r="107" spans="1:29" ht="12.75" customHeight="1">
      <c r="A107" s="426" t="s">
        <v>591</v>
      </c>
      <c r="B107" s="510">
        <v>10380</v>
      </c>
      <c r="C107" s="236">
        <v>95850</v>
      </c>
      <c r="D107" s="352">
        <v>95990</v>
      </c>
      <c r="E107" s="515">
        <v>497</v>
      </c>
      <c r="F107" s="794">
        <v>95850</v>
      </c>
      <c r="G107" s="786">
        <v>6.1999999999999998E-3</v>
      </c>
      <c r="H107" s="234">
        <v>96900</v>
      </c>
      <c r="I107" s="225">
        <v>96900</v>
      </c>
      <c r="J107" s="225">
        <v>93350</v>
      </c>
      <c r="K107" s="254">
        <v>95250</v>
      </c>
      <c r="L107" s="232">
        <v>2050528155</v>
      </c>
      <c r="M107" s="598">
        <v>2141096</v>
      </c>
      <c r="N107" s="232">
        <v>263</v>
      </c>
      <c r="O107" s="272">
        <v>45401.704826388886</v>
      </c>
      <c r="P107" s="281">
        <v>106</v>
      </c>
      <c r="Q107" s="259">
        <v>0</v>
      </c>
      <c r="R107" s="549">
        <v>0</v>
      </c>
      <c r="S107" s="571">
        <v>0</v>
      </c>
      <c r="T107" s="242">
        <v>0</v>
      </c>
      <c r="U107" s="440"/>
      <c r="V107" s="338">
        <v>0</v>
      </c>
      <c r="W107" s="364">
        <f>V106*(F106/100)</f>
        <v>0</v>
      </c>
      <c r="X107" s="565"/>
      <c r="Y107" s="448">
        <f>IFERROR(INT($Y$1/(F106/100)),"")</f>
        <v>106</v>
      </c>
      <c r="Z107" s="528"/>
      <c r="AA107" s="529"/>
      <c r="AB107" s="38"/>
    </row>
    <row r="108" spans="1:29" ht="12.75" customHeight="1">
      <c r="A108" s="767" t="s">
        <v>592</v>
      </c>
      <c r="B108" s="245">
        <v>800</v>
      </c>
      <c r="C108" s="298">
        <v>1E-3</v>
      </c>
      <c r="D108" s="252"/>
      <c r="E108" s="505"/>
      <c r="F108" s="800"/>
      <c r="G108" s="785"/>
      <c r="H108" s="237"/>
      <c r="I108" s="226"/>
      <c r="J108" s="226"/>
      <c r="K108" s="257">
        <v>89.47</v>
      </c>
      <c r="L108" s="244"/>
      <c r="M108" s="783"/>
      <c r="N108" s="244"/>
      <c r="O108" s="273"/>
      <c r="P108" s="282">
        <v>107</v>
      </c>
      <c r="Q108" s="260">
        <v>0</v>
      </c>
      <c r="R108" s="558">
        <v>0</v>
      </c>
      <c r="S108" s="572">
        <v>0</v>
      </c>
      <c r="T108" s="241">
        <v>0</v>
      </c>
      <c r="U108" s="441"/>
      <c r="V108" s="295"/>
      <c r="W108" s="365">
        <f t="shared" ref="W108" si="48">(V108*X108)</f>
        <v>0</v>
      </c>
      <c r="X108" s="569"/>
      <c r="Y108" s="530">
        <f>IF(D108&lt;&gt;0,($C109*(1-$V$1))-$D108,0)</f>
        <v>0</v>
      </c>
      <c r="Z108" s="531">
        <f>IFERROR(IF(C108&lt;&gt;"",$Y$1/(D106/100)*(C108/100),""),"")</f>
        <v>1.0652606192715066E-3</v>
      </c>
      <c r="AA108" s="532" t="str">
        <f>IFERROR($AA$1/(D108/100)*(C106/100),"")</f>
        <v/>
      </c>
      <c r="AB108" s="38"/>
    </row>
    <row r="109" spans="1:29" ht="12.75" customHeight="1">
      <c r="A109" s="426" t="s">
        <v>593</v>
      </c>
      <c r="B109" s="510">
        <v>50000</v>
      </c>
      <c r="C109" s="236">
        <v>89.5</v>
      </c>
      <c r="D109" s="352">
        <v>90.4</v>
      </c>
      <c r="E109" s="515">
        <v>10509</v>
      </c>
      <c r="F109" s="794">
        <v>90.4</v>
      </c>
      <c r="G109" s="786">
        <v>7.1999999999999998E-3</v>
      </c>
      <c r="H109" s="234">
        <v>90.5</v>
      </c>
      <c r="I109" s="225">
        <v>90.5</v>
      </c>
      <c r="J109" s="225">
        <v>89.8</v>
      </c>
      <c r="K109" s="254">
        <v>89.75</v>
      </c>
      <c r="L109" s="232">
        <v>63799</v>
      </c>
      <c r="M109" s="598">
        <v>70787</v>
      </c>
      <c r="N109" s="232">
        <v>42</v>
      </c>
      <c r="O109" s="272">
        <v>45401.704143518517</v>
      </c>
      <c r="P109" s="281">
        <v>108</v>
      </c>
      <c r="Q109" s="259">
        <v>0</v>
      </c>
      <c r="R109" s="549">
        <v>0</v>
      </c>
      <c r="S109" s="571">
        <v>0</v>
      </c>
      <c r="T109" s="242">
        <v>0</v>
      </c>
      <c r="U109" s="440"/>
      <c r="V109" s="294">
        <v>0</v>
      </c>
      <c r="W109" s="366">
        <f>V108*(F108/100)</f>
        <v>0</v>
      </c>
      <c r="X109" s="565"/>
      <c r="Y109" s="449" t="str">
        <f>IFERROR(INT($AA$1/(F108/100)),"")</f>
        <v/>
      </c>
      <c r="Z109" s="533">
        <f>IFERROR(IF(C109&lt;&gt;"",$Y$1/(D107/100)*(C109/100),""),"")</f>
        <v>94.655491853145378</v>
      </c>
      <c r="AA109" s="534">
        <f>IFERROR($AA$1/(D109/100)*(C107/100),"")</f>
        <v>106028.76106194691</v>
      </c>
      <c r="AB109" s="38"/>
    </row>
    <row r="110" spans="1:29" ht="12.75" customHeight="1">
      <c r="A110" s="767" t="s">
        <v>594</v>
      </c>
      <c r="B110" s="245">
        <v>500</v>
      </c>
      <c r="C110" s="298">
        <v>91.5</v>
      </c>
      <c r="D110" s="252">
        <v>95.3</v>
      </c>
      <c r="E110" s="505">
        <v>573</v>
      </c>
      <c r="F110" s="800">
        <v>95.3</v>
      </c>
      <c r="G110" s="785">
        <v>2.7400000000000001E-2</v>
      </c>
      <c r="H110" s="237">
        <v>94.5</v>
      </c>
      <c r="I110" s="226">
        <v>95.3</v>
      </c>
      <c r="J110" s="226">
        <v>94.5</v>
      </c>
      <c r="K110" s="257">
        <v>92.75</v>
      </c>
      <c r="L110" s="244">
        <v>2187</v>
      </c>
      <c r="M110" s="783">
        <v>2311</v>
      </c>
      <c r="N110" s="244">
        <v>7</v>
      </c>
      <c r="O110" s="273">
        <v>45401.669085648151</v>
      </c>
      <c r="P110" s="282">
        <v>109</v>
      </c>
      <c r="Q110" s="260">
        <v>0</v>
      </c>
      <c r="R110" s="558">
        <v>0</v>
      </c>
      <c r="S110" s="572">
        <v>0</v>
      </c>
      <c r="T110" s="241">
        <v>0</v>
      </c>
      <c r="U110" s="441"/>
      <c r="V110" s="336">
        <v>0</v>
      </c>
      <c r="W110" s="367">
        <f t="shared" ref="W110" si="49">(V110*X110)</f>
        <v>0</v>
      </c>
      <c r="X110" s="567"/>
      <c r="Y110" s="535">
        <f>IF(D110&lt;&gt;0,($C111*(1-$V$1))-$D110,0)</f>
        <v>-1.5</v>
      </c>
      <c r="Z110" s="536">
        <f>IFERROR(IF(C110&lt;&gt;"",$Y$1/(D106/100)*(C110/100),""),"")</f>
        <v>97.471346663342842</v>
      </c>
      <c r="AA110" s="537">
        <f>IFERROR($Z$1/(D110/100)*(C106/100),"")</f>
        <v>98572.92759706192</v>
      </c>
      <c r="AB110" s="38"/>
    </row>
    <row r="111" spans="1:29" ht="12.75" customHeight="1">
      <c r="A111" s="741" t="s">
        <v>595</v>
      </c>
      <c r="B111" s="763">
        <v>3415</v>
      </c>
      <c r="C111" s="743">
        <v>93.8</v>
      </c>
      <c r="D111" s="744">
        <v>94.05</v>
      </c>
      <c r="E111" s="764">
        <v>661</v>
      </c>
      <c r="F111" s="802">
        <v>94.05</v>
      </c>
      <c r="G111" s="791">
        <v>1.66E-2</v>
      </c>
      <c r="H111" s="746">
        <v>95.4</v>
      </c>
      <c r="I111" s="747">
        <v>95.4</v>
      </c>
      <c r="J111" s="747">
        <v>92.5</v>
      </c>
      <c r="K111" s="765">
        <v>92.51</v>
      </c>
      <c r="L111" s="750">
        <v>82144</v>
      </c>
      <c r="M111" s="784">
        <v>87347</v>
      </c>
      <c r="N111" s="750">
        <v>53</v>
      </c>
      <c r="O111" s="751">
        <v>45401.708437499998</v>
      </c>
      <c r="P111" s="752">
        <v>110</v>
      </c>
      <c r="Q111" s="753">
        <v>0</v>
      </c>
      <c r="R111" s="754">
        <v>0</v>
      </c>
      <c r="S111" s="755">
        <v>0</v>
      </c>
      <c r="T111" s="756">
        <v>0</v>
      </c>
      <c r="U111" s="440"/>
      <c r="V111" s="337">
        <v>0</v>
      </c>
      <c r="W111" s="721">
        <f>V110*(F110/100)</f>
        <v>0</v>
      </c>
      <c r="X111" s="585"/>
      <c r="Y111" s="715">
        <f>IFERROR(INT($Z$1/(F110/100)),"")</f>
        <v>104</v>
      </c>
      <c r="Z111" s="716">
        <f>IFERROR(IF(C111&lt;&gt;"",$Y$1/(D107/100)*(C111/100),""),"")</f>
        <v>99.203185875140065</v>
      </c>
      <c r="AA111" s="717">
        <f>IFERROR($Z$1/(D111/100)*(C107/100),"")</f>
        <v>101913.87559808612</v>
      </c>
      <c r="AB111" s="38"/>
    </row>
    <row r="112" spans="1:29" ht="12.75" customHeight="1">
      <c r="A112" s="768" t="s">
        <v>547</v>
      </c>
      <c r="B112" s="245">
        <v>1</v>
      </c>
      <c r="C112" s="298">
        <v>53030</v>
      </c>
      <c r="D112" s="252">
        <v>53400</v>
      </c>
      <c r="E112" s="505">
        <v>5</v>
      </c>
      <c r="F112" s="800">
        <v>53030</v>
      </c>
      <c r="G112" s="785">
        <v>8.1000000000000013E-3</v>
      </c>
      <c r="H112" s="235">
        <v>53060</v>
      </c>
      <c r="I112" s="227">
        <v>53380</v>
      </c>
      <c r="J112" s="227">
        <v>52410</v>
      </c>
      <c r="K112" s="256">
        <v>52600</v>
      </c>
      <c r="L112" s="248">
        <v>232547487</v>
      </c>
      <c r="M112" s="597">
        <v>438339</v>
      </c>
      <c r="N112" s="248">
        <v>786</v>
      </c>
      <c r="O112" s="271">
        <v>45401.684594907405</v>
      </c>
      <c r="P112" s="282">
        <v>111</v>
      </c>
      <c r="Q112" s="261">
        <v>0</v>
      </c>
      <c r="R112" s="550">
        <v>0</v>
      </c>
      <c r="S112" s="570">
        <v>0</v>
      </c>
      <c r="T112" s="243">
        <v>0</v>
      </c>
      <c r="U112" s="441"/>
      <c r="V112" s="339"/>
      <c r="W112" s="368">
        <f t="shared" ref="W112" si="50">(V112*X112)</f>
        <v>0</v>
      </c>
      <c r="X112" s="566"/>
      <c r="Y112" s="524">
        <f>IF(D112&lt;&gt;0,($C113*(1-$V$1))-$D112,0)</f>
        <v>-60</v>
      </c>
      <c r="Z112" s="526"/>
      <c r="AA112" s="527"/>
      <c r="AB112" s="38"/>
    </row>
    <row r="113" spans="1:28" ht="12.75" customHeight="1">
      <c r="A113" s="426" t="s">
        <v>183</v>
      </c>
      <c r="B113" s="510">
        <v>14304</v>
      </c>
      <c r="C113" s="236">
        <v>53340</v>
      </c>
      <c r="D113" s="352">
        <v>53350</v>
      </c>
      <c r="E113" s="515">
        <v>3042</v>
      </c>
      <c r="F113" s="794">
        <v>53350</v>
      </c>
      <c r="G113" s="786">
        <v>9.5999999999999992E-3</v>
      </c>
      <c r="H113" s="234">
        <v>53300</v>
      </c>
      <c r="I113" s="225">
        <v>53670</v>
      </c>
      <c r="J113" s="225">
        <v>52510</v>
      </c>
      <c r="K113" s="254">
        <v>52840</v>
      </c>
      <c r="L113" s="232">
        <v>1364745117</v>
      </c>
      <c r="M113" s="598">
        <v>2558883</v>
      </c>
      <c r="N113" s="232">
        <v>1787</v>
      </c>
      <c r="O113" s="272">
        <v>45401.708518518521</v>
      </c>
      <c r="P113" s="281">
        <v>112</v>
      </c>
      <c r="Q113" s="259">
        <v>0</v>
      </c>
      <c r="R113" s="549">
        <v>0</v>
      </c>
      <c r="S113" s="571">
        <v>0</v>
      </c>
      <c r="T113" s="242">
        <v>0</v>
      </c>
      <c r="U113" s="440"/>
      <c r="V113" s="338">
        <v>0</v>
      </c>
      <c r="W113" s="364">
        <f>V112*(F112/100)</f>
        <v>0</v>
      </c>
      <c r="X113" s="565"/>
      <c r="Y113" s="448">
        <f>IFERROR(INT($Y$1/(F112/100)),"")</f>
        <v>191</v>
      </c>
      <c r="Z113" s="528"/>
      <c r="AA113" s="529"/>
      <c r="AB113" s="38"/>
    </row>
    <row r="114" spans="1:28" ht="12.75" customHeight="1">
      <c r="A114" s="767" t="s">
        <v>548</v>
      </c>
      <c r="B114" s="245"/>
      <c r="C114" s="298"/>
      <c r="D114" s="252"/>
      <c r="E114" s="505"/>
      <c r="F114" s="800"/>
      <c r="G114" s="785"/>
      <c r="H114" s="237"/>
      <c r="I114" s="226"/>
      <c r="J114" s="226"/>
      <c r="K114" s="257">
        <v>38</v>
      </c>
      <c r="L114" s="244"/>
      <c r="M114" s="783"/>
      <c r="N114" s="244"/>
      <c r="O114" s="273"/>
      <c r="P114" s="282">
        <v>113</v>
      </c>
      <c r="Q114" s="260">
        <v>0</v>
      </c>
      <c r="R114" s="558">
        <v>0</v>
      </c>
      <c r="S114" s="572">
        <v>0</v>
      </c>
      <c r="T114" s="241">
        <v>0</v>
      </c>
      <c r="U114" s="441"/>
      <c r="V114" s="295"/>
      <c r="W114" s="365">
        <f t="shared" ref="W114" si="51">(V114*X114)</f>
        <v>0</v>
      </c>
      <c r="X114" s="569"/>
      <c r="Y114" s="530">
        <f>IF(D114&lt;&gt;0,($C115*(1-$V$1))-$D114,0)</f>
        <v>0</v>
      </c>
      <c r="Z114" s="531" t="str">
        <f>IFERROR(IF(C114&lt;&gt;"",$Y$1/(D112/100)*(C114/100),""),"")</f>
        <v/>
      </c>
      <c r="AA114" s="532" t="str">
        <f>IFERROR($AA$1/(D114/100)*(C112/100),"")</f>
        <v/>
      </c>
      <c r="AB114" s="38"/>
    </row>
    <row r="115" spans="1:28" ht="12.75" customHeight="1">
      <c r="A115" s="426" t="s">
        <v>230</v>
      </c>
      <c r="B115" s="510"/>
      <c r="C115" s="236"/>
      <c r="D115" s="352"/>
      <c r="E115" s="515"/>
      <c r="F115" s="794"/>
      <c r="G115" s="786"/>
      <c r="H115" s="234"/>
      <c r="I115" s="225"/>
      <c r="J115" s="225"/>
      <c r="K115" s="254">
        <v>35.875</v>
      </c>
      <c r="L115" s="232"/>
      <c r="M115" s="598"/>
      <c r="N115" s="232"/>
      <c r="O115" s="272"/>
      <c r="P115" s="281">
        <v>114</v>
      </c>
      <c r="Q115" s="259">
        <v>0</v>
      </c>
      <c r="R115" s="549">
        <v>0</v>
      </c>
      <c r="S115" s="571">
        <v>0</v>
      </c>
      <c r="T115" s="242">
        <v>0</v>
      </c>
      <c r="U115" s="440"/>
      <c r="V115" s="294">
        <v>0</v>
      </c>
      <c r="W115" s="366">
        <f>V114*(F114/100)</f>
        <v>0</v>
      </c>
      <c r="X115" s="565"/>
      <c r="Y115" s="449" t="str">
        <f>IFERROR(INT($AA$1/(F114/100)),"")</f>
        <v/>
      </c>
      <c r="Z115" s="533" t="str">
        <f>IFERROR(IF(C115&lt;&gt;"",$Y$1/(D113/100)*(C115/100),""),"")</f>
        <v/>
      </c>
      <c r="AA115" s="534" t="str">
        <f>IFERROR($AA$1/(D115/100)*(C113/100),"")</f>
        <v/>
      </c>
      <c r="AB115" s="38"/>
    </row>
    <row r="116" spans="1:28" ht="12.75" customHeight="1">
      <c r="A116" s="767" t="s">
        <v>549</v>
      </c>
      <c r="B116" s="245">
        <v>500</v>
      </c>
      <c r="C116" s="298">
        <v>52.35</v>
      </c>
      <c r="D116" s="252">
        <v>52.7</v>
      </c>
      <c r="E116" s="505">
        <v>3749</v>
      </c>
      <c r="F116" s="800">
        <v>52.31</v>
      </c>
      <c r="G116" s="785">
        <v>-2.2200000000000001E-2</v>
      </c>
      <c r="H116" s="237">
        <v>51.99</v>
      </c>
      <c r="I116" s="226">
        <v>52.92</v>
      </c>
      <c r="J116" s="226">
        <v>51</v>
      </c>
      <c r="K116" s="257">
        <v>53.5</v>
      </c>
      <c r="L116" s="244">
        <v>70781</v>
      </c>
      <c r="M116" s="783">
        <v>135587</v>
      </c>
      <c r="N116" s="244">
        <v>177</v>
      </c>
      <c r="O116" s="273">
        <v>45401.684907407405</v>
      </c>
      <c r="P116" s="282">
        <v>115</v>
      </c>
      <c r="Q116" s="260">
        <v>0</v>
      </c>
      <c r="R116" s="558">
        <v>0</v>
      </c>
      <c r="S116" s="572">
        <v>0</v>
      </c>
      <c r="T116" s="241">
        <v>0</v>
      </c>
      <c r="U116" s="441"/>
      <c r="V116" s="336">
        <v>0</v>
      </c>
      <c r="W116" s="367">
        <f t="shared" ref="W116" si="52">(V116*X116)</f>
        <v>0</v>
      </c>
      <c r="X116" s="567"/>
      <c r="Y116" s="535">
        <f>IF(D116&lt;&gt;0,($C117*(1-$V$1))-$D116,0)</f>
        <v>-0.35000000000000142</v>
      </c>
      <c r="Z116" s="536">
        <f>IFERROR(IF(C116&lt;&gt;"",$Y$1/(D112/100)*(C116/100),""),"")</f>
        <v>99.523170277484624</v>
      </c>
      <c r="AA116" s="537">
        <f>IFERROR($Z$1/(D116/100)*(C112/100),"")</f>
        <v>100626.18595825425</v>
      </c>
      <c r="AB116" s="38"/>
    </row>
    <row r="117" spans="1:28" ht="12.75" customHeight="1">
      <c r="A117" s="741" t="s">
        <v>231</v>
      </c>
      <c r="B117" s="763">
        <v>500</v>
      </c>
      <c r="C117" s="743">
        <v>52.35</v>
      </c>
      <c r="D117" s="744">
        <v>52.78</v>
      </c>
      <c r="E117" s="764">
        <v>5387</v>
      </c>
      <c r="F117" s="802">
        <v>52.75</v>
      </c>
      <c r="G117" s="791">
        <v>9.4999999999999998E-3</v>
      </c>
      <c r="H117" s="746">
        <v>52</v>
      </c>
      <c r="I117" s="747">
        <v>53</v>
      </c>
      <c r="J117" s="747">
        <v>51.9</v>
      </c>
      <c r="K117" s="765">
        <v>52.25</v>
      </c>
      <c r="L117" s="750">
        <v>334838</v>
      </c>
      <c r="M117" s="784">
        <v>640860</v>
      </c>
      <c r="N117" s="750">
        <v>274</v>
      </c>
      <c r="O117" s="751">
        <v>45401.705625000002</v>
      </c>
      <c r="P117" s="752">
        <v>116</v>
      </c>
      <c r="Q117" s="753">
        <v>0</v>
      </c>
      <c r="R117" s="754">
        <v>0</v>
      </c>
      <c r="S117" s="755">
        <v>0</v>
      </c>
      <c r="T117" s="756">
        <v>0</v>
      </c>
      <c r="U117" s="440"/>
      <c r="V117" s="337">
        <v>0</v>
      </c>
      <c r="W117" s="721">
        <f>V116*(F116/100)</f>
        <v>0</v>
      </c>
      <c r="X117" s="585"/>
      <c r="Y117" s="715">
        <f>IFERROR(INT($Z$1/(F116/100)),"")</f>
        <v>191</v>
      </c>
      <c r="Z117" s="716">
        <f>IFERROR(IF(C117&lt;&gt;"",$Y$1/(D113/100)*(C117/100),""),"")</f>
        <v>99.616444101549732</v>
      </c>
      <c r="AA117" s="717">
        <f>IFERROR($Z$1/(D117/100)*(C113/100),"")</f>
        <v>101061.00795755968</v>
      </c>
      <c r="AB117" s="38"/>
    </row>
    <row r="118" spans="1:28" ht="12.75" customHeight="1">
      <c r="A118" s="768" t="s">
        <v>541</v>
      </c>
      <c r="B118" s="245">
        <v>4722</v>
      </c>
      <c r="C118" s="298">
        <v>61050</v>
      </c>
      <c r="D118" s="252">
        <v>61480</v>
      </c>
      <c r="E118" s="505">
        <v>490</v>
      </c>
      <c r="F118" s="800">
        <v>61390</v>
      </c>
      <c r="G118" s="785">
        <v>6.3E-3</v>
      </c>
      <c r="H118" s="235">
        <v>62000</v>
      </c>
      <c r="I118" s="227">
        <v>63000</v>
      </c>
      <c r="J118" s="227">
        <v>61000</v>
      </c>
      <c r="K118" s="256">
        <v>61000</v>
      </c>
      <c r="L118" s="248">
        <v>205739513</v>
      </c>
      <c r="M118" s="597">
        <v>334920</v>
      </c>
      <c r="N118" s="248">
        <v>754</v>
      </c>
      <c r="O118" s="271">
        <v>45401.687638888892</v>
      </c>
      <c r="P118" s="282">
        <v>117</v>
      </c>
      <c r="Q118" s="261">
        <v>0</v>
      </c>
      <c r="R118" s="550">
        <v>0</v>
      </c>
      <c r="S118" s="570">
        <v>0</v>
      </c>
      <c r="T118" s="243">
        <v>0</v>
      </c>
      <c r="U118" s="441"/>
      <c r="V118" s="339"/>
      <c r="W118" s="368">
        <f t="shared" ref="W118" si="53">(V118*X118)</f>
        <v>0</v>
      </c>
      <c r="X118" s="566"/>
      <c r="Y118" s="524">
        <f>IF(D118&lt;&gt;0,($C119*(1-$V$1))-$D118,0)</f>
        <v>-20</v>
      </c>
      <c r="Z118" s="526"/>
      <c r="AA118" s="527"/>
      <c r="AB118" s="38"/>
    </row>
    <row r="119" spans="1:28" ht="12.75" customHeight="1">
      <c r="A119" s="426" t="s">
        <v>186</v>
      </c>
      <c r="B119" s="510">
        <v>4</v>
      </c>
      <c r="C119" s="236">
        <v>61460</v>
      </c>
      <c r="D119" s="352">
        <v>61690</v>
      </c>
      <c r="E119" s="515">
        <v>3049</v>
      </c>
      <c r="F119" s="794">
        <v>61690</v>
      </c>
      <c r="G119" s="786">
        <v>3.0000000000000001E-3</v>
      </c>
      <c r="H119" s="234">
        <v>61510</v>
      </c>
      <c r="I119" s="225">
        <v>62500</v>
      </c>
      <c r="J119" s="225">
        <v>60700</v>
      </c>
      <c r="K119" s="254">
        <v>61500</v>
      </c>
      <c r="L119" s="232">
        <v>692811739</v>
      </c>
      <c r="M119" s="598">
        <v>1124608</v>
      </c>
      <c r="N119" s="232">
        <v>1939</v>
      </c>
      <c r="O119" s="272">
        <v>45401.708379629628</v>
      </c>
      <c r="P119" s="281">
        <v>118</v>
      </c>
      <c r="Q119" s="259">
        <v>0</v>
      </c>
      <c r="R119" s="549">
        <v>0</v>
      </c>
      <c r="S119" s="571">
        <v>0</v>
      </c>
      <c r="T119" s="242">
        <v>0</v>
      </c>
      <c r="U119" s="440"/>
      <c r="V119" s="338">
        <v>0</v>
      </c>
      <c r="W119" s="364">
        <f>V118*(F118/100)</f>
        <v>0</v>
      </c>
      <c r="X119" s="565"/>
      <c r="Y119" s="448">
        <f>IFERROR(INT($Y$1/(F118/100)),"")</f>
        <v>165</v>
      </c>
      <c r="Z119" s="528"/>
      <c r="AA119" s="529"/>
      <c r="AB119" s="38"/>
    </row>
    <row r="120" spans="1:28" ht="12.75" customHeight="1">
      <c r="A120" s="767" t="s">
        <v>542</v>
      </c>
      <c r="B120" s="245"/>
      <c r="C120" s="298"/>
      <c r="D120" s="252"/>
      <c r="E120" s="505"/>
      <c r="F120" s="800"/>
      <c r="G120" s="785"/>
      <c r="H120" s="237"/>
      <c r="I120" s="226"/>
      <c r="J120" s="226"/>
      <c r="K120" s="257">
        <v>54.8</v>
      </c>
      <c r="L120" s="244"/>
      <c r="M120" s="783"/>
      <c r="N120" s="244"/>
      <c r="O120" s="273"/>
      <c r="P120" s="282">
        <v>119</v>
      </c>
      <c r="Q120" s="260">
        <v>0</v>
      </c>
      <c r="R120" s="558">
        <v>0</v>
      </c>
      <c r="S120" s="572">
        <v>0</v>
      </c>
      <c r="T120" s="241">
        <v>0</v>
      </c>
      <c r="U120" s="441"/>
      <c r="V120" s="295"/>
      <c r="W120" s="365">
        <f t="shared" ref="W120" si="54">(V120*X120)</f>
        <v>0</v>
      </c>
      <c r="X120" s="569"/>
      <c r="Y120" s="530">
        <f>IF(D120&lt;&gt;0,($C121*(1-$V$1))-$D120,0)</f>
        <v>0</v>
      </c>
      <c r="Z120" s="531" t="str">
        <f>IFERROR(IF(C120&lt;&gt;"",$Y$1/(D118/100)*(C120/100),""),"")</f>
        <v/>
      </c>
      <c r="AA120" s="532" t="str">
        <f>IFERROR($AA$1/(D120/100)*(C118/100),"")</f>
        <v/>
      </c>
      <c r="AB120" s="38"/>
    </row>
    <row r="121" spans="1:28" ht="12.75" customHeight="1">
      <c r="A121" s="426" t="s">
        <v>238</v>
      </c>
      <c r="B121" s="510"/>
      <c r="C121" s="236"/>
      <c r="D121" s="352"/>
      <c r="E121" s="515"/>
      <c r="F121" s="794"/>
      <c r="G121" s="786"/>
      <c r="H121" s="234"/>
      <c r="I121" s="225"/>
      <c r="J121" s="225"/>
      <c r="K121" s="254">
        <v>46.3</v>
      </c>
      <c r="L121" s="232"/>
      <c r="M121" s="598"/>
      <c r="N121" s="232"/>
      <c r="O121" s="272"/>
      <c r="P121" s="281">
        <v>120</v>
      </c>
      <c r="Q121" s="259">
        <v>0</v>
      </c>
      <c r="R121" s="549">
        <v>0</v>
      </c>
      <c r="S121" s="571">
        <v>0</v>
      </c>
      <c r="T121" s="242">
        <v>0</v>
      </c>
      <c r="U121" s="440"/>
      <c r="V121" s="294">
        <v>0</v>
      </c>
      <c r="W121" s="366">
        <f>V120*(F120/100)</f>
        <v>0</v>
      </c>
      <c r="X121" s="565"/>
      <c r="Y121" s="449" t="str">
        <f>IFERROR(INT($AA$1/(F120/100)),"")</f>
        <v/>
      </c>
      <c r="Z121" s="533" t="str">
        <f>IFERROR(IF(C121&lt;&gt;"",$Y$1/(D119/100)*(C121/100),""),"")</f>
        <v/>
      </c>
      <c r="AA121" s="534" t="str">
        <f>IFERROR($AA$1/(D121/100)*(C119/100),"")</f>
        <v/>
      </c>
      <c r="AB121" s="38"/>
    </row>
    <row r="122" spans="1:28" ht="12.75" customHeight="1">
      <c r="A122" s="767" t="s">
        <v>543</v>
      </c>
      <c r="B122" s="245">
        <v>10</v>
      </c>
      <c r="C122" s="298">
        <v>60.5</v>
      </c>
      <c r="D122" s="252">
        <v>61.1</v>
      </c>
      <c r="E122" s="505">
        <v>384</v>
      </c>
      <c r="F122" s="800">
        <v>61.1</v>
      </c>
      <c r="G122" s="785">
        <v>1.0500000000000001E-2</v>
      </c>
      <c r="H122" s="237">
        <v>60.46</v>
      </c>
      <c r="I122" s="226">
        <v>61.99</v>
      </c>
      <c r="J122" s="226">
        <v>59.57</v>
      </c>
      <c r="K122" s="257">
        <v>60.46</v>
      </c>
      <c r="L122" s="244">
        <v>93199</v>
      </c>
      <c r="M122" s="783">
        <v>153743</v>
      </c>
      <c r="N122" s="244">
        <v>383</v>
      </c>
      <c r="O122" s="273">
        <v>45401.680775462963</v>
      </c>
      <c r="P122" s="282">
        <v>121</v>
      </c>
      <c r="Q122" s="260">
        <v>0</v>
      </c>
      <c r="R122" s="558">
        <v>0</v>
      </c>
      <c r="S122" s="572">
        <v>0</v>
      </c>
      <c r="T122" s="241">
        <v>0</v>
      </c>
      <c r="U122" s="441"/>
      <c r="V122" s="336"/>
      <c r="W122" s="367">
        <f t="shared" ref="W122" si="55">(V122*X122)</f>
        <v>0</v>
      </c>
      <c r="X122" s="567"/>
      <c r="Y122" s="535">
        <f>IF(D122&lt;&gt;0,($C123*(1-$V$1))-$D122,0)</f>
        <v>-0.85000000000000142</v>
      </c>
      <c r="Z122" s="536">
        <f>IFERROR(IF(C122&lt;&gt;"",$Y$1/(D118/100)*(C122/100),""),"")</f>
        <v>99.901104253460673</v>
      </c>
      <c r="AA122" s="537">
        <f>IFERROR($Z$1/(D122/100)*(C118/100),"")</f>
        <v>99918.166939443545</v>
      </c>
      <c r="AB122" s="38"/>
    </row>
    <row r="123" spans="1:28" ht="12.75" customHeight="1">
      <c r="A123" s="741" t="s">
        <v>239</v>
      </c>
      <c r="B123" s="763">
        <v>5908</v>
      </c>
      <c r="C123" s="743">
        <v>60.25</v>
      </c>
      <c r="D123" s="744">
        <v>60.7</v>
      </c>
      <c r="E123" s="764">
        <v>580</v>
      </c>
      <c r="F123" s="802">
        <v>60.7</v>
      </c>
      <c r="G123" s="791">
        <v>-1.9E-3</v>
      </c>
      <c r="H123" s="746">
        <v>60</v>
      </c>
      <c r="I123" s="747">
        <v>61.9</v>
      </c>
      <c r="J123" s="747">
        <v>59.55</v>
      </c>
      <c r="K123" s="765">
        <v>60.82</v>
      </c>
      <c r="L123" s="750">
        <v>225230</v>
      </c>
      <c r="M123" s="784">
        <v>371280</v>
      </c>
      <c r="N123" s="750">
        <v>514</v>
      </c>
      <c r="O123" s="751">
        <v>45401.708368055559</v>
      </c>
      <c r="P123" s="752">
        <v>122</v>
      </c>
      <c r="Q123" s="753">
        <v>0</v>
      </c>
      <c r="R123" s="754">
        <v>0</v>
      </c>
      <c r="S123" s="755">
        <v>0</v>
      </c>
      <c r="T123" s="756">
        <v>0</v>
      </c>
      <c r="U123" s="440"/>
      <c r="V123" s="337">
        <v>0</v>
      </c>
      <c r="W123" s="722">
        <f>V122*(F122/100)</f>
        <v>0</v>
      </c>
      <c r="X123" s="585"/>
      <c r="Y123" s="715">
        <f>IFERROR(INT($Z$1/(F122/100)),"")</f>
        <v>163</v>
      </c>
      <c r="Z123" s="716">
        <f>IFERROR(IF(C123&lt;&gt;"",$Y$1/(D119/100)*(C123/100),""),"")</f>
        <v>99.149619958641907</v>
      </c>
      <c r="AA123" s="717">
        <f>IFERROR($Z$1/(D123/100)*(C119/100),"")</f>
        <v>101252.05930807251</v>
      </c>
      <c r="AB123" s="38"/>
    </row>
    <row r="124" spans="1:28" ht="12.75" customHeight="1">
      <c r="A124" s="768" t="s">
        <v>544</v>
      </c>
      <c r="B124" s="245">
        <v>359</v>
      </c>
      <c r="C124" s="298">
        <v>49265</v>
      </c>
      <c r="D124" s="252">
        <v>49580</v>
      </c>
      <c r="E124" s="505">
        <v>400</v>
      </c>
      <c r="F124" s="800">
        <v>49570</v>
      </c>
      <c r="G124" s="785">
        <v>1.49E-2</v>
      </c>
      <c r="H124" s="235">
        <v>48820</v>
      </c>
      <c r="I124" s="227">
        <v>49785</v>
      </c>
      <c r="J124" s="227">
        <v>48350</v>
      </c>
      <c r="K124" s="256">
        <v>48840</v>
      </c>
      <c r="L124" s="248">
        <v>395590290</v>
      </c>
      <c r="M124" s="597">
        <v>804648</v>
      </c>
      <c r="N124" s="248">
        <v>1171</v>
      </c>
      <c r="O124" s="271">
        <v>45401.687615740739</v>
      </c>
      <c r="P124" s="282">
        <v>123</v>
      </c>
      <c r="Q124" s="261">
        <v>0</v>
      </c>
      <c r="R124" s="550">
        <v>0</v>
      </c>
      <c r="S124" s="570">
        <v>0</v>
      </c>
      <c r="T124" s="243">
        <v>0</v>
      </c>
      <c r="U124" s="441"/>
      <c r="V124" s="339"/>
      <c r="W124" s="368">
        <f t="shared" ref="W124" si="56">(V124*X124)</f>
        <v>0</v>
      </c>
      <c r="X124" s="566"/>
      <c r="Y124" s="524">
        <f>IF(D124&lt;&gt;0,($C125*(1-$V$1))-$D124,0)</f>
        <v>310</v>
      </c>
      <c r="Z124" s="526"/>
      <c r="AA124" s="527"/>
      <c r="AB124" s="38"/>
    </row>
    <row r="125" spans="1:28" ht="12.75" customHeight="1">
      <c r="A125" s="426" t="s">
        <v>184</v>
      </c>
      <c r="B125" s="510">
        <v>9448</v>
      </c>
      <c r="C125" s="236">
        <v>49890</v>
      </c>
      <c r="D125" s="352">
        <v>49900</v>
      </c>
      <c r="E125" s="515">
        <v>36844</v>
      </c>
      <c r="F125" s="794">
        <v>49890</v>
      </c>
      <c r="G125" s="786">
        <v>1.7100000000000001E-2</v>
      </c>
      <c r="H125" s="234">
        <v>49100</v>
      </c>
      <c r="I125" s="225">
        <v>49995</v>
      </c>
      <c r="J125" s="225">
        <v>48900</v>
      </c>
      <c r="K125" s="254">
        <v>49050</v>
      </c>
      <c r="L125" s="232">
        <v>2075041556</v>
      </c>
      <c r="M125" s="598">
        <v>4187673</v>
      </c>
      <c r="N125" s="232">
        <v>2843</v>
      </c>
      <c r="O125" s="272">
        <v>45401.708379629628</v>
      </c>
      <c r="P125" s="281">
        <v>124</v>
      </c>
      <c r="Q125" s="259">
        <v>0</v>
      </c>
      <c r="R125" s="549">
        <v>0</v>
      </c>
      <c r="S125" s="571">
        <v>0</v>
      </c>
      <c r="T125" s="242">
        <v>0</v>
      </c>
      <c r="U125" s="440"/>
      <c r="V125" s="338">
        <v>0</v>
      </c>
      <c r="W125" s="364">
        <f>V124*(F124/100)</f>
        <v>0</v>
      </c>
      <c r="X125" s="565"/>
      <c r="Y125" s="448">
        <f>IFERROR(INT($Y$1/(F124/100)),"")</f>
        <v>204</v>
      </c>
      <c r="Z125" s="528"/>
      <c r="AA125" s="529"/>
      <c r="AB125" s="38"/>
    </row>
    <row r="126" spans="1:28" ht="12.75" customHeight="1">
      <c r="A126" s="767" t="s">
        <v>545</v>
      </c>
      <c r="B126" s="245"/>
      <c r="C126" s="298"/>
      <c r="D126" s="252"/>
      <c r="E126" s="505"/>
      <c r="F126" s="800"/>
      <c r="G126" s="785"/>
      <c r="H126" s="237"/>
      <c r="I126" s="226"/>
      <c r="J126" s="226"/>
      <c r="K126" s="257">
        <v>36</v>
      </c>
      <c r="L126" s="244"/>
      <c r="M126" s="783"/>
      <c r="N126" s="244"/>
      <c r="O126" s="273"/>
      <c r="P126" s="282">
        <v>125</v>
      </c>
      <c r="Q126" s="260">
        <v>0</v>
      </c>
      <c r="R126" s="558">
        <v>0</v>
      </c>
      <c r="S126" s="572">
        <v>0</v>
      </c>
      <c r="T126" s="241">
        <v>0</v>
      </c>
      <c r="U126" s="441"/>
      <c r="V126" s="295"/>
      <c r="W126" s="365">
        <f t="shared" ref="W126" si="57">(V126*X126)</f>
        <v>0</v>
      </c>
      <c r="X126" s="569"/>
      <c r="Y126" s="530">
        <f>IF(D126&lt;&gt;0,($C127*(1-$V$1))-$D126,0)</f>
        <v>0</v>
      </c>
      <c r="Z126" s="531" t="str">
        <f>IFERROR(IF(C126&lt;&gt;"",$Y$1/(D124/100)*(C126/100),""),"")</f>
        <v/>
      </c>
      <c r="AA126" s="532" t="str">
        <f>IFERROR($AA$1/(D126/100)*(C124/100),"")</f>
        <v/>
      </c>
      <c r="AB126" s="38"/>
    </row>
    <row r="127" spans="1:28" ht="12.75" customHeight="1">
      <c r="A127" s="426" t="s">
        <v>240</v>
      </c>
      <c r="B127" s="510"/>
      <c r="C127" s="236"/>
      <c r="D127" s="352"/>
      <c r="E127" s="515"/>
      <c r="F127" s="794"/>
      <c r="G127" s="786"/>
      <c r="H127" s="234"/>
      <c r="I127" s="225"/>
      <c r="J127" s="225"/>
      <c r="K127" s="254">
        <v>32.188000000000002</v>
      </c>
      <c r="L127" s="232"/>
      <c r="M127" s="598"/>
      <c r="N127" s="232"/>
      <c r="O127" s="272"/>
      <c r="P127" s="281">
        <v>126</v>
      </c>
      <c r="Q127" s="259">
        <v>0</v>
      </c>
      <c r="R127" s="549">
        <v>0</v>
      </c>
      <c r="S127" s="571">
        <v>0</v>
      </c>
      <c r="T127" s="242">
        <v>0</v>
      </c>
      <c r="U127" s="440"/>
      <c r="V127" s="294">
        <v>0</v>
      </c>
      <c r="W127" s="366">
        <f>V126*(F126/100)</f>
        <v>0</v>
      </c>
      <c r="X127" s="565"/>
      <c r="Y127" s="449" t="str">
        <f>IFERROR(INT($AA$1/(F126/100)),"")</f>
        <v/>
      </c>
      <c r="Z127" s="533" t="str">
        <f>IFERROR(IF(C127&lt;&gt;"",$Y$1/(D125/100)*(C127/100),""),"")</f>
        <v/>
      </c>
      <c r="AA127" s="534" t="str">
        <f>IFERROR($AA$1/(D127/100)*(C125/100),"")</f>
        <v/>
      </c>
      <c r="AB127" s="38"/>
    </row>
    <row r="128" spans="1:28" ht="12.75" customHeight="1">
      <c r="A128" s="767" t="s">
        <v>546</v>
      </c>
      <c r="B128" s="245">
        <v>68086</v>
      </c>
      <c r="C128" s="298">
        <v>48.61</v>
      </c>
      <c r="D128" s="252">
        <v>49</v>
      </c>
      <c r="E128" s="505">
        <v>825</v>
      </c>
      <c r="F128" s="800">
        <v>49</v>
      </c>
      <c r="G128" s="785">
        <v>1.44E-2</v>
      </c>
      <c r="H128" s="237">
        <v>48.987000000000002</v>
      </c>
      <c r="I128" s="226">
        <v>49.45</v>
      </c>
      <c r="J128" s="226">
        <v>47.55</v>
      </c>
      <c r="K128" s="257">
        <v>48.3</v>
      </c>
      <c r="L128" s="244">
        <v>229395</v>
      </c>
      <c r="M128" s="783">
        <v>472077</v>
      </c>
      <c r="N128" s="244">
        <v>361</v>
      </c>
      <c r="O128" s="273">
        <v>45401.685381944444</v>
      </c>
      <c r="P128" s="282">
        <v>127</v>
      </c>
      <c r="Q128" s="260">
        <v>0</v>
      </c>
      <c r="R128" s="558">
        <v>0</v>
      </c>
      <c r="S128" s="572">
        <v>0</v>
      </c>
      <c r="T128" s="241">
        <v>0</v>
      </c>
      <c r="U128" s="441"/>
      <c r="V128" s="336">
        <v>0</v>
      </c>
      <c r="W128" s="367">
        <f t="shared" ref="W128" si="58">(V128*X128)</f>
        <v>0</v>
      </c>
      <c r="X128" s="567"/>
      <c r="Y128" s="535">
        <f>IF(D128&lt;&gt;0,($C129*(1-$V$1))-$D128,0)</f>
        <v>-0.45000000000000284</v>
      </c>
      <c r="Z128" s="536">
        <f>IFERROR(IF(C128&lt;&gt;"",$Y$1/(D124/100)*(C128/100),""),"")</f>
        <v>99.533178143922754</v>
      </c>
      <c r="AA128" s="537">
        <f>IFERROR($Z$1/(D128/100)*(C124/100),"")</f>
        <v>100540.81632653061</v>
      </c>
      <c r="AB128" s="38"/>
    </row>
    <row r="129" spans="1:28" ht="12.75" customHeight="1">
      <c r="A129" s="741" t="s">
        <v>241</v>
      </c>
      <c r="B129" s="763">
        <v>60935</v>
      </c>
      <c r="C129" s="743">
        <v>48.55</v>
      </c>
      <c r="D129" s="744">
        <v>48.9</v>
      </c>
      <c r="E129" s="764">
        <v>1821</v>
      </c>
      <c r="F129" s="802">
        <v>48.55</v>
      </c>
      <c r="G129" s="791">
        <v>8.199999999999999E-3</v>
      </c>
      <c r="H129" s="746">
        <v>47.5</v>
      </c>
      <c r="I129" s="747">
        <v>49</v>
      </c>
      <c r="J129" s="747">
        <v>47</v>
      </c>
      <c r="K129" s="765">
        <v>48.155000000000001</v>
      </c>
      <c r="L129" s="750">
        <v>458994</v>
      </c>
      <c r="M129" s="784">
        <v>947375</v>
      </c>
      <c r="N129" s="750">
        <v>531</v>
      </c>
      <c r="O129" s="751">
        <v>45401.708460648151</v>
      </c>
      <c r="P129" s="752">
        <v>128</v>
      </c>
      <c r="Q129" s="753">
        <v>0</v>
      </c>
      <c r="R129" s="754">
        <v>0</v>
      </c>
      <c r="S129" s="755">
        <v>0</v>
      </c>
      <c r="T129" s="756">
        <v>0</v>
      </c>
      <c r="U129" s="440"/>
      <c r="V129" s="337">
        <v>0</v>
      </c>
      <c r="W129" s="721">
        <f>V128*(F128/100)</f>
        <v>0</v>
      </c>
      <c r="X129" s="585"/>
      <c r="Y129" s="715">
        <f>IFERROR(INT($Z$1/(F128/100)),"")</f>
        <v>204</v>
      </c>
      <c r="Z129" s="716">
        <f>IFERROR(IF(C129&lt;&gt;"",$Y$1/(D125/100)*(C129/100),""),"")</f>
        <v>98.772821886867632</v>
      </c>
      <c r="AA129" s="717">
        <f>IFERROR($Z$1/(D129/100)*(C125/100),"")</f>
        <v>102024.53987730062</v>
      </c>
      <c r="AB129" s="38"/>
    </row>
    <row r="130" spans="1:28" ht="12.75" customHeight="1">
      <c r="A130" s="768" t="s">
        <v>550</v>
      </c>
      <c r="B130" s="245">
        <v>3298</v>
      </c>
      <c r="C130" s="298">
        <v>45200</v>
      </c>
      <c r="D130" s="252">
        <v>45600</v>
      </c>
      <c r="E130" s="505">
        <v>483</v>
      </c>
      <c r="F130" s="800">
        <v>45600</v>
      </c>
      <c r="G130" s="785">
        <v>2.3199999999999998E-2</v>
      </c>
      <c r="H130" s="235">
        <v>44660</v>
      </c>
      <c r="I130" s="227">
        <v>46500</v>
      </c>
      <c r="J130" s="227">
        <v>44660</v>
      </c>
      <c r="K130" s="256">
        <v>44565</v>
      </c>
      <c r="L130" s="248">
        <v>85723160</v>
      </c>
      <c r="M130" s="597">
        <v>188941</v>
      </c>
      <c r="N130" s="248">
        <v>494</v>
      </c>
      <c r="O130" s="271">
        <v>45401.687696759262</v>
      </c>
      <c r="P130" s="282">
        <v>129</v>
      </c>
      <c r="Q130" s="261">
        <v>0</v>
      </c>
      <c r="R130" s="550">
        <v>0</v>
      </c>
      <c r="S130" s="570">
        <v>0</v>
      </c>
      <c r="T130" s="243">
        <v>0</v>
      </c>
      <c r="U130" s="441"/>
      <c r="V130" s="339"/>
      <c r="W130" s="368">
        <f t="shared" ref="W130" si="59">(V130*X130)</f>
        <v>0</v>
      </c>
      <c r="X130" s="566"/>
      <c r="Y130" s="524">
        <f>IF(D130&lt;&gt;0,($C131*(1-$V$1))-$D130,0)</f>
        <v>-700</v>
      </c>
      <c r="Z130" s="526"/>
      <c r="AA130" s="527"/>
      <c r="AB130" s="38"/>
    </row>
    <row r="131" spans="1:28" ht="12.75" customHeight="1">
      <c r="A131" s="426" t="s">
        <v>185</v>
      </c>
      <c r="B131" s="510">
        <v>1434</v>
      </c>
      <c r="C131" s="236">
        <v>44900</v>
      </c>
      <c r="D131" s="352">
        <v>45550</v>
      </c>
      <c r="E131" s="515">
        <v>244</v>
      </c>
      <c r="F131" s="794">
        <v>44900</v>
      </c>
      <c r="G131" s="786">
        <v>2.2000000000000001E-3</v>
      </c>
      <c r="H131" s="234">
        <v>44800</v>
      </c>
      <c r="I131" s="225">
        <v>47290</v>
      </c>
      <c r="J131" s="225">
        <v>44400</v>
      </c>
      <c r="K131" s="254">
        <v>44800</v>
      </c>
      <c r="L131" s="232">
        <v>656572228</v>
      </c>
      <c r="M131" s="598">
        <v>1438252</v>
      </c>
      <c r="N131" s="232">
        <v>1630</v>
      </c>
      <c r="O131" s="272">
        <v>45401.708437499998</v>
      </c>
      <c r="P131" s="281">
        <v>130</v>
      </c>
      <c r="Q131" s="259">
        <v>0</v>
      </c>
      <c r="R131" s="549">
        <v>0</v>
      </c>
      <c r="S131" s="571">
        <v>0</v>
      </c>
      <c r="T131" s="242">
        <v>0</v>
      </c>
      <c r="U131" s="440"/>
      <c r="V131" s="338">
        <v>0</v>
      </c>
      <c r="W131" s="364">
        <f>V130*(F130/100)</f>
        <v>0</v>
      </c>
      <c r="X131" s="565"/>
      <c r="Y131" s="448">
        <f>IFERROR(INT($Y$1/(F130/100)),"")</f>
        <v>222</v>
      </c>
      <c r="Z131" s="528"/>
      <c r="AA131" s="529"/>
      <c r="AB131" s="38"/>
    </row>
    <row r="132" spans="1:28" ht="12.75" customHeight="1">
      <c r="A132" s="767" t="s">
        <v>551</v>
      </c>
      <c r="B132" s="245"/>
      <c r="C132" s="298"/>
      <c r="D132" s="252"/>
      <c r="E132" s="505"/>
      <c r="F132" s="800"/>
      <c r="G132" s="785"/>
      <c r="H132" s="237"/>
      <c r="I132" s="226"/>
      <c r="J132" s="226"/>
      <c r="K132" s="257">
        <v>23.22</v>
      </c>
      <c r="L132" s="244"/>
      <c r="M132" s="783"/>
      <c r="N132" s="244"/>
      <c r="O132" s="273"/>
      <c r="P132" s="282">
        <v>131</v>
      </c>
      <c r="Q132" s="260">
        <v>0</v>
      </c>
      <c r="R132" s="558">
        <v>0</v>
      </c>
      <c r="S132" s="572">
        <v>0</v>
      </c>
      <c r="T132" s="241">
        <v>0</v>
      </c>
      <c r="U132" s="441"/>
      <c r="V132" s="295"/>
      <c r="W132" s="365">
        <f t="shared" ref="W132" si="60">(V132*X132)</f>
        <v>0</v>
      </c>
      <c r="X132" s="569"/>
      <c r="Y132" s="530">
        <f>IF(D132&lt;&gt;0,($C133*(1-$V$1))-$D132,0)</f>
        <v>0</v>
      </c>
      <c r="Z132" s="531" t="str">
        <f>IFERROR(IF(C132&lt;&gt;"",$Y$1/(D130/100)*(C132/100),""),"")</f>
        <v/>
      </c>
      <c r="AA132" s="532" t="str">
        <f>IFERROR($AA$1/(D132/100)*(C130/100),"")</f>
        <v/>
      </c>
      <c r="AB132" s="38"/>
    </row>
    <row r="133" spans="1:28" ht="12.75" customHeight="1">
      <c r="A133" s="426" t="s">
        <v>242</v>
      </c>
      <c r="B133" s="510"/>
      <c r="C133" s="236"/>
      <c r="D133" s="352"/>
      <c r="E133" s="515"/>
      <c r="F133" s="794"/>
      <c r="G133" s="786"/>
      <c r="H133" s="234"/>
      <c r="I133" s="225"/>
      <c r="J133" s="225"/>
      <c r="K133" s="254">
        <v>26</v>
      </c>
      <c r="L133" s="232"/>
      <c r="M133" s="598"/>
      <c r="N133" s="232"/>
      <c r="O133" s="272"/>
      <c r="P133" s="281">
        <v>132</v>
      </c>
      <c r="Q133" s="259">
        <v>0</v>
      </c>
      <c r="R133" s="549">
        <v>0</v>
      </c>
      <c r="S133" s="571">
        <v>0</v>
      </c>
      <c r="T133" s="242">
        <v>0</v>
      </c>
      <c r="U133" s="440"/>
      <c r="V133" s="294">
        <v>0</v>
      </c>
      <c r="W133" s="366">
        <f>V132*(F132/100)</f>
        <v>0</v>
      </c>
      <c r="X133" s="565"/>
      <c r="Y133" s="449" t="str">
        <f>IFERROR(INT($AA$1/(F132/100)),"")</f>
        <v/>
      </c>
      <c r="Z133" s="533" t="str">
        <f>IFERROR(IF(C133&lt;&gt;"",$Y$1/(D131/100)*(C133/100),""),"")</f>
        <v/>
      </c>
      <c r="AA133" s="534" t="str">
        <f>IFERROR($AA$1/(D133/100)*(C131/100),"")</f>
        <v/>
      </c>
      <c r="AB133" s="38"/>
    </row>
    <row r="134" spans="1:28" ht="12.75" customHeight="1">
      <c r="A134" s="767" t="s">
        <v>552</v>
      </c>
      <c r="B134" s="245">
        <v>15464</v>
      </c>
      <c r="C134" s="298">
        <v>44.5</v>
      </c>
      <c r="D134" s="252">
        <v>44.81</v>
      </c>
      <c r="E134" s="505">
        <v>10734</v>
      </c>
      <c r="F134" s="800">
        <v>44.5</v>
      </c>
      <c r="G134" s="785">
        <v>1.1299999999999999E-2</v>
      </c>
      <c r="H134" s="237">
        <v>43.8</v>
      </c>
      <c r="I134" s="226">
        <v>45.5</v>
      </c>
      <c r="J134" s="226">
        <v>43.8</v>
      </c>
      <c r="K134" s="257">
        <v>44</v>
      </c>
      <c r="L134" s="244">
        <v>62280</v>
      </c>
      <c r="M134" s="783">
        <v>139565</v>
      </c>
      <c r="N134" s="244">
        <v>186</v>
      </c>
      <c r="O134" s="273">
        <v>45401.687615740739</v>
      </c>
      <c r="P134" s="282">
        <v>133</v>
      </c>
      <c r="Q134" s="260">
        <v>0</v>
      </c>
      <c r="R134" s="558">
        <v>0</v>
      </c>
      <c r="S134" s="572">
        <v>0</v>
      </c>
      <c r="T134" s="241">
        <v>0</v>
      </c>
      <c r="U134" s="441"/>
      <c r="V134" s="336">
        <v>0</v>
      </c>
      <c r="W134" s="367">
        <f t="shared" ref="W134" si="61">(V134*X134)</f>
        <v>0</v>
      </c>
      <c r="X134" s="567"/>
      <c r="Y134" s="535">
        <f>IF(D134&lt;&gt;0,($C135*(1-$V$1))-$D134,0)</f>
        <v>-0.45000000000000284</v>
      </c>
      <c r="Z134" s="536">
        <f>IFERROR(IF(C134&lt;&gt;"",$Y$1/(D130/100)*(C134/100),""),"")</f>
        <v>99.070405641174744</v>
      </c>
      <c r="AA134" s="537">
        <f>IFERROR($Z$1/(D134/100)*(C130/100),"")</f>
        <v>100870.34144164249</v>
      </c>
      <c r="AB134" s="38"/>
    </row>
    <row r="135" spans="1:28" ht="12.75" customHeight="1">
      <c r="A135" s="741" t="s">
        <v>243</v>
      </c>
      <c r="B135" s="763">
        <v>2663</v>
      </c>
      <c r="C135" s="743">
        <v>44.36</v>
      </c>
      <c r="D135" s="744">
        <v>44.9</v>
      </c>
      <c r="E135" s="764">
        <v>19980</v>
      </c>
      <c r="F135" s="802">
        <v>44.9</v>
      </c>
      <c r="G135" s="791">
        <v>1.6899999999999998E-2</v>
      </c>
      <c r="H135" s="746">
        <v>44.95</v>
      </c>
      <c r="I135" s="747">
        <v>44.99</v>
      </c>
      <c r="J135" s="747">
        <v>44.037999999999997</v>
      </c>
      <c r="K135" s="765">
        <v>44.15</v>
      </c>
      <c r="L135" s="750">
        <v>106501</v>
      </c>
      <c r="M135" s="784">
        <v>238708</v>
      </c>
      <c r="N135" s="750">
        <v>305</v>
      </c>
      <c r="O135" s="751">
        <v>45401.704629629632</v>
      </c>
      <c r="P135" s="752">
        <v>134</v>
      </c>
      <c r="Q135" s="753">
        <v>0</v>
      </c>
      <c r="R135" s="754">
        <v>0</v>
      </c>
      <c r="S135" s="755">
        <v>0</v>
      </c>
      <c r="T135" s="756">
        <v>0</v>
      </c>
      <c r="U135" s="440"/>
      <c r="V135" s="337">
        <v>0</v>
      </c>
      <c r="W135" s="721">
        <f>V134*(F134/100)</f>
        <v>0</v>
      </c>
      <c r="X135" s="585"/>
      <c r="Y135" s="715">
        <f>IFERROR(INT($Z$1/(F134/100)),"")</f>
        <v>224</v>
      </c>
      <c r="Z135" s="716">
        <f>IFERROR(IF(C135&lt;&gt;"",$Y$1/(D131/100)*(C135/100),""),"")</f>
        <v>98.867130407360008</v>
      </c>
      <c r="AA135" s="717">
        <f>IFERROR($Z$1/(D135/100)*(C131/100),"")</f>
        <v>100000</v>
      </c>
      <c r="AB135" s="38"/>
    </row>
    <row r="136" spans="1:28" ht="12.75" customHeight="1">
      <c r="A136" s="768" t="s">
        <v>553</v>
      </c>
      <c r="B136" s="245">
        <v>320</v>
      </c>
      <c r="C136" s="298">
        <v>62500</v>
      </c>
      <c r="D136" s="252">
        <v>63100</v>
      </c>
      <c r="E136" s="505">
        <v>3730</v>
      </c>
      <c r="F136" s="800">
        <v>62600</v>
      </c>
      <c r="G136" s="785">
        <v>-4.4000000000000003E-3</v>
      </c>
      <c r="H136" s="235">
        <v>62690</v>
      </c>
      <c r="I136" s="227">
        <v>63250</v>
      </c>
      <c r="J136" s="227">
        <v>62200</v>
      </c>
      <c r="K136" s="256">
        <v>62880</v>
      </c>
      <c r="L136" s="248">
        <v>36473378</v>
      </c>
      <c r="M136" s="597">
        <v>58053</v>
      </c>
      <c r="N136" s="248">
        <v>107</v>
      </c>
      <c r="O136" s="271">
        <v>45401.68236111111</v>
      </c>
      <c r="P136" s="282">
        <v>135</v>
      </c>
      <c r="Q136" s="261">
        <v>0</v>
      </c>
      <c r="R136" s="550">
        <v>0</v>
      </c>
      <c r="S136" s="570">
        <v>0</v>
      </c>
      <c r="T136" s="243">
        <v>0</v>
      </c>
      <c r="U136" s="441"/>
      <c r="V136" s="339"/>
      <c r="W136" s="368">
        <f t="shared" ref="W136" si="62">(V136*X136)</f>
        <v>0</v>
      </c>
      <c r="X136" s="566"/>
      <c r="Y136" s="524">
        <f>IF(D136&lt;&gt;0,($C137*(1-$V$1))-$D136,0)</f>
        <v>50</v>
      </c>
      <c r="Z136" s="526"/>
      <c r="AA136" s="527"/>
      <c r="AB136" s="38"/>
    </row>
    <row r="137" spans="1:28" ht="12.75" customHeight="1">
      <c r="A137" s="426" t="s">
        <v>187</v>
      </c>
      <c r="B137" s="510">
        <v>15691</v>
      </c>
      <c r="C137" s="236">
        <v>63150</v>
      </c>
      <c r="D137" s="352">
        <v>63290</v>
      </c>
      <c r="E137" s="515">
        <v>3730</v>
      </c>
      <c r="F137" s="794">
        <v>63150</v>
      </c>
      <c r="G137" s="786">
        <v>5.6999999999999993E-3</v>
      </c>
      <c r="H137" s="234">
        <v>62790</v>
      </c>
      <c r="I137" s="225">
        <v>63580</v>
      </c>
      <c r="J137" s="225">
        <v>62410</v>
      </c>
      <c r="K137" s="254">
        <v>62790</v>
      </c>
      <c r="L137" s="232">
        <v>103023723</v>
      </c>
      <c r="M137" s="598">
        <v>163103</v>
      </c>
      <c r="N137" s="232">
        <v>278</v>
      </c>
      <c r="O137" s="272">
        <v>45401.708553240744</v>
      </c>
      <c r="P137" s="281">
        <v>136</v>
      </c>
      <c r="Q137" s="259">
        <v>0</v>
      </c>
      <c r="R137" s="549">
        <v>0</v>
      </c>
      <c r="S137" s="571">
        <v>0</v>
      </c>
      <c r="T137" s="242">
        <v>0</v>
      </c>
      <c r="U137" s="440"/>
      <c r="V137" s="338">
        <v>0</v>
      </c>
      <c r="W137" s="364">
        <f>V136*(F136/100)</f>
        <v>0</v>
      </c>
      <c r="X137" s="565"/>
      <c r="Y137" s="448">
        <f>IFERROR(INT($Y$1/(F136/100)),"")</f>
        <v>162</v>
      </c>
      <c r="Z137" s="528"/>
      <c r="AA137" s="529"/>
      <c r="AB137" s="38"/>
    </row>
    <row r="138" spans="1:28" ht="12.75" customHeight="1">
      <c r="A138" s="767" t="s">
        <v>554</v>
      </c>
      <c r="B138" s="245"/>
      <c r="C138" s="298"/>
      <c r="D138" s="252"/>
      <c r="E138" s="505"/>
      <c r="F138" s="800"/>
      <c r="G138" s="785"/>
      <c r="H138" s="237"/>
      <c r="I138" s="226"/>
      <c r="J138" s="226"/>
      <c r="K138" s="257">
        <v>52</v>
      </c>
      <c r="L138" s="244"/>
      <c r="M138" s="783"/>
      <c r="N138" s="244"/>
      <c r="O138" s="273"/>
      <c r="P138" s="282">
        <v>137</v>
      </c>
      <c r="Q138" s="260">
        <v>0</v>
      </c>
      <c r="R138" s="558">
        <v>0</v>
      </c>
      <c r="S138" s="572">
        <v>0</v>
      </c>
      <c r="T138" s="241">
        <v>0</v>
      </c>
      <c r="U138" s="441"/>
      <c r="V138" s="295"/>
      <c r="W138" s="365">
        <f t="shared" ref="W138" si="63">(V138*X138)</f>
        <v>0</v>
      </c>
      <c r="X138" s="569"/>
      <c r="Y138" s="530">
        <f>IF(D138&lt;&gt;0,($C139*(1-$V$1))-$D138,0)</f>
        <v>0</v>
      </c>
      <c r="Z138" s="531" t="str">
        <f>IFERROR(IF(C138&lt;&gt;"",$Y$1/(D136/100)*(C138/100),""),"")</f>
        <v/>
      </c>
      <c r="AA138" s="532" t="str">
        <f>IFERROR($Z$1/(D138/100)*(C136/100),"")</f>
        <v/>
      </c>
      <c r="AB138" s="38"/>
    </row>
    <row r="139" spans="1:28" ht="12.75" customHeight="1">
      <c r="A139" s="426" t="s">
        <v>232</v>
      </c>
      <c r="B139" s="510"/>
      <c r="C139" s="236"/>
      <c r="D139" s="352"/>
      <c r="E139" s="515"/>
      <c r="F139" s="794"/>
      <c r="G139" s="786"/>
      <c r="H139" s="234"/>
      <c r="I139" s="225"/>
      <c r="J139" s="225"/>
      <c r="K139" s="254">
        <v>40</v>
      </c>
      <c r="L139" s="232"/>
      <c r="M139" s="598"/>
      <c r="N139" s="232"/>
      <c r="O139" s="272"/>
      <c r="P139" s="281">
        <v>138</v>
      </c>
      <c r="Q139" s="259">
        <v>0</v>
      </c>
      <c r="R139" s="549">
        <v>0</v>
      </c>
      <c r="S139" s="571">
        <v>0</v>
      </c>
      <c r="T139" s="242">
        <v>0</v>
      </c>
      <c r="U139" s="440"/>
      <c r="V139" s="294">
        <v>0</v>
      </c>
      <c r="W139" s="366">
        <f>V138*(F138/100)</f>
        <v>0</v>
      </c>
      <c r="X139" s="565"/>
      <c r="Y139" s="449" t="str">
        <f>IFERROR(INT($AA$1/(F138/100)),"")</f>
        <v/>
      </c>
      <c r="Z139" s="533" t="str">
        <f>IFERROR(IF(C139&lt;&gt;"",$Y$1/(D137/100)*(C139/100),""),"")</f>
        <v/>
      </c>
      <c r="AA139" s="534" t="str">
        <f>IFERROR($Z$1/(D139/100)*(C137/100),"")</f>
        <v/>
      </c>
      <c r="AB139" s="38"/>
    </row>
    <row r="140" spans="1:28" ht="12.75" customHeight="1">
      <c r="A140" s="767" t="s">
        <v>555</v>
      </c>
      <c r="B140" s="245">
        <v>2436</v>
      </c>
      <c r="C140" s="298">
        <v>61.57</v>
      </c>
      <c r="D140" s="252">
        <v>63.14</v>
      </c>
      <c r="E140" s="505">
        <v>2007</v>
      </c>
      <c r="F140" s="800">
        <v>62.43</v>
      </c>
      <c r="G140" s="785">
        <v>-9.0000000000000011E-3</v>
      </c>
      <c r="H140" s="237">
        <v>63</v>
      </c>
      <c r="I140" s="226">
        <v>63.33</v>
      </c>
      <c r="J140" s="226">
        <v>61.4</v>
      </c>
      <c r="K140" s="257">
        <v>63</v>
      </c>
      <c r="L140" s="244">
        <v>18672</v>
      </c>
      <c r="M140" s="783">
        <v>29896</v>
      </c>
      <c r="N140" s="244">
        <v>21</v>
      </c>
      <c r="O140" s="273">
        <v>45401.647905092592</v>
      </c>
      <c r="P140" s="282">
        <v>139</v>
      </c>
      <c r="Q140" s="260">
        <v>0</v>
      </c>
      <c r="R140" s="558">
        <v>0</v>
      </c>
      <c r="S140" s="572">
        <v>0</v>
      </c>
      <c r="T140" s="241">
        <v>0</v>
      </c>
      <c r="U140" s="441"/>
      <c r="V140" s="336">
        <v>0</v>
      </c>
      <c r="W140" s="367">
        <f t="shared" ref="W140" si="64">(V140*X140)</f>
        <v>0</v>
      </c>
      <c r="X140" s="567"/>
      <c r="Y140" s="535">
        <f>IF(D140&lt;&gt;0,($C141*(1-$V$1))-$D140,0)</f>
        <v>-1.1400000000000006</v>
      </c>
      <c r="Z140" s="536">
        <f>IFERROR(IF(C140&lt;&gt;"",$Y$1/(D136/100)*(C140/100),""),"")</f>
        <v>99.057774645174277</v>
      </c>
      <c r="AA140" s="537">
        <f>IFERROR($Z$1/(D140/100)*(C136/100),"")</f>
        <v>98986.379474184359</v>
      </c>
      <c r="AB140" s="38"/>
    </row>
    <row r="141" spans="1:28" ht="12.75" customHeight="1">
      <c r="A141" s="741" t="s">
        <v>233</v>
      </c>
      <c r="B141" s="763">
        <v>1697</v>
      </c>
      <c r="C141" s="743">
        <v>62</v>
      </c>
      <c r="D141" s="744">
        <v>62.95</v>
      </c>
      <c r="E141" s="764">
        <v>4281</v>
      </c>
      <c r="F141" s="802">
        <v>62.95</v>
      </c>
      <c r="G141" s="791">
        <v>2.3E-3</v>
      </c>
      <c r="H141" s="746">
        <v>62</v>
      </c>
      <c r="I141" s="747">
        <v>63.25</v>
      </c>
      <c r="J141" s="747">
        <v>61.2</v>
      </c>
      <c r="K141" s="765">
        <v>62.8</v>
      </c>
      <c r="L141" s="750">
        <v>50231</v>
      </c>
      <c r="M141" s="784">
        <v>79982</v>
      </c>
      <c r="N141" s="750">
        <v>65</v>
      </c>
      <c r="O141" s="751">
        <v>45401.708356481482</v>
      </c>
      <c r="P141" s="752">
        <v>140</v>
      </c>
      <c r="Q141" s="753">
        <v>0</v>
      </c>
      <c r="R141" s="754">
        <v>0</v>
      </c>
      <c r="S141" s="755">
        <v>0</v>
      </c>
      <c r="T141" s="756">
        <v>0</v>
      </c>
      <c r="U141" s="440"/>
      <c r="V141" s="337">
        <v>0</v>
      </c>
      <c r="W141" s="721">
        <f>V140*(F140/100)</f>
        <v>0</v>
      </c>
      <c r="X141" s="585"/>
      <c r="Y141" s="715">
        <f>IFERROR(INT($Z$1/(F140/100)),"")</f>
        <v>160</v>
      </c>
      <c r="Z141" s="716">
        <f>IFERROR(IF(C141&lt;&gt;"",$Y$1/(D137/100)*(C141/100),""),"")</f>
        <v>99.450132643824048</v>
      </c>
      <c r="AA141" s="717">
        <f>IFERROR($Z$1/(D141/100)*(C137/100),"")</f>
        <v>100317.71247021445</v>
      </c>
      <c r="AB141" s="38"/>
    </row>
    <row r="142" spans="1:28" ht="12.75" customHeight="1">
      <c r="A142" s="768" t="s">
        <v>556</v>
      </c>
      <c r="B142" s="245">
        <v>7</v>
      </c>
      <c r="C142" s="298">
        <v>49700</v>
      </c>
      <c r="D142" s="252">
        <v>49995</v>
      </c>
      <c r="E142" s="505">
        <v>305</v>
      </c>
      <c r="F142" s="800">
        <v>49995</v>
      </c>
      <c r="G142" s="785">
        <v>1.8200000000000001E-2</v>
      </c>
      <c r="H142" s="235">
        <v>49190</v>
      </c>
      <c r="I142" s="227">
        <v>50000</v>
      </c>
      <c r="J142" s="227">
        <v>48700</v>
      </c>
      <c r="K142" s="256">
        <v>49100</v>
      </c>
      <c r="L142" s="248">
        <v>465905326</v>
      </c>
      <c r="M142" s="597">
        <v>942966</v>
      </c>
      <c r="N142" s="248">
        <v>1181</v>
      </c>
      <c r="O142" s="271">
        <v>45401.687800925924</v>
      </c>
      <c r="P142" s="282">
        <v>141</v>
      </c>
      <c r="Q142" s="261">
        <v>0</v>
      </c>
      <c r="R142" s="550">
        <v>0</v>
      </c>
      <c r="S142" s="570">
        <v>0</v>
      </c>
      <c r="T142" s="243">
        <v>0</v>
      </c>
      <c r="U142" s="441"/>
      <c r="V142" s="339"/>
      <c r="W142" s="368">
        <f t="shared" ref="W142" si="65">(V142*X142)</f>
        <v>0</v>
      </c>
      <c r="X142" s="566"/>
      <c r="Y142" s="524">
        <f>IF(D142&lt;&gt;0,($C143*(1-$V$1))-$D142,0)</f>
        <v>45</v>
      </c>
      <c r="Z142" s="526"/>
      <c r="AA142" s="527"/>
      <c r="AB142" s="38"/>
    </row>
    <row r="143" spans="1:28" ht="12.75" customHeight="1">
      <c r="A143" s="426" t="s">
        <v>164</v>
      </c>
      <c r="B143" s="510">
        <v>1</v>
      </c>
      <c r="C143" s="236">
        <v>50040</v>
      </c>
      <c r="D143" s="352">
        <v>50150</v>
      </c>
      <c r="E143" s="515">
        <v>50</v>
      </c>
      <c r="F143" s="794">
        <v>50100</v>
      </c>
      <c r="G143" s="786">
        <v>1.84E-2</v>
      </c>
      <c r="H143" s="234">
        <v>49200</v>
      </c>
      <c r="I143" s="225">
        <v>50220</v>
      </c>
      <c r="J143" s="225">
        <v>48810</v>
      </c>
      <c r="K143" s="254">
        <v>49190</v>
      </c>
      <c r="L143" s="232">
        <v>12719363604</v>
      </c>
      <c r="M143" s="598">
        <v>25537830</v>
      </c>
      <c r="N143" s="232">
        <v>4233</v>
      </c>
      <c r="O143" s="272">
        <v>45401.708645833336</v>
      </c>
      <c r="P143" s="281">
        <v>142</v>
      </c>
      <c r="Q143" s="259">
        <v>0</v>
      </c>
      <c r="R143" s="549">
        <v>0</v>
      </c>
      <c r="S143" s="571">
        <v>0</v>
      </c>
      <c r="T143" s="242">
        <v>0</v>
      </c>
      <c r="U143" s="440"/>
      <c r="V143" s="338">
        <v>0</v>
      </c>
      <c r="W143" s="364">
        <f>V142*(F142/100)</f>
        <v>0</v>
      </c>
      <c r="X143" s="565"/>
      <c r="Y143" s="448">
        <f>IFERROR(INT($Y$1/(F142/100)),"")</f>
        <v>203</v>
      </c>
      <c r="Z143" s="528"/>
      <c r="AA143" s="529"/>
      <c r="AB143" s="38"/>
    </row>
    <row r="144" spans="1:28" ht="12.75" customHeight="1">
      <c r="A144" s="767" t="s">
        <v>557</v>
      </c>
      <c r="B144" s="245">
        <v>14632</v>
      </c>
      <c r="C144" s="298">
        <v>46.5</v>
      </c>
      <c r="D144" s="252">
        <v>47.3</v>
      </c>
      <c r="E144" s="505">
        <v>50000</v>
      </c>
      <c r="F144" s="800"/>
      <c r="G144" s="785"/>
      <c r="H144" s="237"/>
      <c r="I144" s="226"/>
      <c r="J144" s="226"/>
      <c r="K144" s="257">
        <v>46.75</v>
      </c>
      <c r="L144" s="244"/>
      <c r="M144" s="783"/>
      <c r="N144" s="244"/>
      <c r="O144" s="273"/>
      <c r="P144" s="282">
        <v>143</v>
      </c>
      <c r="Q144" s="260">
        <v>0</v>
      </c>
      <c r="R144" s="558">
        <v>0</v>
      </c>
      <c r="S144" s="572">
        <v>0</v>
      </c>
      <c r="T144" s="241">
        <v>0</v>
      </c>
      <c r="U144" s="441"/>
      <c r="V144" s="295"/>
      <c r="W144" s="365">
        <f t="shared" ref="W144" si="66">(V144*X144)</f>
        <v>0</v>
      </c>
      <c r="X144" s="569"/>
      <c r="Y144" s="530">
        <f>IF(D144&lt;&gt;0,($C145*(1-$V$1))-$D144,0)</f>
        <v>-0.79899999999999949</v>
      </c>
      <c r="Z144" s="531">
        <f>IFERROR(IF(C144&lt;&gt;"",$Y$1/(D142/100)*(C144/100),""),"")</f>
        <v>94.422425667981159</v>
      </c>
      <c r="AA144" s="532">
        <f>IFERROR($AA$1/(D144/100)*(C142/100),"")</f>
        <v>105073.99577167019</v>
      </c>
      <c r="AB144" s="38"/>
    </row>
    <row r="145" spans="1:32" ht="12.75" customHeight="1">
      <c r="A145" s="426" t="s">
        <v>220</v>
      </c>
      <c r="B145" s="510">
        <v>955</v>
      </c>
      <c r="C145" s="236">
        <v>46.500999999999998</v>
      </c>
      <c r="D145" s="352">
        <v>47.25</v>
      </c>
      <c r="E145" s="515">
        <v>100000</v>
      </c>
      <c r="F145" s="794">
        <v>47.2</v>
      </c>
      <c r="G145" s="786">
        <v>1.4999999999999999E-2</v>
      </c>
      <c r="H145" s="234">
        <v>46.9</v>
      </c>
      <c r="I145" s="225">
        <v>47.2</v>
      </c>
      <c r="J145" s="225">
        <v>46.5</v>
      </c>
      <c r="K145" s="254">
        <v>46.5</v>
      </c>
      <c r="L145" s="232">
        <v>310174</v>
      </c>
      <c r="M145" s="598">
        <v>664755</v>
      </c>
      <c r="N145" s="232">
        <v>9</v>
      </c>
      <c r="O145" s="272">
        <v>45401.686643518522</v>
      </c>
      <c r="P145" s="281">
        <v>144</v>
      </c>
      <c r="Q145" s="259">
        <v>0</v>
      </c>
      <c r="R145" s="549">
        <v>0</v>
      </c>
      <c r="S145" s="571">
        <v>0</v>
      </c>
      <c r="T145" s="242">
        <v>0</v>
      </c>
      <c r="U145" s="440"/>
      <c r="V145" s="294">
        <v>0</v>
      </c>
      <c r="W145" s="366">
        <f>V144*(F144/100)</f>
        <v>0</v>
      </c>
      <c r="X145" s="565"/>
      <c r="Y145" s="449" t="str">
        <f>IFERROR(INT($AA$1/(F144/100)),"")</f>
        <v/>
      </c>
      <c r="Z145" s="533">
        <f>IFERROR(IF(C145&lt;&gt;"",$Y$1/(D143/100)*(C145/100),""),"")</f>
        <v>94.132615964261902</v>
      </c>
      <c r="AA145" s="534">
        <f>IFERROR($AA$1/(D145/100)*(C143/100),"")</f>
        <v>105904.76190476191</v>
      </c>
      <c r="AB145" s="38"/>
    </row>
    <row r="146" spans="1:32" ht="12.75" customHeight="1">
      <c r="A146" s="767" t="s">
        <v>558</v>
      </c>
      <c r="B146" s="245">
        <v>161008</v>
      </c>
      <c r="C146" s="298">
        <v>49</v>
      </c>
      <c r="D146" s="252">
        <v>49.098999999999997</v>
      </c>
      <c r="E146" s="505">
        <v>17308</v>
      </c>
      <c r="F146" s="800">
        <v>49.098999999999997</v>
      </c>
      <c r="G146" s="785">
        <v>1.23E-2</v>
      </c>
      <c r="H146" s="237">
        <v>48</v>
      </c>
      <c r="I146" s="226">
        <v>49.45</v>
      </c>
      <c r="J146" s="226">
        <v>46.5</v>
      </c>
      <c r="K146" s="257">
        <v>48.5</v>
      </c>
      <c r="L146" s="244">
        <v>315365</v>
      </c>
      <c r="M146" s="783">
        <v>648579</v>
      </c>
      <c r="N146" s="244">
        <v>476</v>
      </c>
      <c r="O146" s="273">
        <v>45401.687835648147</v>
      </c>
      <c r="P146" s="282">
        <v>145</v>
      </c>
      <c r="Q146" s="260">
        <v>0</v>
      </c>
      <c r="R146" s="558">
        <v>0</v>
      </c>
      <c r="S146" s="572">
        <v>0</v>
      </c>
      <c r="T146" s="241">
        <v>0</v>
      </c>
      <c r="U146" s="441"/>
      <c r="V146" s="336"/>
      <c r="W146" s="367">
        <f t="shared" ref="W146" si="67">(V146*X146)</f>
        <v>0</v>
      </c>
      <c r="X146" s="567"/>
      <c r="Y146" s="535">
        <f>IF(D146&lt;&gt;0,($C147*(1-$V$1))-$D146,0)</f>
        <v>-0.26899999999999835</v>
      </c>
      <c r="Z146" s="536">
        <f>IFERROR(IF(C146&lt;&gt;"",$Y$1/(D142/100)*(C146/100),""),"")</f>
        <v>99.498900166259702</v>
      </c>
      <c r="AA146" s="537">
        <f>IFERROR($Z$1/(D146/100)*(C142/100),"")</f>
        <v>101224.05751644637</v>
      </c>
      <c r="AB146" s="38"/>
    </row>
    <row r="147" spans="1:32" ht="12.75" customHeight="1">
      <c r="A147" s="741" t="s">
        <v>221</v>
      </c>
      <c r="B147" s="763">
        <v>3905</v>
      </c>
      <c r="C147" s="743">
        <v>48.83</v>
      </c>
      <c r="D147" s="744">
        <v>49.34</v>
      </c>
      <c r="E147" s="764">
        <v>15835</v>
      </c>
      <c r="F147" s="802">
        <v>49.34</v>
      </c>
      <c r="G147" s="791">
        <v>2.5699999999999997E-2</v>
      </c>
      <c r="H147" s="746">
        <v>48.58</v>
      </c>
      <c r="I147" s="747">
        <v>49.7</v>
      </c>
      <c r="J147" s="747">
        <v>47.052</v>
      </c>
      <c r="K147" s="765">
        <v>48.1</v>
      </c>
      <c r="L147" s="750">
        <v>2163490</v>
      </c>
      <c r="M147" s="784">
        <v>4444867</v>
      </c>
      <c r="N147" s="750">
        <v>1431</v>
      </c>
      <c r="O147" s="751">
        <v>45401.705937500003</v>
      </c>
      <c r="P147" s="752">
        <v>146</v>
      </c>
      <c r="Q147" s="753">
        <v>0</v>
      </c>
      <c r="R147" s="754">
        <v>0</v>
      </c>
      <c r="S147" s="755">
        <v>0</v>
      </c>
      <c r="T147" s="756">
        <v>0</v>
      </c>
      <c r="U147" s="440"/>
      <c r="V147" s="337">
        <v>0</v>
      </c>
      <c r="W147" s="721">
        <f>V146*(F146/100)</f>
        <v>0</v>
      </c>
      <c r="X147" s="585"/>
      <c r="Y147" s="715">
        <f>IFERROR(INT($Z$1/(F146/100)),"")</f>
        <v>203</v>
      </c>
      <c r="Z147" s="716">
        <f>IFERROR(IF(C147&lt;&gt;"",$Y$1/(D143/100)*(C147/100),""),"")</f>
        <v>98.847242801980784</v>
      </c>
      <c r="AA147" s="717">
        <f>IFERROR($Z$1/(D147/100)*(C143/100),"")</f>
        <v>101418.72719902714</v>
      </c>
      <c r="AB147" s="38"/>
    </row>
    <row r="148" spans="1:32" ht="12.75" customHeight="1">
      <c r="A148" s="768" t="s">
        <v>562</v>
      </c>
      <c r="B148" s="245">
        <v>1884</v>
      </c>
      <c r="C148" s="298">
        <v>55300</v>
      </c>
      <c r="D148" s="252">
        <v>55500</v>
      </c>
      <c r="E148" s="505">
        <v>23</v>
      </c>
      <c r="F148" s="800">
        <v>55330</v>
      </c>
      <c r="G148" s="785">
        <v>2.0799999999999999E-2</v>
      </c>
      <c r="H148" s="235">
        <v>56140</v>
      </c>
      <c r="I148" s="227">
        <v>56690</v>
      </c>
      <c r="J148" s="227">
        <v>54730</v>
      </c>
      <c r="K148" s="256">
        <v>54200</v>
      </c>
      <c r="L148" s="248">
        <v>73355735</v>
      </c>
      <c r="M148" s="597">
        <v>132493</v>
      </c>
      <c r="N148" s="248">
        <v>222</v>
      </c>
      <c r="O148" s="271">
        <v>45401.682129629633</v>
      </c>
      <c r="P148" s="282">
        <v>147</v>
      </c>
      <c r="Q148" s="261">
        <v>0</v>
      </c>
      <c r="R148" s="550">
        <v>0</v>
      </c>
      <c r="S148" s="570">
        <v>0</v>
      </c>
      <c r="T148" s="243">
        <v>0</v>
      </c>
      <c r="U148" s="441"/>
      <c r="V148" s="339">
        <v>0</v>
      </c>
      <c r="W148" s="368">
        <f t="shared" ref="W148" si="68">(V148*X148)</f>
        <v>0</v>
      </c>
      <c r="X148" s="566"/>
      <c r="Y148" s="524">
        <f>IF(D148&lt;&gt;0,($C149*(1-$V$1))-$D148,0)</f>
        <v>0</v>
      </c>
      <c r="Z148" s="526"/>
      <c r="AA148" s="527"/>
      <c r="AB148" s="38"/>
    </row>
    <row r="149" spans="1:32" ht="12.75" customHeight="1">
      <c r="A149" s="426" t="s">
        <v>190</v>
      </c>
      <c r="B149" s="510">
        <v>1167</v>
      </c>
      <c r="C149" s="236">
        <v>55500</v>
      </c>
      <c r="D149" s="352">
        <v>55880</v>
      </c>
      <c r="E149" s="515">
        <v>5</v>
      </c>
      <c r="F149" s="794">
        <v>55500</v>
      </c>
      <c r="G149" s="786">
        <v>9.0000000000000011E-3</v>
      </c>
      <c r="H149" s="234">
        <v>55200</v>
      </c>
      <c r="I149" s="225">
        <v>57460</v>
      </c>
      <c r="J149" s="225">
        <v>55050</v>
      </c>
      <c r="K149" s="254">
        <v>55000</v>
      </c>
      <c r="L149" s="232">
        <v>7021056599</v>
      </c>
      <c r="M149" s="598">
        <v>12592903</v>
      </c>
      <c r="N149" s="232">
        <v>637</v>
      </c>
      <c r="O149" s="272">
        <v>45401.708657407406</v>
      </c>
      <c r="P149" s="281">
        <v>148</v>
      </c>
      <c r="Q149" s="259">
        <v>0</v>
      </c>
      <c r="R149" s="549">
        <v>0</v>
      </c>
      <c r="S149" s="571">
        <v>0</v>
      </c>
      <c r="T149" s="242">
        <v>0</v>
      </c>
      <c r="U149" s="440"/>
      <c r="V149" s="338">
        <v>0</v>
      </c>
      <c r="W149" s="364">
        <f>V148*(F148/100)</f>
        <v>0</v>
      </c>
      <c r="X149" s="565"/>
      <c r="Y149" s="448">
        <f>IFERROR(INT($Y$1/(F148/100)),"")</f>
        <v>183</v>
      </c>
      <c r="Z149" s="528"/>
      <c r="AA149" s="529"/>
      <c r="AB149" s="38"/>
    </row>
    <row r="150" spans="1:32" ht="12.75" customHeight="1">
      <c r="A150" s="767" t="s">
        <v>563</v>
      </c>
      <c r="B150" s="245"/>
      <c r="C150" s="298"/>
      <c r="D150" s="252"/>
      <c r="E150" s="505"/>
      <c r="F150" s="800"/>
      <c r="G150" s="785"/>
      <c r="H150" s="237"/>
      <c r="I150" s="226"/>
      <c r="J150" s="226"/>
      <c r="K150" s="257">
        <v>48.35</v>
      </c>
      <c r="L150" s="244"/>
      <c r="M150" s="783"/>
      <c r="N150" s="244"/>
      <c r="O150" s="273"/>
      <c r="P150" s="282">
        <v>149</v>
      </c>
      <c r="Q150" s="260">
        <v>0</v>
      </c>
      <c r="R150" s="558">
        <v>0</v>
      </c>
      <c r="S150" s="572">
        <v>0</v>
      </c>
      <c r="T150" s="241">
        <v>0</v>
      </c>
      <c r="U150" s="441"/>
      <c r="V150" s="295"/>
      <c r="W150" s="365">
        <f t="shared" ref="W150" si="69">(V150*X150)</f>
        <v>0</v>
      </c>
      <c r="X150" s="569"/>
      <c r="Y150" s="530">
        <f>IF(D150&lt;&gt;0,($C151*(1-$V$1))-$D150,0)</f>
        <v>0</v>
      </c>
      <c r="Z150" s="531" t="str">
        <f>IFERROR(IF(C150&lt;&gt;"",$Y$1/(D148/100)*(C150/100),""),"")</f>
        <v/>
      </c>
      <c r="AA150" s="532" t="str">
        <f>IFERROR($AA$1/(D150/100)*(C148/100),"")</f>
        <v/>
      </c>
      <c r="AB150" s="38"/>
    </row>
    <row r="151" spans="1:32" ht="12.75" customHeight="1">
      <c r="A151" s="426" t="s">
        <v>234</v>
      </c>
      <c r="B151" s="510"/>
      <c r="C151" s="236"/>
      <c r="D151" s="352"/>
      <c r="E151" s="515"/>
      <c r="F151" s="794"/>
      <c r="G151" s="786"/>
      <c r="H151" s="234"/>
      <c r="I151" s="225"/>
      <c r="J151" s="225"/>
      <c r="K151" s="254">
        <v>48</v>
      </c>
      <c r="L151" s="232"/>
      <c r="M151" s="598"/>
      <c r="N151" s="232"/>
      <c r="O151" s="272"/>
      <c r="P151" s="281">
        <v>150</v>
      </c>
      <c r="Q151" s="259">
        <v>0</v>
      </c>
      <c r="R151" s="549">
        <v>0</v>
      </c>
      <c r="S151" s="571">
        <v>0</v>
      </c>
      <c r="T151" s="242">
        <v>0</v>
      </c>
      <c r="U151" s="440"/>
      <c r="V151" s="294">
        <v>0</v>
      </c>
      <c r="W151" s="366">
        <f>V150*(F150/100)</f>
        <v>0</v>
      </c>
      <c r="X151" s="565"/>
      <c r="Y151" s="449" t="str">
        <f>IFERROR(INT($AA$1/(F150/100)),"")</f>
        <v/>
      </c>
      <c r="Z151" s="533" t="str">
        <f>IFERROR(IF(C151&lt;&gt;"",$Y$1/(D149/100)*(C151/100),""),"")</f>
        <v/>
      </c>
      <c r="AA151" s="534" t="str">
        <f>IFERROR($AA$1/(D151/100)*(C149/100),"")</f>
        <v/>
      </c>
      <c r="AB151" s="38"/>
    </row>
    <row r="152" spans="1:32" ht="12.75" customHeight="1">
      <c r="A152" s="767" t="s">
        <v>564</v>
      </c>
      <c r="B152" s="245">
        <v>290</v>
      </c>
      <c r="C152" s="298">
        <v>54.4</v>
      </c>
      <c r="D152" s="252">
        <v>55</v>
      </c>
      <c r="E152" s="505">
        <v>250</v>
      </c>
      <c r="F152" s="800">
        <v>54.44</v>
      </c>
      <c r="G152" s="785">
        <v>8.1000000000000013E-3</v>
      </c>
      <c r="H152" s="237">
        <v>55.41</v>
      </c>
      <c r="I152" s="226">
        <v>55.5</v>
      </c>
      <c r="J152" s="226">
        <v>53.19</v>
      </c>
      <c r="K152" s="257">
        <v>54</v>
      </c>
      <c r="L152" s="244">
        <v>23111</v>
      </c>
      <c r="M152" s="783">
        <v>42158</v>
      </c>
      <c r="N152" s="244">
        <v>88</v>
      </c>
      <c r="O152" s="273">
        <v>45401.672974537039</v>
      </c>
      <c r="P152" s="282">
        <v>151</v>
      </c>
      <c r="Q152" s="260">
        <v>0</v>
      </c>
      <c r="R152" s="558">
        <v>0</v>
      </c>
      <c r="S152" s="572">
        <v>0</v>
      </c>
      <c r="T152" s="241">
        <v>0</v>
      </c>
      <c r="U152" s="441"/>
      <c r="V152" s="336">
        <v>0</v>
      </c>
      <c r="W152" s="367">
        <f t="shared" ref="W152" si="70">(V152*X152)</f>
        <v>0</v>
      </c>
      <c r="X152" s="567"/>
      <c r="Y152" s="535">
        <f>IF(D152&lt;&gt;0,($C153*(1-$V$1))-$D152,0)</f>
        <v>-0.28999999999999915</v>
      </c>
      <c r="Z152" s="536">
        <f>IFERROR(IF(C152&lt;&gt;"",$Y$1/(D148/100)*(C152/100),""),"")</f>
        <v>99.507242048678506</v>
      </c>
      <c r="AA152" s="537">
        <f>IFERROR($Z$1/(D152/100)*(C148/100),"")</f>
        <v>100545.45454545454</v>
      </c>
      <c r="AB152" s="38"/>
    </row>
    <row r="153" spans="1:32" ht="12.75" customHeight="1">
      <c r="A153" s="741" t="s">
        <v>235</v>
      </c>
      <c r="B153" s="763">
        <v>13000</v>
      </c>
      <c r="C153" s="743">
        <v>54.71</v>
      </c>
      <c r="D153" s="744">
        <v>55.1</v>
      </c>
      <c r="E153" s="764">
        <v>15000</v>
      </c>
      <c r="F153" s="802">
        <v>55.09</v>
      </c>
      <c r="G153" s="791">
        <v>1.6399999999999998E-2</v>
      </c>
      <c r="H153" s="746">
        <v>53.2</v>
      </c>
      <c r="I153" s="747">
        <v>55.5</v>
      </c>
      <c r="J153" s="747">
        <v>53.1</v>
      </c>
      <c r="K153" s="765">
        <v>54.2</v>
      </c>
      <c r="L153" s="750">
        <v>93087</v>
      </c>
      <c r="M153" s="784">
        <v>171258</v>
      </c>
      <c r="N153" s="750">
        <v>143</v>
      </c>
      <c r="O153" s="751">
        <v>45401.705787037034</v>
      </c>
      <c r="P153" s="752">
        <v>152</v>
      </c>
      <c r="Q153" s="753">
        <v>0</v>
      </c>
      <c r="R153" s="754">
        <v>0</v>
      </c>
      <c r="S153" s="755">
        <v>0</v>
      </c>
      <c r="T153" s="756">
        <v>0</v>
      </c>
      <c r="U153" s="440"/>
      <c r="V153" s="337">
        <v>0</v>
      </c>
      <c r="W153" s="721">
        <f>V152*(F152/100)</f>
        <v>0</v>
      </c>
      <c r="X153" s="585"/>
      <c r="Y153" s="715">
        <f>IFERROR(INT($Z$1/(F152/100)),"")</f>
        <v>183</v>
      </c>
      <c r="Z153" s="716">
        <f>IFERROR(IF(C153&lt;&gt;"",$Y$1/(D149/100)*(C153/100),""),"")</f>
        <v>99.393753188561121</v>
      </c>
      <c r="AA153" s="717">
        <f>IFERROR($Z$1/(D153/100)*(C149/100),"")</f>
        <v>100725.95281306714</v>
      </c>
      <c r="AB153" s="38"/>
    </row>
    <row r="154" spans="1:32" ht="12.75" customHeight="1">
      <c r="A154" s="768" t="s">
        <v>559</v>
      </c>
      <c r="B154" s="245">
        <v>2103</v>
      </c>
      <c r="C154" s="298">
        <v>47530</v>
      </c>
      <c r="D154" s="252">
        <v>48480</v>
      </c>
      <c r="E154" s="505">
        <v>417</v>
      </c>
      <c r="F154" s="800">
        <v>47650</v>
      </c>
      <c r="G154" s="785">
        <v>1.6799999999999999E-2</v>
      </c>
      <c r="H154" s="235">
        <v>47460</v>
      </c>
      <c r="I154" s="227">
        <v>48500</v>
      </c>
      <c r="J154" s="227">
        <v>46500</v>
      </c>
      <c r="K154" s="256">
        <v>46860</v>
      </c>
      <c r="L154" s="248">
        <v>48053061</v>
      </c>
      <c r="M154" s="597">
        <v>100439</v>
      </c>
      <c r="N154" s="248">
        <v>188</v>
      </c>
      <c r="O154" s="271">
        <v>45401.685046296298</v>
      </c>
      <c r="P154" s="282">
        <v>153</v>
      </c>
      <c r="Q154" s="261"/>
      <c r="R154" s="550">
        <v>0</v>
      </c>
      <c r="S154" s="570">
        <v>0</v>
      </c>
      <c r="T154" s="243">
        <v>0</v>
      </c>
      <c r="U154" s="441"/>
      <c r="V154" s="339">
        <v>0</v>
      </c>
      <c r="W154" s="368">
        <f t="shared" ref="W154" si="71">(V154*X154)</f>
        <v>0</v>
      </c>
      <c r="X154" s="566"/>
      <c r="Y154" s="524">
        <f>IF(D154&lt;&gt;0,($C155*(1-$V$1))-$D154,0)</f>
        <v>-1025</v>
      </c>
      <c r="Z154" s="526"/>
      <c r="AA154" s="527"/>
      <c r="AB154" s="38"/>
      <c r="AC154" s="335">
        <v>28</v>
      </c>
      <c r="AE154" s="47">
        <v>440</v>
      </c>
      <c r="AF154" s="47">
        <f>AC154*AE154</f>
        <v>12320</v>
      </c>
    </row>
    <row r="155" spans="1:32" ht="12.75" customHeight="1">
      <c r="A155" s="426" t="s">
        <v>188</v>
      </c>
      <c r="B155" s="510">
        <v>225</v>
      </c>
      <c r="C155" s="236">
        <v>47455</v>
      </c>
      <c r="D155" s="352">
        <v>47500</v>
      </c>
      <c r="E155" s="515">
        <v>1400</v>
      </c>
      <c r="F155" s="794">
        <v>47600</v>
      </c>
      <c r="G155" s="786">
        <v>3.3E-3</v>
      </c>
      <c r="H155" s="234">
        <v>47700</v>
      </c>
      <c r="I155" s="225">
        <v>48300</v>
      </c>
      <c r="J155" s="225">
        <v>47200</v>
      </c>
      <c r="K155" s="254">
        <v>47440</v>
      </c>
      <c r="L155" s="232">
        <v>3714069430</v>
      </c>
      <c r="M155" s="598">
        <v>7778946</v>
      </c>
      <c r="N155" s="232">
        <v>593</v>
      </c>
      <c r="O155" s="272">
        <v>45401.704699074071</v>
      </c>
      <c r="P155" s="281">
        <v>154</v>
      </c>
      <c r="Q155" s="259"/>
      <c r="R155" s="549">
        <v>0</v>
      </c>
      <c r="S155" s="571">
        <v>0</v>
      </c>
      <c r="T155" s="242">
        <v>0</v>
      </c>
      <c r="U155" s="440"/>
      <c r="V155" s="338">
        <v>0</v>
      </c>
      <c r="W155" s="364">
        <f>V154*(F154/100)</f>
        <v>0</v>
      </c>
      <c r="X155" s="565"/>
      <c r="Y155" s="448">
        <f>IFERROR(INT($Y$1/(F154/100)),"")</f>
        <v>213</v>
      </c>
      <c r="Z155" s="528"/>
      <c r="AA155" s="529"/>
      <c r="AB155" s="38"/>
      <c r="AC155" s="335"/>
      <c r="AF155" s="47">
        <f t="shared" ref="AF155:AF157" si="72">AC155*AE155</f>
        <v>0</v>
      </c>
    </row>
    <row r="156" spans="1:32" ht="12.75" customHeight="1">
      <c r="A156" s="767" t="s">
        <v>560</v>
      </c>
      <c r="B156" s="245"/>
      <c r="C156" s="298"/>
      <c r="D156" s="252"/>
      <c r="E156" s="505"/>
      <c r="F156" s="800"/>
      <c r="G156" s="785"/>
      <c r="H156" s="237"/>
      <c r="I156" s="226"/>
      <c r="J156" s="226"/>
      <c r="K156" s="257">
        <v>36</v>
      </c>
      <c r="L156" s="244"/>
      <c r="M156" s="783"/>
      <c r="N156" s="244"/>
      <c r="O156" s="273"/>
      <c r="P156" s="282">
        <v>155</v>
      </c>
      <c r="Q156" s="260"/>
      <c r="R156" s="558">
        <v>0</v>
      </c>
      <c r="S156" s="572">
        <v>0</v>
      </c>
      <c r="T156" s="241">
        <v>0</v>
      </c>
      <c r="U156" s="441"/>
      <c r="V156" s="295"/>
      <c r="W156" s="365">
        <f t="shared" ref="W156" si="73">(V156*X156)</f>
        <v>0</v>
      </c>
      <c r="X156" s="569"/>
      <c r="Y156" s="530">
        <f>IF(D156&lt;&gt;0,($C157*(1-$V$1))-$D156,0)</f>
        <v>0</v>
      </c>
      <c r="Z156" s="531" t="str">
        <f>IFERROR(IF(C156&lt;&gt;"",$Y$1/(D154/100)*(C156/100),""),"")</f>
        <v/>
      </c>
      <c r="AA156" s="532" t="str">
        <f>IFERROR($AA$1/(D156/100)*(C154/100),"")</f>
        <v/>
      </c>
      <c r="AB156" s="38"/>
      <c r="AC156" s="335"/>
      <c r="AF156" s="47">
        <f t="shared" si="72"/>
        <v>0</v>
      </c>
    </row>
    <row r="157" spans="1:32" ht="12.75" customHeight="1">
      <c r="A157" s="426" t="s">
        <v>236</v>
      </c>
      <c r="B157" s="510"/>
      <c r="C157" s="236"/>
      <c r="D157" s="352"/>
      <c r="E157" s="515"/>
      <c r="F157" s="794"/>
      <c r="G157" s="786"/>
      <c r="H157" s="234"/>
      <c r="I157" s="225"/>
      <c r="J157" s="225"/>
      <c r="K157" s="254">
        <v>42</v>
      </c>
      <c r="L157" s="232"/>
      <c r="M157" s="598"/>
      <c r="N157" s="232"/>
      <c r="O157" s="272"/>
      <c r="P157" s="281">
        <v>156</v>
      </c>
      <c r="Q157" s="259"/>
      <c r="R157" s="549">
        <v>0</v>
      </c>
      <c r="S157" s="571">
        <v>0</v>
      </c>
      <c r="T157" s="242">
        <v>0</v>
      </c>
      <c r="U157" s="440"/>
      <c r="V157" s="294">
        <v>0</v>
      </c>
      <c r="W157" s="366">
        <f>V156*(F156/100)</f>
        <v>0</v>
      </c>
      <c r="X157" s="565"/>
      <c r="Y157" s="449" t="str">
        <f>IFERROR(INT($AA$1/(F156/100)),"")</f>
        <v/>
      </c>
      <c r="Z157" s="533" t="str">
        <f>IFERROR(IF(C157&lt;&gt;"",$Y$1/(D155/100)*(C157/100),""),"")</f>
        <v/>
      </c>
      <c r="AA157" s="534" t="str">
        <f>IFERROR($AA$1/(D157/100)*(C155/100),"")</f>
        <v/>
      </c>
      <c r="AB157" s="38"/>
      <c r="AC157" s="340"/>
      <c r="AD157" s="340"/>
      <c r="AE157" s="340"/>
      <c r="AF157" s="340">
        <f t="shared" si="72"/>
        <v>0</v>
      </c>
    </row>
    <row r="158" spans="1:32" ht="12.75" customHeight="1">
      <c r="A158" s="767" t="s">
        <v>561</v>
      </c>
      <c r="B158" s="245">
        <v>1068</v>
      </c>
      <c r="C158" s="298">
        <v>46.8</v>
      </c>
      <c r="D158" s="252">
        <v>47.5</v>
      </c>
      <c r="E158" s="505">
        <v>6</v>
      </c>
      <c r="F158" s="800">
        <v>47.106000000000002</v>
      </c>
      <c r="G158" s="785">
        <v>1.7299999999999999E-2</v>
      </c>
      <c r="H158" s="237">
        <v>47</v>
      </c>
      <c r="I158" s="226">
        <v>47.7</v>
      </c>
      <c r="J158" s="226">
        <v>45.81</v>
      </c>
      <c r="K158" s="257">
        <v>46.301000000000002</v>
      </c>
      <c r="L158" s="244">
        <v>15750</v>
      </c>
      <c r="M158" s="783">
        <v>33622</v>
      </c>
      <c r="N158" s="244">
        <v>61</v>
      </c>
      <c r="O158" s="273">
        <v>45401.671747685185</v>
      </c>
      <c r="P158" s="282">
        <v>157</v>
      </c>
      <c r="Q158" s="260"/>
      <c r="R158" s="558">
        <v>0</v>
      </c>
      <c r="S158" s="572">
        <v>0</v>
      </c>
      <c r="T158" s="241">
        <v>0</v>
      </c>
      <c r="U158" s="441"/>
      <c r="V158" s="336"/>
      <c r="W158" s="367">
        <f t="shared" ref="W158" si="74">(V158*X158)</f>
        <v>0</v>
      </c>
      <c r="X158" s="567"/>
      <c r="Y158" s="535">
        <f>IF(D158&lt;&gt;0,($C159*(1-$V$1))-$D158,0)</f>
        <v>-0.96999999999999886</v>
      </c>
      <c r="Z158" s="536">
        <f>IFERROR(IF(C158&lt;&gt;"",$Y$1/(D154/100)*(C158/100),""),"")</f>
        <v>98.001340189267523</v>
      </c>
      <c r="AA158" s="537">
        <f>IFERROR($Z$1/(D158/100)*(C154/100),"")</f>
        <v>100063.15789473685</v>
      </c>
      <c r="AB158" s="38"/>
      <c r="AC158" s="344">
        <f>SUM(AC154:AC157)</f>
        <v>28</v>
      </c>
      <c r="AD158" s="345"/>
      <c r="AE158" s="345" t="s">
        <v>588</v>
      </c>
      <c r="AF158" s="345">
        <f>SUM(AF154:AF157)</f>
        <v>12320</v>
      </c>
    </row>
    <row r="159" spans="1:32" ht="12.75" customHeight="1">
      <c r="A159" s="741" t="s">
        <v>237</v>
      </c>
      <c r="B159" s="763">
        <v>106</v>
      </c>
      <c r="C159" s="743">
        <v>46.53</v>
      </c>
      <c r="D159" s="744">
        <v>47.4</v>
      </c>
      <c r="E159" s="764">
        <v>4234</v>
      </c>
      <c r="F159" s="802">
        <v>47.399000000000001</v>
      </c>
      <c r="G159" s="791">
        <v>2.1499999999999998E-2</v>
      </c>
      <c r="H159" s="746">
        <v>46.4</v>
      </c>
      <c r="I159" s="747">
        <v>47.8</v>
      </c>
      <c r="J159" s="747">
        <v>45.709000000000003</v>
      </c>
      <c r="K159" s="765">
        <v>46.4</v>
      </c>
      <c r="L159" s="750">
        <v>40441</v>
      </c>
      <c r="M159" s="784">
        <v>86016</v>
      </c>
      <c r="N159" s="750">
        <v>127</v>
      </c>
      <c r="O159" s="751">
        <v>45401.700185185182</v>
      </c>
      <c r="P159" s="752">
        <v>158</v>
      </c>
      <c r="Q159" s="753"/>
      <c r="R159" s="754">
        <v>0</v>
      </c>
      <c r="S159" s="755">
        <v>0</v>
      </c>
      <c r="T159" s="756">
        <v>0</v>
      </c>
      <c r="U159" s="440"/>
      <c r="V159" s="337">
        <v>0</v>
      </c>
      <c r="W159" s="721">
        <f>V158*(F158/100)</f>
        <v>0</v>
      </c>
      <c r="X159" s="585"/>
      <c r="Y159" s="715">
        <f>IFERROR(INT($Z$1/(F158/100)),"")</f>
        <v>212</v>
      </c>
      <c r="Z159" s="716">
        <f>IFERROR(IF(C159&lt;&gt;"",$Y$1/(D155/100)*(C159/100),""),"")</f>
        <v>99.446205292236101</v>
      </c>
      <c r="AA159" s="717">
        <f>IFERROR($Z$1/(D159/100)*(C155/100),"")</f>
        <v>100116.03375527427</v>
      </c>
      <c r="AB159" s="38"/>
      <c r="AC159" s="818">
        <f>AF158/AC158</f>
        <v>440</v>
      </c>
      <c r="AD159" s="818"/>
      <c r="AE159" s="818"/>
      <c r="AF159" s="818"/>
    </row>
    <row r="160" spans="1:32" ht="12.75" customHeight="1">
      <c r="A160" s="768" t="s">
        <v>565</v>
      </c>
      <c r="B160" s="245">
        <v>504</v>
      </c>
      <c r="C160" s="298">
        <v>51600</v>
      </c>
      <c r="D160" s="252">
        <v>52100</v>
      </c>
      <c r="E160" s="505">
        <v>2136</v>
      </c>
      <c r="F160" s="800">
        <v>52000</v>
      </c>
      <c r="G160" s="785">
        <v>2.9999999999999997E-4</v>
      </c>
      <c r="H160" s="235">
        <v>51980</v>
      </c>
      <c r="I160" s="227">
        <v>52650</v>
      </c>
      <c r="J160" s="227">
        <v>51400</v>
      </c>
      <c r="K160" s="256">
        <v>51980</v>
      </c>
      <c r="L160" s="248">
        <v>11278906</v>
      </c>
      <c r="M160" s="597">
        <v>21619</v>
      </c>
      <c r="N160" s="248">
        <v>62</v>
      </c>
      <c r="O160" s="271">
        <v>45401.687615740739</v>
      </c>
      <c r="P160" s="282">
        <v>159</v>
      </c>
      <c r="Q160" s="261"/>
      <c r="R160" s="550">
        <v>0</v>
      </c>
      <c r="S160" s="570">
        <v>0</v>
      </c>
      <c r="T160" s="243">
        <v>0</v>
      </c>
      <c r="U160" s="441"/>
      <c r="V160" s="339"/>
      <c r="W160" s="368">
        <f t="shared" ref="W160" si="75">(V160*X160)</f>
        <v>0</v>
      </c>
      <c r="X160" s="566"/>
      <c r="Y160" s="524">
        <f>IF(D160&lt;&gt;0,($C161*(1-$V$1))-$D160,0)</f>
        <v>-150</v>
      </c>
      <c r="Z160" s="526"/>
      <c r="AA160" s="527"/>
      <c r="AB160" s="38"/>
    </row>
    <row r="161" spans="1:28" ht="12.75" customHeight="1">
      <c r="A161" s="426" t="s">
        <v>189</v>
      </c>
      <c r="B161" s="510">
        <v>100</v>
      </c>
      <c r="C161" s="236">
        <v>51950</v>
      </c>
      <c r="D161" s="352">
        <v>51990</v>
      </c>
      <c r="E161" s="515">
        <v>45693</v>
      </c>
      <c r="F161" s="794">
        <v>51990</v>
      </c>
      <c r="G161" s="786">
        <v>8.9999999999999998E-4</v>
      </c>
      <c r="H161" s="234">
        <v>51660</v>
      </c>
      <c r="I161" s="225">
        <v>52780</v>
      </c>
      <c r="J161" s="225">
        <v>50800</v>
      </c>
      <c r="K161" s="254">
        <v>51940</v>
      </c>
      <c r="L161" s="232">
        <v>48572907</v>
      </c>
      <c r="M161" s="598">
        <v>93442</v>
      </c>
      <c r="N161" s="232">
        <v>240</v>
      </c>
      <c r="O161" s="272">
        <v>45401.708506944444</v>
      </c>
      <c r="P161" s="281">
        <v>160</v>
      </c>
      <c r="Q161" s="259"/>
      <c r="R161" s="549">
        <v>0</v>
      </c>
      <c r="S161" s="571">
        <v>0</v>
      </c>
      <c r="T161" s="242">
        <v>0</v>
      </c>
      <c r="U161" s="440"/>
      <c r="V161" s="338">
        <v>0</v>
      </c>
      <c r="W161" s="364">
        <f>V160*(F160/100)</f>
        <v>0</v>
      </c>
      <c r="X161" s="565"/>
      <c r="Y161" s="448">
        <f>IFERROR(INT($Y$1/(F160/100)),"")</f>
        <v>195</v>
      </c>
      <c r="Z161" s="528"/>
      <c r="AA161" s="529"/>
      <c r="AB161" s="38"/>
    </row>
    <row r="162" spans="1:28" ht="12.75" customHeight="1">
      <c r="A162" s="767" t="s">
        <v>566</v>
      </c>
      <c r="B162" s="245"/>
      <c r="C162" s="298"/>
      <c r="D162" s="252"/>
      <c r="E162" s="505"/>
      <c r="F162" s="800"/>
      <c r="G162" s="785"/>
      <c r="H162" s="237"/>
      <c r="I162" s="226"/>
      <c r="J162" s="226"/>
      <c r="K162" s="257">
        <v>21.007999999999999</v>
      </c>
      <c r="L162" s="244"/>
      <c r="M162" s="783"/>
      <c r="N162" s="244"/>
      <c r="O162" s="273"/>
      <c r="P162" s="282">
        <v>161</v>
      </c>
      <c r="Q162" s="260"/>
      <c r="R162" s="558">
        <v>0</v>
      </c>
      <c r="S162" s="572">
        <v>0</v>
      </c>
      <c r="T162" s="241">
        <v>0</v>
      </c>
      <c r="U162" s="441"/>
      <c r="V162" s="295"/>
      <c r="W162" s="365">
        <f t="shared" ref="W162" si="76">(V162*X162)</f>
        <v>0</v>
      </c>
      <c r="X162" s="569"/>
      <c r="Y162" s="530">
        <f>IF(D162&lt;&gt;0,($C163*(1-$V$1))-$D162,0)</f>
        <v>0</v>
      </c>
      <c r="Z162" s="531" t="str">
        <f>IFERROR(IF(C162&lt;&gt;"",$Y$1/(D160/100)*(C162/100),""),"")</f>
        <v/>
      </c>
      <c r="AA162" s="532" t="str">
        <f>IFERROR($AA$1/(D162/100)*(C160/100),"")</f>
        <v/>
      </c>
      <c r="AB162" s="38"/>
    </row>
    <row r="163" spans="1:28" ht="12.75" customHeight="1">
      <c r="A163" s="426" t="s">
        <v>276</v>
      </c>
      <c r="B163" s="510"/>
      <c r="C163" s="236"/>
      <c r="D163" s="352"/>
      <c r="E163" s="515"/>
      <c r="F163" s="794"/>
      <c r="G163" s="786"/>
      <c r="H163" s="234"/>
      <c r="I163" s="225"/>
      <c r="J163" s="225"/>
      <c r="K163" s="254">
        <v>25.276</v>
      </c>
      <c r="L163" s="232"/>
      <c r="M163" s="598"/>
      <c r="N163" s="232"/>
      <c r="O163" s="272"/>
      <c r="P163" s="281">
        <v>162</v>
      </c>
      <c r="Q163" s="259"/>
      <c r="R163" s="549">
        <v>0</v>
      </c>
      <c r="S163" s="571">
        <v>0</v>
      </c>
      <c r="T163" s="242">
        <v>0</v>
      </c>
      <c r="U163" s="440"/>
      <c r="V163" s="294">
        <v>0</v>
      </c>
      <c r="W163" s="366">
        <f>V162*(F162/100)</f>
        <v>0</v>
      </c>
      <c r="X163" s="565"/>
      <c r="Y163" s="449" t="str">
        <f>IFERROR(INT($AA$1/(F162/100)),"")</f>
        <v/>
      </c>
      <c r="Z163" s="533" t="str">
        <f>IFERROR(IF(C163&lt;&gt;"",$Y$1/(D161/100)*(C163/100),""),"")</f>
        <v/>
      </c>
      <c r="AA163" s="534" t="str">
        <f>IFERROR($AA$1/(D163/100)*(C161/100),"")</f>
        <v/>
      </c>
      <c r="AB163" s="38"/>
    </row>
    <row r="164" spans="1:28" ht="12.75" customHeight="1">
      <c r="A164" s="767" t="s">
        <v>567</v>
      </c>
      <c r="B164" s="245">
        <v>149</v>
      </c>
      <c r="C164" s="298">
        <v>49.91</v>
      </c>
      <c r="D164" s="252">
        <v>50</v>
      </c>
      <c r="E164" s="505">
        <v>1400</v>
      </c>
      <c r="F164" s="800">
        <v>50</v>
      </c>
      <c r="G164" s="785">
        <v>-1.9599999999999999E-2</v>
      </c>
      <c r="H164" s="237">
        <v>51</v>
      </c>
      <c r="I164" s="226">
        <v>51.8</v>
      </c>
      <c r="J164" s="226">
        <v>50</v>
      </c>
      <c r="K164" s="257">
        <v>51</v>
      </c>
      <c r="L164" s="244">
        <v>3066</v>
      </c>
      <c r="M164" s="783">
        <v>5943</v>
      </c>
      <c r="N164" s="244">
        <v>9</v>
      </c>
      <c r="O164" s="273">
        <v>45401.687615740739</v>
      </c>
      <c r="P164" s="282">
        <v>163</v>
      </c>
      <c r="Q164" s="260"/>
      <c r="R164" s="558">
        <v>0</v>
      </c>
      <c r="S164" s="572">
        <v>0</v>
      </c>
      <c r="T164" s="241">
        <v>0</v>
      </c>
      <c r="U164" s="441"/>
      <c r="V164" s="336">
        <v>4</v>
      </c>
      <c r="W164" s="367">
        <f t="shared" ref="W164" si="77">(V164*X164)</f>
        <v>1.6</v>
      </c>
      <c r="X164" s="567">
        <v>0.4</v>
      </c>
      <c r="Y164" s="535">
        <f>IF(D164&lt;&gt;0,($C165*(1-$V$1))-$D164,0)</f>
        <v>0.29999999999999716</v>
      </c>
      <c r="Z164" s="536">
        <f>IFERROR(IF(C164&lt;&gt;"",$Y$1/(D160/100)*(C164/100),""),"")</f>
        <v>97.252017475954645</v>
      </c>
      <c r="AA164" s="537">
        <f>IFERROR($Z$1/(D164/100)*(C160/100),"")</f>
        <v>103200</v>
      </c>
      <c r="AB164" s="38"/>
    </row>
    <row r="165" spans="1:28" ht="12.75" customHeight="1">
      <c r="A165" s="740" t="s">
        <v>277</v>
      </c>
      <c r="B165" s="684">
        <v>2000</v>
      </c>
      <c r="C165" s="636">
        <v>50.3</v>
      </c>
      <c r="D165" s="724">
        <v>51.95</v>
      </c>
      <c r="E165" s="697">
        <v>173</v>
      </c>
      <c r="F165" s="798">
        <v>51.95</v>
      </c>
      <c r="G165" s="787">
        <v>1.46E-2</v>
      </c>
      <c r="H165" s="659">
        <v>51.95</v>
      </c>
      <c r="I165" s="660">
        <v>51.95</v>
      </c>
      <c r="J165" s="660">
        <v>51.6</v>
      </c>
      <c r="K165" s="725">
        <v>51.2</v>
      </c>
      <c r="L165" s="663">
        <v>2344</v>
      </c>
      <c r="M165" s="782">
        <v>4525</v>
      </c>
      <c r="N165" s="663">
        <v>12</v>
      </c>
      <c r="O165" s="646">
        <v>45401.708564814813</v>
      </c>
      <c r="P165" s="647">
        <v>164</v>
      </c>
      <c r="Q165" s="648"/>
      <c r="R165" s="665">
        <v>0</v>
      </c>
      <c r="S165" s="675">
        <v>0</v>
      </c>
      <c r="T165" s="676">
        <v>0</v>
      </c>
      <c r="U165" s="440"/>
      <c r="V165" s="337">
        <v>0</v>
      </c>
      <c r="W165" s="726">
        <f>V164*(F164/100)</f>
        <v>2</v>
      </c>
      <c r="X165" s="653"/>
      <c r="Y165" s="727">
        <f>IFERROR(INT($Z$1/(F164/100)),"")</f>
        <v>200</v>
      </c>
      <c r="Z165" s="728">
        <f>IFERROR(IF(C165&lt;&gt;"",$Y$1/(D161/100)*(C165/100),""),"")</f>
        <v>98.21932394563764</v>
      </c>
      <c r="AA165" s="729">
        <f>IFERROR($Z$1/(D165/100)*(C161/100),"")</f>
        <v>99999.999999999985</v>
      </c>
      <c r="AB165" s="38"/>
    </row>
    <row r="166" spans="1:28" ht="12.75" customHeight="1">
      <c r="A166" s="768" t="s">
        <v>615</v>
      </c>
      <c r="B166" s="245"/>
      <c r="C166" s="298"/>
      <c r="D166" s="252"/>
      <c r="E166" s="505"/>
      <c r="F166" s="800"/>
      <c r="G166" s="785"/>
      <c r="H166" s="235"/>
      <c r="I166" s="227"/>
      <c r="J166" s="227"/>
      <c r="K166" s="256"/>
      <c r="L166" s="248"/>
      <c r="M166" s="597"/>
      <c r="N166" s="248"/>
      <c r="O166" s="271"/>
      <c r="P166" s="282">
        <v>165</v>
      </c>
      <c r="Q166" s="261"/>
      <c r="R166" s="550">
        <v>0</v>
      </c>
      <c r="S166" s="570">
        <v>0</v>
      </c>
      <c r="T166" s="243">
        <v>0</v>
      </c>
      <c r="U166" s="441"/>
      <c r="V166" s="339"/>
      <c r="W166" s="368">
        <f t="shared" ref="W166" si="78">(V166*X166)</f>
        <v>0</v>
      </c>
      <c r="X166" s="566"/>
      <c r="Y166" s="524">
        <f>IF(D166&lt;&gt;0,($C167*(1-$V$1))-$D166,0)</f>
        <v>0</v>
      </c>
      <c r="Z166" s="526"/>
      <c r="AA166" s="527"/>
    </row>
    <row r="167" spans="1:28" ht="12.75" customHeight="1">
      <c r="A167" s="426" t="s">
        <v>616</v>
      </c>
      <c r="B167" s="510"/>
      <c r="C167" s="236"/>
      <c r="D167" s="352"/>
      <c r="E167" s="515"/>
      <c r="F167" s="794"/>
      <c r="G167" s="786"/>
      <c r="H167" s="234"/>
      <c r="I167" s="225"/>
      <c r="J167" s="225"/>
      <c r="K167" s="254"/>
      <c r="L167" s="232"/>
      <c r="M167" s="598"/>
      <c r="N167" s="232"/>
      <c r="O167" s="272"/>
      <c r="P167" s="281">
        <v>166</v>
      </c>
      <c r="Q167" s="259"/>
      <c r="R167" s="549">
        <v>0</v>
      </c>
      <c r="S167" s="571">
        <v>0</v>
      </c>
      <c r="T167" s="242">
        <v>0</v>
      </c>
      <c r="U167" s="440"/>
      <c r="V167" s="338">
        <v>0</v>
      </c>
      <c r="W167" s="364">
        <f>V166*(D166/100)</f>
        <v>0</v>
      </c>
      <c r="X167" s="565"/>
      <c r="Y167" s="448" t="str">
        <f>IFERROR(INT($Y$1/(F166)),"")</f>
        <v/>
      </c>
      <c r="Z167" s="528"/>
      <c r="AA167" s="529"/>
    </row>
    <row r="168" spans="1:28" ht="12.75" customHeight="1">
      <c r="A168" s="767" t="s">
        <v>617</v>
      </c>
      <c r="B168" s="245"/>
      <c r="C168" s="298"/>
      <c r="D168" s="252"/>
      <c r="E168" s="505"/>
      <c r="F168" s="800"/>
      <c r="G168" s="785"/>
      <c r="H168" s="237"/>
      <c r="I168" s="226"/>
      <c r="J168" s="226"/>
      <c r="K168" s="257"/>
      <c r="L168" s="244"/>
      <c r="M168" s="783"/>
      <c r="N168" s="244"/>
      <c r="O168" s="273"/>
      <c r="P168" s="282">
        <v>167</v>
      </c>
      <c r="Q168" s="260"/>
      <c r="R168" s="558">
        <v>0</v>
      </c>
      <c r="S168" s="572">
        <v>0</v>
      </c>
      <c r="T168" s="241">
        <v>0</v>
      </c>
      <c r="U168" s="441"/>
      <c r="V168" s="295"/>
      <c r="W168" s="365">
        <f t="shared" ref="W168" si="79">(V168*X168)</f>
        <v>0</v>
      </c>
      <c r="X168" s="569"/>
      <c r="Y168" s="530">
        <f>IF(D168&lt;&gt;0,($C169*(1-$V$1))-$D168,0)</f>
        <v>0</v>
      </c>
      <c r="Z168" s="531" t="str">
        <f>IFERROR(IF(C168&lt;&gt;"",$Y$1/(D166)*(C168),""),"")</f>
        <v/>
      </c>
      <c r="AA168" s="532" t="str">
        <f>IFERROR($AA$1/(D168)*(C166),"")</f>
        <v/>
      </c>
    </row>
    <row r="169" spans="1:28" ht="12.75" customHeight="1">
      <c r="A169" s="426" t="s">
        <v>618</v>
      </c>
      <c r="B169" s="510"/>
      <c r="C169" s="236"/>
      <c r="D169" s="352"/>
      <c r="E169" s="515"/>
      <c r="F169" s="794"/>
      <c r="G169" s="786"/>
      <c r="H169" s="234"/>
      <c r="I169" s="225"/>
      <c r="J169" s="225"/>
      <c r="K169" s="254"/>
      <c r="L169" s="232"/>
      <c r="M169" s="598"/>
      <c r="N169" s="232"/>
      <c r="O169" s="272"/>
      <c r="P169" s="281">
        <v>168</v>
      </c>
      <c r="Q169" s="259"/>
      <c r="R169" s="549">
        <v>0</v>
      </c>
      <c r="S169" s="571">
        <v>0</v>
      </c>
      <c r="T169" s="242">
        <v>0</v>
      </c>
      <c r="U169" s="440"/>
      <c r="V169" s="294">
        <v>0</v>
      </c>
      <c r="W169" s="366">
        <f>V168*(F168/100)</f>
        <v>0</v>
      </c>
      <c r="X169" s="565"/>
      <c r="Y169" s="449" t="str">
        <f>IFERROR(INT($AA$1/(F168/100)),"")</f>
        <v/>
      </c>
      <c r="Z169" s="533" t="str">
        <f>IFERROR(IF(C169&lt;&gt;"",$Y$1/(D167)*(C169),""),"")</f>
        <v/>
      </c>
      <c r="AA169" s="534" t="str">
        <f>IFERROR($AA$1/(D169)*(C167),"")</f>
        <v/>
      </c>
    </row>
    <row r="170" spans="1:28" ht="12.75" customHeight="1">
      <c r="A170" s="767" t="s">
        <v>619</v>
      </c>
      <c r="B170" s="245"/>
      <c r="C170" s="298"/>
      <c r="D170" s="252"/>
      <c r="E170" s="505"/>
      <c r="F170" s="800"/>
      <c r="G170" s="785"/>
      <c r="H170" s="237"/>
      <c r="I170" s="226"/>
      <c r="J170" s="226"/>
      <c r="K170" s="257"/>
      <c r="L170" s="244"/>
      <c r="M170" s="783"/>
      <c r="N170" s="244"/>
      <c r="O170" s="273"/>
      <c r="P170" s="282">
        <v>169</v>
      </c>
      <c r="Q170" s="260"/>
      <c r="R170" s="558">
        <v>0</v>
      </c>
      <c r="S170" s="572">
        <v>0</v>
      </c>
      <c r="T170" s="241">
        <v>0</v>
      </c>
      <c r="U170" s="441"/>
      <c r="V170" s="336"/>
      <c r="W170" s="367">
        <f t="shared" ref="W170" si="80">(V170*X170)</f>
        <v>0</v>
      </c>
      <c r="X170" s="567"/>
      <c r="Y170" s="535">
        <f>IF(D170&lt;&gt;0,($C171*(1-$V$1))-$D170,0)</f>
        <v>0</v>
      </c>
      <c r="Z170" s="536" t="str">
        <f>IFERROR(IF(C170&lt;&gt;"",$Y$1/(D166)*(C170),""),"")</f>
        <v/>
      </c>
      <c r="AA170" s="537" t="str">
        <f>IFERROR($Z$1/(D170)*(C166),"")</f>
        <v/>
      </c>
    </row>
    <row r="171" spans="1:28" ht="12.75" customHeight="1">
      <c r="A171" s="741" t="s">
        <v>620</v>
      </c>
      <c r="B171" s="718"/>
      <c r="C171" s="303"/>
      <c r="D171" s="713"/>
      <c r="E171" s="719"/>
      <c r="F171" s="799"/>
      <c r="G171" s="791"/>
      <c r="H171" s="249"/>
      <c r="I171" s="250"/>
      <c r="J171" s="250"/>
      <c r="K171" s="720"/>
      <c r="L171" s="253"/>
      <c r="M171" s="600"/>
      <c r="N171" s="253"/>
      <c r="O171" s="274"/>
      <c r="P171" s="583">
        <v>170</v>
      </c>
      <c r="Q171" s="472"/>
      <c r="R171" s="554">
        <v>0</v>
      </c>
      <c r="S171" s="694">
        <v>0</v>
      </c>
      <c r="T171" s="695">
        <v>0</v>
      </c>
      <c r="U171" s="440"/>
      <c r="V171" s="337">
        <v>0</v>
      </c>
      <c r="W171" s="721">
        <f>V170*(C170/100)</f>
        <v>0</v>
      </c>
      <c r="X171" s="585"/>
      <c r="Y171" s="715" t="str">
        <f>IFERROR(INT($Z$1/(F170)),"")</f>
        <v/>
      </c>
      <c r="Z171" s="716" t="str">
        <f>IFERROR(IF(C171&lt;&gt;"",$Y$1/(D167)*(C171),""),"")</f>
        <v/>
      </c>
      <c r="AA171" s="717" t="str">
        <f>IFERROR($Z$1/(D171)*(C167),"")</f>
        <v/>
      </c>
    </row>
    <row r="172" spans="1:28" ht="12.75" customHeight="1">
      <c r="A172" s="768" t="s">
        <v>621</v>
      </c>
      <c r="B172" s="245"/>
      <c r="C172" s="298"/>
      <c r="D172" s="252"/>
      <c r="E172" s="505"/>
      <c r="F172" s="800"/>
      <c r="G172" s="785"/>
      <c r="H172" s="235"/>
      <c r="I172" s="227"/>
      <c r="J172" s="227"/>
      <c r="K172" s="256"/>
      <c r="L172" s="248"/>
      <c r="M172" s="597"/>
      <c r="N172" s="248"/>
      <c r="O172" s="271"/>
      <c r="P172" s="282">
        <v>171</v>
      </c>
      <c r="Q172" s="261"/>
      <c r="R172" s="550">
        <v>0</v>
      </c>
      <c r="S172" s="570">
        <v>0</v>
      </c>
      <c r="T172" s="243">
        <v>0</v>
      </c>
      <c r="U172" s="441"/>
      <c r="V172" s="339"/>
      <c r="W172" s="368">
        <f t="shared" ref="W172" si="81">(V172*X172)</f>
        <v>0</v>
      </c>
      <c r="X172" s="566"/>
      <c r="Y172" s="524">
        <f>IF(D172&lt;&gt;0,($C173*(1-$V$1))-$D172,0)</f>
        <v>0</v>
      </c>
      <c r="Z172" s="526"/>
      <c r="AA172" s="527"/>
    </row>
    <row r="173" spans="1:28" ht="12.75" customHeight="1">
      <c r="A173" s="426" t="s">
        <v>622</v>
      </c>
      <c r="B173" s="510"/>
      <c r="C173" s="236"/>
      <c r="D173" s="352"/>
      <c r="E173" s="515"/>
      <c r="F173" s="794"/>
      <c r="G173" s="786"/>
      <c r="H173" s="234"/>
      <c r="I173" s="225"/>
      <c r="J173" s="225"/>
      <c r="K173" s="254"/>
      <c r="L173" s="232"/>
      <c r="M173" s="598"/>
      <c r="N173" s="232"/>
      <c r="O173" s="272"/>
      <c r="P173" s="281">
        <v>172</v>
      </c>
      <c r="Q173" s="259"/>
      <c r="R173" s="549">
        <v>0</v>
      </c>
      <c r="S173" s="571">
        <v>0</v>
      </c>
      <c r="T173" s="242">
        <v>0</v>
      </c>
      <c r="U173" s="440"/>
      <c r="V173" s="338">
        <v>0</v>
      </c>
      <c r="W173" s="364">
        <f>V172*(D172/100)</f>
        <v>0</v>
      </c>
      <c r="X173" s="565"/>
      <c r="Y173" s="448" t="str">
        <f>IFERROR(INT($Y$1/(F172)),"")</f>
        <v/>
      </c>
      <c r="Z173" s="528"/>
      <c r="AA173" s="529"/>
    </row>
    <row r="174" spans="1:28" ht="12.75" customHeight="1">
      <c r="A174" s="767" t="s">
        <v>623</v>
      </c>
      <c r="B174" s="245"/>
      <c r="C174" s="298"/>
      <c r="D174" s="252"/>
      <c r="E174" s="505"/>
      <c r="F174" s="800"/>
      <c r="G174" s="785"/>
      <c r="H174" s="237"/>
      <c r="I174" s="226"/>
      <c r="J174" s="226"/>
      <c r="K174" s="257"/>
      <c r="L174" s="244"/>
      <c r="M174" s="783"/>
      <c r="N174" s="244"/>
      <c r="O174" s="273"/>
      <c r="P174" s="282">
        <v>173</v>
      </c>
      <c r="Q174" s="260"/>
      <c r="R174" s="558">
        <v>0</v>
      </c>
      <c r="S174" s="572">
        <v>0</v>
      </c>
      <c r="T174" s="241">
        <v>0</v>
      </c>
      <c r="U174" s="441"/>
      <c r="V174" s="295"/>
      <c r="W174" s="365">
        <f t="shared" ref="W174" si="82">(V174*X174)</f>
        <v>0</v>
      </c>
      <c r="X174" s="569"/>
      <c r="Y174" s="530">
        <f>IF(D174&lt;&gt;0,($C175*(1-$V$1))-$D174,0)</f>
        <v>0</v>
      </c>
      <c r="Z174" s="531" t="str">
        <f>IFERROR(IF(C174&lt;&gt;"",$Y$1/(D172)*(C174),""),"")</f>
        <v/>
      </c>
      <c r="AA174" s="532" t="str">
        <f>IFERROR($AA$1/(D174)*(C172),"")</f>
        <v/>
      </c>
    </row>
    <row r="175" spans="1:28" ht="12.75" customHeight="1">
      <c r="A175" s="426" t="s">
        <v>624</v>
      </c>
      <c r="B175" s="510"/>
      <c r="C175" s="236"/>
      <c r="D175" s="352"/>
      <c r="E175" s="515"/>
      <c r="F175" s="794"/>
      <c r="G175" s="786"/>
      <c r="H175" s="234"/>
      <c r="I175" s="225"/>
      <c r="J175" s="225"/>
      <c r="K175" s="254"/>
      <c r="L175" s="232"/>
      <c r="M175" s="598"/>
      <c r="N175" s="232"/>
      <c r="O175" s="272"/>
      <c r="P175" s="281">
        <v>174</v>
      </c>
      <c r="Q175" s="259"/>
      <c r="R175" s="549">
        <v>0</v>
      </c>
      <c r="S175" s="571">
        <v>0</v>
      </c>
      <c r="T175" s="242">
        <v>0</v>
      </c>
      <c r="U175" s="440"/>
      <c r="V175" s="294">
        <v>0</v>
      </c>
      <c r="W175" s="366">
        <f>V174*(F174/100)</f>
        <v>0</v>
      </c>
      <c r="X175" s="565"/>
      <c r="Y175" s="449" t="str">
        <f>IFERROR(INT($AA$1/(F174/100)),"")</f>
        <v/>
      </c>
      <c r="Z175" s="533" t="str">
        <f>IFERROR(IF(C175&lt;&gt;"",$Y$1/(D173)*(C175),""),"")</f>
        <v/>
      </c>
      <c r="AA175" s="534" t="str">
        <f>IFERROR($AA$1/(D175)*(C173),"")</f>
        <v/>
      </c>
    </row>
    <row r="176" spans="1:28" ht="12.75" customHeight="1">
      <c r="A176" s="767" t="s">
        <v>625</v>
      </c>
      <c r="B176" s="245"/>
      <c r="C176" s="298"/>
      <c r="D176" s="252"/>
      <c r="E176" s="505"/>
      <c r="F176" s="800"/>
      <c r="G176" s="785"/>
      <c r="H176" s="237"/>
      <c r="I176" s="226"/>
      <c r="J176" s="226"/>
      <c r="K176" s="257"/>
      <c r="L176" s="244"/>
      <c r="M176" s="783"/>
      <c r="N176" s="244"/>
      <c r="O176" s="273"/>
      <c r="P176" s="282">
        <v>175</v>
      </c>
      <c r="Q176" s="260"/>
      <c r="R176" s="558">
        <v>0</v>
      </c>
      <c r="S176" s="572">
        <v>0</v>
      </c>
      <c r="T176" s="241">
        <v>0</v>
      </c>
      <c r="U176" s="441"/>
      <c r="V176" s="336"/>
      <c r="W176" s="367">
        <f t="shared" ref="W176" si="83">(V176*X176)</f>
        <v>0</v>
      </c>
      <c r="X176" s="567"/>
      <c r="Y176" s="535">
        <f>IF(D176&lt;&gt;0,($C177*(1-$V$1))-$D176,0)</f>
        <v>0</v>
      </c>
      <c r="Z176" s="536" t="str">
        <f>IFERROR(IF(C176&lt;&gt;"",$Y$1/(D172)*(C176),""),"")</f>
        <v/>
      </c>
      <c r="AA176" s="537" t="str">
        <f>IFERROR($Z$1/(D176)*(C172),"")</f>
        <v/>
      </c>
    </row>
    <row r="177" spans="1:27" ht="12.75" customHeight="1">
      <c r="A177" s="741" t="s">
        <v>626</v>
      </c>
      <c r="B177" s="718"/>
      <c r="C177" s="303"/>
      <c r="D177" s="713"/>
      <c r="E177" s="719"/>
      <c r="F177" s="799"/>
      <c r="G177" s="791"/>
      <c r="H177" s="249"/>
      <c r="I177" s="250"/>
      <c r="J177" s="250"/>
      <c r="K177" s="720"/>
      <c r="L177" s="253"/>
      <c r="M177" s="600"/>
      <c r="N177" s="253"/>
      <c r="O177" s="274"/>
      <c r="P177" s="583">
        <v>176</v>
      </c>
      <c r="Q177" s="472"/>
      <c r="R177" s="554">
        <v>0</v>
      </c>
      <c r="S177" s="694">
        <v>0</v>
      </c>
      <c r="T177" s="695">
        <v>0</v>
      </c>
      <c r="U177" s="440"/>
      <c r="V177" s="337">
        <v>0</v>
      </c>
      <c r="W177" s="721">
        <f>V176*(C176/100)</f>
        <v>0</v>
      </c>
      <c r="X177" s="585"/>
      <c r="Y177" s="715" t="str">
        <f>IFERROR(INT($Z$1/(F176)),"")</f>
        <v/>
      </c>
      <c r="Z177" s="716" t="str">
        <f>IFERROR(IF(C177&lt;&gt;"",$Y$1/(D173)*(C177),""),"")</f>
        <v/>
      </c>
      <c r="AA177" s="717" t="str">
        <f>IFERROR($Z$1/(D177)*(C173),"")</f>
        <v/>
      </c>
    </row>
    <row r="178" spans="1:27" ht="12.75" customHeight="1">
      <c r="A178" s="768" t="s">
        <v>627</v>
      </c>
      <c r="B178" s="245"/>
      <c r="C178" s="298"/>
      <c r="D178" s="252"/>
      <c r="E178" s="505"/>
      <c r="F178" s="800"/>
      <c r="G178" s="785"/>
      <c r="H178" s="235"/>
      <c r="I178" s="227"/>
      <c r="J178" s="227"/>
      <c r="K178" s="256"/>
      <c r="L178" s="248"/>
      <c r="M178" s="597"/>
      <c r="N178" s="248"/>
      <c r="O178" s="271"/>
      <c r="P178" s="282">
        <v>177</v>
      </c>
      <c r="Q178" s="261"/>
      <c r="R178" s="550">
        <v>0</v>
      </c>
      <c r="S178" s="570">
        <v>0</v>
      </c>
      <c r="T178" s="243">
        <v>0</v>
      </c>
      <c r="U178" s="441"/>
      <c r="V178" s="339"/>
      <c r="W178" s="368">
        <f t="shared" ref="W178" si="84">(V178*X178)</f>
        <v>0</v>
      </c>
      <c r="X178" s="566"/>
      <c r="Y178" s="524">
        <f>IF(D178&lt;&gt;0,($C179*(1-$V$1))-$D178,0)</f>
        <v>0</v>
      </c>
      <c r="Z178" s="526"/>
      <c r="AA178" s="527"/>
    </row>
    <row r="179" spans="1:27" ht="12.75" customHeight="1">
      <c r="A179" s="426" t="s">
        <v>628</v>
      </c>
      <c r="B179" s="510"/>
      <c r="C179" s="236"/>
      <c r="D179" s="352"/>
      <c r="E179" s="515"/>
      <c r="F179" s="794"/>
      <c r="G179" s="786"/>
      <c r="H179" s="234"/>
      <c r="I179" s="225"/>
      <c r="J179" s="225"/>
      <c r="K179" s="254"/>
      <c r="L179" s="232"/>
      <c r="M179" s="598"/>
      <c r="N179" s="232"/>
      <c r="O179" s="272"/>
      <c r="P179" s="281">
        <v>178</v>
      </c>
      <c r="Q179" s="259"/>
      <c r="R179" s="549">
        <v>0</v>
      </c>
      <c r="S179" s="571">
        <v>0</v>
      </c>
      <c r="T179" s="242">
        <v>0</v>
      </c>
      <c r="U179" s="440"/>
      <c r="V179" s="338">
        <v>0</v>
      </c>
      <c r="W179" s="364">
        <f>V178*(D178/100)</f>
        <v>0</v>
      </c>
      <c r="X179" s="565"/>
      <c r="Y179" s="448" t="str">
        <f>IFERROR(INT($Y$1/(F178)),"")</f>
        <v/>
      </c>
      <c r="Z179" s="528"/>
      <c r="AA179" s="529"/>
    </row>
    <row r="180" spans="1:27" ht="12.75" customHeight="1">
      <c r="A180" s="767" t="s">
        <v>629</v>
      </c>
      <c r="B180" s="245"/>
      <c r="C180" s="298"/>
      <c r="D180" s="252"/>
      <c r="E180" s="505"/>
      <c r="F180" s="800"/>
      <c r="G180" s="785"/>
      <c r="H180" s="237"/>
      <c r="I180" s="226"/>
      <c r="J180" s="226"/>
      <c r="K180" s="257"/>
      <c r="L180" s="244"/>
      <c r="M180" s="783"/>
      <c r="N180" s="244"/>
      <c r="O180" s="273"/>
      <c r="P180" s="282">
        <v>179</v>
      </c>
      <c r="Q180" s="260"/>
      <c r="R180" s="558">
        <v>0</v>
      </c>
      <c r="S180" s="572">
        <v>0</v>
      </c>
      <c r="T180" s="241">
        <v>0</v>
      </c>
      <c r="U180" s="441"/>
      <c r="V180" s="295"/>
      <c r="W180" s="365">
        <f t="shared" ref="W180" si="85">(V180*X180)</f>
        <v>0</v>
      </c>
      <c r="X180" s="569"/>
      <c r="Y180" s="530">
        <f>IF(D180&lt;&gt;0,($C181*(1-$V$1))-$D180,0)</f>
        <v>0</v>
      </c>
      <c r="Z180" s="531" t="str">
        <f>IFERROR(IF(C180&lt;&gt;"",$Y$1/(D178)*(C180),""),"")</f>
        <v/>
      </c>
      <c r="AA180" s="532" t="str">
        <f>IFERROR($AA$1/(D180)*(C178),"")</f>
        <v/>
      </c>
    </row>
    <row r="181" spans="1:27" ht="12.75" customHeight="1">
      <c r="A181" s="426" t="s">
        <v>630</v>
      </c>
      <c r="B181" s="510"/>
      <c r="C181" s="236"/>
      <c r="D181" s="352"/>
      <c r="E181" s="515"/>
      <c r="F181" s="794"/>
      <c r="G181" s="786"/>
      <c r="H181" s="234"/>
      <c r="I181" s="225"/>
      <c r="J181" s="225"/>
      <c r="K181" s="254"/>
      <c r="L181" s="232"/>
      <c r="M181" s="598"/>
      <c r="N181" s="232"/>
      <c r="O181" s="272"/>
      <c r="P181" s="281">
        <v>180</v>
      </c>
      <c r="Q181" s="259"/>
      <c r="R181" s="549">
        <v>0</v>
      </c>
      <c r="S181" s="571">
        <v>0</v>
      </c>
      <c r="T181" s="242">
        <v>0</v>
      </c>
      <c r="U181" s="440"/>
      <c r="V181" s="294">
        <v>0</v>
      </c>
      <c r="W181" s="366">
        <f>V180*(F180/100)</f>
        <v>0</v>
      </c>
      <c r="X181" s="565"/>
      <c r="Y181" s="449" t="str">
        <f>IFERROR(INT($AA$1/(F180/100)),"")</f>
        <v/>
      </c>
      <c r="Z181" s="533" t="str">
        <f>IFERROR(IF(C181&lt;&gt;"",$Y$1/(D179)*(C181),""),"")</f>
        <v/>
      </c>
      <c r="AA181" s="534" t="str">
        <f>IFERROR($AA$1/(D181)*(C179),"")</f>
        <v/>
      </c>
    </row>
    <row r="182" spans="1:27" ht="12.75" customHeight="1">
      <c r="A182" s="767" t="s">
        <v>631</v>
      </c>
      <c r="B182" s="245"/>
      <c r="C182" s="298"/>
      <c r="D182" s="252"/>
      <c r="E182" s="505"/>
      <c r="F182" s="800"/>
      <c r="G182" s="785"/>
      <c r="H182" s="237"/>
      <c r="I182" s="226"/>
      <c r="J182" s="226"/>
      <c r="K182" s="257"/>
      <c r="L182" s="244"/>
      <c r="M182" s="783"/>
      <c r="N182" s="244"/>
      <c r="O182" s="273"/>
      <c r="P182" s="282">
        <v>181</v>
      </c>
      <c r="Q182" s="260"/>
      <c r="R182" s="558">
        <v>0</v>
      </c>
      <c r="S182" s="572">
        <v>0</v>
      </c>
      <c r="T182" s="241">
        <v>0</v>
      </c>
      <c r="U182" s="441"/>
      <c r="V182" s="336"/>
      <c r="W182" s="367">
        <f t="shared" ref="W182" si="86">(V182*X182)</f>
        <v>0</v>
      </c>
      <c r="X182" s="567"/>
      <c r="Y182" s="535">
        <f>IF(D182&lt;&gt;0,($C183*(1-$V$1))-$D182,0)</f>
        <v>0</v>
      </c>
      <c r="Z182" s="536" t="str">
        <f>IFERROR(IF(C182&lt;&gt;"",$Y$1/(D178)*(C182),""),"")</f>
        <v/>
      </c>
      <c r="AA182" s="537" t="str">
        <f>IFERROR($Z$1/(D182)*(C178),"")</f>
        <v/>
      </c>
    </row>
    <row r="183" spans="1:27" ht="12.75" customHeight="1">
      <c r="A183" s="741" t="s">
        <v>632</v>
      </c>
      <c r="B183" s="718"/>
      <c r="C183" s="303"/>
      <c r="D183" s="713"/>
      <c r="E183" s="719"/>
      <c r="F183" s="799"/>
      <c r="G183" s="791"/>
      <c r="H183" s="249"/>
      <c r="I183" s="250"/>
      <c r="J183" s="250"/>
      <c r="K183" s="720"/>
      <c r="L183" s="253"/>
      <c r="M183" s="600"/>
      <c r="N183" s="253"/>
      <c r="O183" s="274"/>
      <c r="P183" s="583">
        <v>182</v>
      </c>
      <c r="Q183" s="472"/>
      <c r="R183" s="554">
        <v>0</v>
      </c>
      <c r="S183" s="694">
        <v>0</v>
      </c>
      <c r="T183" s="695">
        <v>0</v>
      </c>
      <c r="U183" s="440"/>
      <c r="V183" s="337">
        <v>0</v>
      </c>
      <c r="W183" s="721">
        <f>V182*(C182/100)</f>
        <v>0</v>
      </c>
      <c r="X183" s="585"/>
      <c r="Y183" s="715" t="str">
        <f>IFERROR(INT($Z$1/(F182)),"")</f>
        <v/>
      </c>
      <c r="Z183" s="716" t="str">
        <f>IFERROR(IF(C183&lt;&gt;"",$Y$1/(D179)*(C183),""),"")</f>
        <v/>
      </c>
      <c r="AA183" s="717" t="str">
        <f>IFERROR($Z$1/(D183)*(C179),"")</f>
        <v/>
      </c>
    </row>
    <row r="184" spans="1:27" ht="12.75" customHeight="1">
      <c r="A184" s="768" t="s">
        <v>633</v>
      </c>
      <c r="B184" s="245"/>
      <c r="C184" s="298"/>
      <c r="D184" s="252"/>
      <c r="E184" s="505"/>
      <c r="F184" s="800"/>
      <c r="G184" s="785"/>
      <c r="H184" s="235"/>
      <c r="I184" s="227"/>
      <c r="J184" s="227"/>
      <c r="K184" s="256"/>
      <c r="L184" s="248"/>
      <c r="M184" s="597"/>
      <c r="N184" s="248"/>
      <c r="O184" s="271"/>
      <c r="P184" s="282">
        <v>183</v>
      </c>
      <c r="Q184" s="261"/>
      <c r="R184" s="550">
        <v>0</v>
      </c>
      <c r="S184" s="570">
        <v>0</v>
      </c>
      <c r="T184" s="243">
        <v>0</v>
      </c>
      <c r="U184" s="441"/>
      <c r="V184" s="339"/>
      <c r="W184" s="368">
        <f t="shared" ref="W184" si="87">(V184*X184)</f>
        <v>0</v>
      </c>
      <c r="X184" s="566"/>
      <c r="Y184" s="524">
        <f>IF(D184&lt;&gt;0,($C185*(1-$V$1))-$D184,0)</f>
        <v>0</v>
      </c>
      <c r="Z184" s="526"/>
      <c r="AA184" s="527"/>
    </row>
    <row r="185" spans="1:27" ht="12.75" customHeight="1">
      <c r="A185" s="426" t="s">
        <v>634</v>
      </c>
      <c r="B185" s="510"/>
      <c r="C185" s="236"/>
      <c r="D185" s="352"/>
      <c r="E185" s="515"/>
      <c r="F185" s="794"/>
      <c r="G185" s="786"/>
      <c r="H185" s="234"/>
      <c r="I185" s="225"/>
      <c r="J185" s="225"/>
      <c r="K185" s="254"/>
      <c r="L185" s="232"/>
      <c r="M185" s="598"/>
      <c r="N185" s="232"/>
      <c r="O185" s="272"/>
      <c r="P185" s="281">
        <v>184</v>
      </c>
      <c r="Q185" s="259"/>
      <c r="R185" s="549">
        <v>0</v>
      </c>
      <c r="S185" s="571">
        <v>0</v>
      </c>
      <c r="T185" s="242">
        <v>0</v>
      </c>
      <c r="U185" s="440"/>
      <c r="V185" s="338">
        <v>0</v>
      </c>
      <c r="W185" s="364">
        <f>V184*(D184/100)</f>
        <v>0</v>
      </c>
      <c r="X185" s="565"/>
      <c r="Y185" s="448" t="str">
        <f>IFERROR(INT($Y$1/(F184)),"")</f>
        <v/>
      </c>
      <c r="Z185" s="528"/>
      <c r="AA185" s="529"/>
    </row>
    <row r="186" spans="1:27" ht="12.75" customHeight="1">
      <c r="A186" s="767" t="s">
        <v>635</v>
      </c>
      <c r="B186" s="245"/>
      <c r="C186" s="298"/>
      <c r="D186" s="252"/>
      <c r="E186" s="505"/>
      <c r="F186" s="800"/>
      <c r="G186" s="785"/>
      <c r="H186" s="237"/>
      <c r="I186" s="226"/>
      <c r="J186" s="226"/>
      <c r="K186" s="257"/>
      <c r="L186" s="244"/>
      <c r="M186" s="783"/>
      <c r="N186" s="244"/>
      <c r="O186" s="273"/>
      <c r="P186" s="282">
        <v>185</v>
      </c>
      <c r="Q186" s="260"/>
      <c r="R186" s="558">
        <v>0</v>
      </c>
      <c r="S186" s="572">
        <v>0</v>
      </c>
      <c r="T186" s="241">
        <v>0</v>
      </c>
      <c r="U186" s="441"/>
      <c r="V186" s="295"/>
      <c r="W186" s="365">
        <f t="shared" ref="W186" si="88">(V186*X186)</f>
        <v>0</v>
      </c>
      <c r="X186" s="569"/>
      <c r="Y186" s="530">
        <f>IF(D186&lt;&gt;0,($C187*(1-$V$1))-$D186,0)</f>
        <v>0</v>
      </c>
      <c r="Z186" s="531" t="str">
        <f>IFERROR(IF(C186&lt;&gt;"",$Y$1/(D184)*(C186),""),"")</f>
        <v/>
      </c>
      <c r="AA186" s="532" t="str">
        <f>IFERROR($AA$1/(D186)*(C184),"")</f>
        <v/>
      </c>
    </row>
    <row r="187" spans="1:27" ht="12.75" customHeight="1">
      <c r="A187" s="426" t="s">
        <v>636</v>
      </c>
      <c r="B187" s="510"/>
      <c r="C187" s="236"/>
      <c r="D187" s="352"/>
      <c r="E187" s="515"/>
      <c r="F187" s="794"/>
      <c r="G187" s="786"/>
      <c r="H187" s="234"/>
      <c r="I187" s="225"/>
      <c r="J187" s="225"/>
      <c r="K187" s="254"/>
      <c r="L187" s="232"/>
      <c r="M187" s="598"/>
      <c r="N187" s="232"/>
      <c r="O187" s="272"/>
      <c r="P187" s="281">
        <v>186</v>
      </c>
      <c r="Q187" s="259"/>
      <c r="R187" s="549">
        <v>0</v>
      </c>
      <c r="S187" s="571">
        <v>0</v>
      </c>
      <c r="T187" s="242">
        <v>0</v>
      </c>
      <c r="U187" s="440"/>
      <c r="V187" s="294">
        <v>0</v>
      </c>
      <c r="W187" s="366">
        <f>V186*(F186/100)</f>
        <v>0</v>
      </c>
      <c r="X187" s="565"/>
      <c r="Y187" s="449" t="str">
        <f>IFERROR(INT($AA$1/(F186/100)),"")</f>
        <v/>
      </c>
      <c r="Z187" s="533" t="str">
        <f>IFERROR(IF(C187&lt;&gt;"",$Y$1/(D185)*(C187),""),"")</f>
        <v/>
      </c>
      <c r="AA187" s="534" t="str">
        <f>IFERROR($AA$1/(D187)*(C185),"")</f>
        <v/>
      </c>
    </row>
    <row r="188" spans="1:27" ht="12.75" customHeight="1">
      <c r="A188" s="767" t="s">
        <v>637</v>
      </c>
      <c r="B188" s="245"/>
      <c r="C188" s="298"/>
      <c r="D188" s="252"/>
      <c r="E188" s="505"/>
      <c r="F188" s="800"/>
      <c r="G188" s="785"/>
      <c r="H188" s="237"/>
      <c r="I188" s="226"/>
      <c r="J188" s="226"/>
      <c r="K188" s="257"/>
      <c r="L188" s="244"/>
      <c r="M188" s="783"/>
      <c r="N188" s="244"/>
      <c r="O188" s="273"/>
      <c r="P188" s="282">
        <v>187</v>
      </c>
      <c r="Q188" s="260"/>
      <c r="R188" s="558">
        <v>0</v>
      </c>
      <c r="S188" s="572">
        <v>0</v>
      </c>
      <c r="T188" s="241">
        <v>0</v>
      </c>
      <c r="U188" s="441"/>
      <c r="V188" s="336"/>
      <c r="W188" s="367">
        <f t="shared" ref="W188" si="89">(V188*X188)</f>
        <v>0</v>
      </c>
      <c r="X188" s="567"/>
      <c r="Y188" s="535">
        <f>IF(D188&lt;&gt;0,($C189*(1-$V$1))-$D188,0)</f>
        <v>0</v>
      </c>
      <c r="Z188" s="536" t="str">
        <f>IFERROR(IF(C188&lt;&gt;"",$Y$1/(D184)*(C188),""),"")</f>
        <v/>
      </c>
      <c r="AA188" s="537" t="str">
        <f>IFERROR($Z$1/(D188)*(C184),"")</f>
        <v/>
      </c>
    </row>
    <row r="189" spans="1:27" ht="12.75" customHeight="1">
      <c r="A189" s="741" t="s">
        <v>638</v>
      </c>
      <c r="B189" s="718"/>
      <c r="C189" s="303"/>
      <c r="D189" s="713"/>
      <c r="E189" s="719"/>
      <c r="F189" s="799"/>
      <c r="G189" s="791"/>
      <c r="H189" s="249"/>
      <c r="I189" s="250"/>
      <c r="J189" s="250"/>
      <c r="K189" s="720"/>
      <c r="L189" s="253"/>
      <c r="M189" s="600"/>
      <c r="N189" s="253"/>
      <c r="O189" s="274"/>
      <c r="P189" s="583">
        <v>188</v>
      </c>
      <c r="Q189" s="472"/>
      <c r="R189" s="554">
        <v>0</v>
      </c>
      <c r="S189" s="694">
        <v>0</v>
      </c>
      <c r="T189" s="695">
        <v>0</v>
      </c>
      <c r="U189" s="440"/>
      <c r="V189" s="337">
        <v>0</v>
      </c>
      <c r="W189" s="721">
        <f>V188*(C188/100)</f>
        <v>0</v>
      </c>
      <c r="X189" s="585"/>
      <c r="Y189" s="715" t="str">
        <f>IFERROR(INT($Z$1/(F188)),"")</f>
        <v/>
      </c>
      <c r="Z189" s="716" t="str">
        <f>IFERROR(IF(C189&lt;&gt;"",$Y$1/(D185)*(C189),""),"")</f>
        <v/>
      </c>
      <c r="AA189" s="717" t="str">
        <f>IFERROR($Z$1/(D189)*(C185),"")</f>
        <v/>
      </c>
    </row>
    <row r="190" spans="1:27" ht="12.75" customHeight="1">
      <c r="A190" s="768" t="s">
        <v>639</v>
      </c>
      <c r="B190" s="245"/>
      <c r="C190" s="298"/>
      <c r="D190" s="252"/>
      <c r="E190" s="505"/>
      <c r="F190" s="800"/>
      <c r="G190" s="785"/>
      <c r="H190" s="235"/>
      <c r="I190" s="227"/>
      <c r="J190" s="227"/>
      <c r="K190" s="256"/>
      <c r="L190" s="248"/>
      <c r="M190" s="597"/>
      <c r="N190" s="248"/>
      <c r="O190" s="271"/>
      <c r="P190" s="282">
        <v>189</v>
      </c>
      <c r="Q190" s="261"/>
      <c r="R190" s="550">
        <v>0</v>
      </c>
      <c r="S190" s="570">
        <v>0</v>
      </c>
      <c r="T190" s="243">
        <v>0</v>
      </c>
      <c r="U190" s="441"/>
      <c r="V190" s="339"/>
      <c r="W190" s="368">
        <f t="shared" ref="W190" si="90">(V190*X190)</f>
        <v>0</v>
      </c>
      <c r="X190" s="566"/>
      <c r="Y190" s="524">
        <f>IF(D190&lt;&gt;0,($C191*(1-$V$1))-$D190,0)</f>
        <v>0</v>
      </c>
      <c r="Z190" s="526"/>
      <c r="AA190" s="527"/>
    </row>
    <row r="191" spans="1:27" ht="12.75" customHeight="1">
      <c r="A191" s="426" t="s">
        <v>640</v>
      </c>
      <c r="B191" s="510"/>
      <c r="C191" s="236"/>
      <c r="D191" s="352"/>
      <c r="E191" s="515"/>
      <c r="F191" s="794"/>
      <c r="G191" s="786"/>
      <c r="H191" s="234"/>
      <c r="I191" s="225"/>
      <c r="J191" s="225"/>
      <c r="K191" s="254"/>
      <c r="L191" s="232"/>
      <c r="M191" s="598"/>
      <c r="N191" s="232"/>
      <c r="O191" s="272"/>
      <c r="P191" s="281">
        <v>190</v>
      </c>
      <c r="Q191" s="259"/>
      <c r="R191" s="549">
        <v>0</v>
      </c>
      <c r="S191" s="571">
        <v>0</v>
      </c>
      <c r="T191" s="242">
        <v>0</v>
      </c>
      <c r="U191" s="440"/>
      <c r="V191" s="338">
        <v>0</v>
      </c>
      <c r="W191" s="364">
        <f>V190*(D190/100)</f>
        <v>0</v>
      </c>
      <c r="X191" s="565"/>
      <c r="Y191" s="448" t="str">
        <f>IFERROR(INT($Y$1/(F190)),"")</f>
        <v/>
      </c>
      <c r="Z191" s="528"/>
      <c r="AA191" s="529"/>
    </row>
    <row r="192" spans="1:27" ht="12.75" customHeight="1">
      <c r="A192" s="767" t="s">
        <v>641</v>
      </c>
      <c r="B192" s="245"/>
      <c r="C192" s="298"/>
      <c r="D192" s="252"/>
      <c r="E192" s="505"/>
      <c r="F192" s="800"/>
      <c r="G192" s="785"/>
      <c r="H192" s="237"/>
      <c r="I192" s="226"/>
      <c r="J192" s="226"/>
      <c r="K192" s="257"/>
      <c r="L192" s="244"/>
      <c r="M192" s="783"/>
      <c r="N192" s="244"/>
      <c r="O192" s="273"/>
      <c r="P192" s="282">
        <v>191</v>
      </c>
      <c r="Q192" s="260"/>
      <c r="R192" s="558">
        <v>0</v>
      </c>
      <c r="S192" s="572">
        <v>0</v>
      </c>
      <c r="T192" s="241">
        <v>0</v>
      </c>
      <c r="U192" s="441"/>
      <c r="V192" s="295"/>
      <c r="W192" s="365">
        <f t="shared" ref="W192" si="91">(V192*X192)</f>
        <v>0</v>
      </c>
      <c r="X192" s="569"/>
      <c r="Y192" s="530">
        <f>IF(D192&lt;&gt;0,($C193*(1-$V$1))-$D192,0)</f>
        <v>0</v>
      </c>
      <c r="Z192" s="531" t="str">
        <f>IFERROR(IF(C192&lt;&gt;"",$Y$1/(D190)*(C192),""),"")</f>
        <v/>
      </c>
      <c r="AA192" s="532" t="str">
        <f>IFERROR($AA$1/(D192)*(C190),"")</f>
        <v/>
      </c>
    </row>
    <row r="193" spans="1:27" ht="12.75" customHeight="1">
      <c r="A193" s="426" t="s">
        <v>642</v>
      </c>
      <c r="B193" s="510"/>
      <c r="C193" s="236"/>
      <c r="D193" s="352"/>
      <c r="E193" s="515"/>
      <c r="F193" s="794"/>
      <c r="G193" s="786"/>
      <c r="H193" s="234"/>
      <c r="I193" s="225"/>
      <c r="J193" s="225"/>
      <c r="K193" s="254"/>
      <c r="L193" s="232"/>
      <c r="M193" s="598"/>
      <c r="N193" s="232"/>
      <c r="O193" s="272"/>
      <c r="P193" s="281">
        <v>192</v>
      </c>
      <c r="Q193" s="259"/>
      <c r="R193" s="549">
        <v>0</v>
      </c>
      <c r="S193" s="571">
        <v>0</v>
      </c>
      <c r="T193" s="242">
        <v>0</v>
      </c>
      <c r="U193" s="440"/>
      <c r="V193" s="294">
        <v>0</v>
      </c>
      <c r="W193" s="366">
        <f>V192*(F192/100)</f>
        <v>0</v>
      </c>
      <c r="X193" s="565"/>
      <c r="Y193" s="449" t="str">
        <f>IFERROR(INT($AA$1/(F192/100)),"")</f>
        <v/>
      </c>
      <c r="Z193" s="533" t="str">
        <f>IFERROR(IF(C193&lt;&gt;"",$Y$1/(D191)*(C193),""),"")</f>
        <v/>
      </c>
      <c r="AA193" s="534" t="str">
        <f>IFERROR($AA$1/(D193)*(C191),"")</f>
        <v/>
      </c>
    </row>
    <row r="194" spans="1:27" ht="12.75" customHeight="1">
      <c r="A194" s="767" t="s">
        <v>643</v>
      </c>
      <c r="B194" s="245"/>
      <c r="C194" s="298"/>
      <c r="D194" s="252"/>
      <c r="E194" s="505"/>
      <c r="F194" s="800"/>
      <c r="G194" s="785"/>
      <c r="H194" s="237"/>
      <c r="I194" s="226"/>
      <c r="J194" s="226"/>
      <c r="K194" s="257"/>
      <c r="L194" s="244"/>
      <c r="M194" s="783"/>
      <c r="N194" s="244"/>
      <c r="O194" s="273"/>
      <c r="P194" s="282">
        <v>193</v>
      </c>
      <c r="Q194" s="260"/>
      <c r="R194" s="558">
        <v>0</v>
      </c>
      <c r="S194" s="572">
        <v>0</v>
      </c>
      <c r="T194" s="241">
        <v>0</v>
      </c>
      <c r="U194" s="441"/>
      <c r="V194" s="336"/>
      <c r="W194" s="367">
        <f t="shared" ref="W194" si="92">(V194*X194)</f>
        <v>0</v>
      </c>
      <c r="X194" s="567"/>
      <c r="Y194" s="535">
        <f>IF(D194&lt;&gt;0,($C195*(1-$V$1))-$D194,0)</f>
        <v>0</v>
      </c>
      <c r="Z194" s="536" t="str">
        <f>IFERROR(IF(C194&lt;&gt;"",$Y$1/(D190)*(C194),""),"")</f>
        <v/>
      </c>
      <c r="AA194" s="537" t="str">
        <f>IFERROR($Z$1/(D194)*(C190),"")</f>
        <v/>
      </c>
    </row>
    <row r="195" spans="1:27" ht="12.75" customHeight="1">
      <c r="A195" s="741" t="s">
        <v>644</v>
      </c>
      <c r="B195" s="718"/>
      <c r="C195" s="303"/>
      <c r="D195" s="713"/>
      <c r="E195" s="719"/>
      <c r="F195" s="799"/>
      <c r="G195" s="791"/>
      <c r="H195" s="249"/>
      <c r="I195" s="250"/>
      <c r="J195" s="250"/>
      <c r="K195" s="720"/>
      <c r="L195" s="253"/>
      <c r="M195" s="600"/>
      <c r="N195" s="253"/>
      <c r="O195" s="274"/>
      <c r="P195" s="583">
        <v>194</v>
      </c>
      <c r="Q195" s="472"/>
      <c r="R195" s="554">
        <v>0</v>
      </c>
      <c r="S195" s="694">
        <v>0</v>
      </c>
      <c r="T195" s="695">
        <v>0</v>
      </c>
      <c r="U195" s="440"/>
      <c r="V195" s="337">
        <v>0</v>
      </c>
      <c r="W195" s="721">
        <f>V194*(C194/100)</f>
        <v>0</v>
      </c>
      <c r="X195" s="585"/>
      <c r="Y195" s="715" t="str">
        <f>IFERROR(INT($Z$1/(F194)),"")</f>
        <v/>
      </c>
      <c r="Z195" s="716" t="str">
        <f>IFERROR(IF(C195&lt;&gt;"",$Y$1/(D191)*(C195),""),"")</f>
        <v/>
      </c>
      <c r="AA195" s="717" t="str">
        <f>IFERROR($Z$1/(D195)*(C191),"")</f>
        <v/>
      </c>
    </row>
    <row r="196" spans="1:27" ht="12.75" customHeight="1">
      <c r="A196" s="768" t="s">
        <v>645</v>
      </c>
      <c r="B196" s="245"/>
      <c r="C196" s="298"/>
      <c r="D196" s="252"/>
      <c r="E196" s="505"/>
      <c r="F196" s="800"/>
      <c r="G196" s="785"/>
      <c r="H196" s="235"/>
      <c r="I196" s="227"/>
      <c r="J196" s="227"/>
      <c r="K196" s="256"/>
      <c r="L196" s="248"/>
      <c r="M196" s="597"/>
      <c r="N196" s="248"/>
      <c r="O196" s="271"/>
      <c r="P196" s="282">
        <v>195</v>
      </c>
      <c r="Q196" s="261"/>
      <c r="R196" s="550">
        <v>0</v>
      </c>
      <c r="S196" s="570">
        <v>0</v>
      </c>
      <c r="T196" s="243">
        <v>0</v>
      </c>
      <c r="U196" s="441"/>
      <c r="V196" s="339"/>
      <c r="W196" s="368">
        <f t="shared" ref="W196" si="93">(V196*X196)</f>
        <v>0</v>
      </c>
      <c r="X196" s="566"/>
      <c r="Y196" s="524">
        <f>IF(D196&lt;&gt;0,($C197*(1-$V$1))-$D196,0)</f>
        <v>0</v>
      </c>
      <c r="Z196" s="526"/>
      <c r="AA196" s="527"/>
    </row>
    <row r="197" spans="1:27" ht="12.75" customHeight="1">
      <c r="A197" s="426" t="s">
        <v>646</v>
      </c>
      <c r="B197" s="510"/>
      <c r="C197" s="236"/>
      <c r="D197" s="352"/>
      <c r="E197" s="515"/>
      <c r="F197" s="794"/>
      <c r="G197" s="786"/>
      <c r="H197" s="234"/>
      <c r="I197" s="225"/>
      <c r="J197" s="225"/>
      <c r="K197" s="254"/>
      <c r="L197" s="232"/>
      <c r="M197" s="598"/>
      <c r="N197" s="232"/>
      <c r="O197" s="272"/>
      <c r="P197" s="281">
        <v>196</v>
      </c>
      <c r="Q197" s="259"/>
      <c r="R197" s="549">
        <v>0</v>
      </c>
      <c r="S197" s="571">
        <v>0</v>
      </c>
      <c r="T197" s="242">
        <v>0</v>
      </c>
      <c r="U197" s="440"/>
      <c r="V197" s="338">
        <v>0</v>
      </c>
      <c r="W197" s="364">
        <f>V196*(D196/100)</f>
        <v>0</v>
      </c>
      <c r="X197" s="565"/>
      <c r="Y197" s="448" t="str">
        <f>IFERROR(INT($Y$1/(F196)),"")</f>
        <v/>
      </c>
      <c r="Z197" s="528"/>
      <c r="AA197" s="529"/>
    </row>
    <row r="198" spans="1:27" ht="12.75" customHeight="1">
      <c r="A198" s="767" t="s">
        <v>649</v>
      </c>
      <c r="B198" s="245"/>
      <c r="C198" s="298"/>
      <c r="D198" s="252"/>
      <c r="E198" s="505"/>
      <c r="F198" s="800"/>
      <c r="G198" s="785"/>
      <c r="H198" s="237"/>
      <c r="I198" s="226"/>
      <c r="J198" s="226"/>
      <c r="K198" s="257"/>
      <c r="L198" s="244"/>
      <c r="M198" s="783"/>
      <c r="N198" s="244"/>
      <c r="O198" s="273"/>
      <c r="P198" s="282">
        <v>197</v>
      </c>
      <c r="Q198" s="260"/>
      <c r="R198" s="558">
        <v>0</v>
      </c>
      <c r="S198" s="572">
        <v>0</v>
      </c>
      <c r="T198" s="241">
        <v>0</v>
      </c>
      <c r="U198" s="441"/>
      <c r="V198" s="295"/>
      <c r="W198" s="365">
        <f t="shared" ref="W198" si="94">(V198*X198)</f>
        <v>0</v>
      </c>
      <c r="X198" s="569"/>
      <c r="Y198" s="530">
        <f>IF(D198&lt;&gt;0,($C199*(1-$V$1))-$D198,0)</f>
        <v>0</v>
      </c>
      <c r="Z198" s="531" t="str">
        <f>IFERROR(IF(C198&lt;&gt;"",$Y$1/(D196)*(C198),""),"")</f>
        <v/>
      </c>
      <c r="AA198" s="532" t="str">
        <f>IFERROR($AA$1/(D198)*(C196),"")</f>
        <v/>
      </c>
    </row>
    <row r="199" spans="1:27" ht="12.75" customHeight="1">
      <c r="A199" s="426" t="s">
        <v>650</v>
      </c>
      <c r="B199" s="510"/>
      <c r="C199" s="236"/>
      <c r="D199" s="352"/>
      <c r="E199" s="515"/>
      <c r="F199" s="794"/>
      <c r="G199" s="786"/>
      <c r="H199" s="234"/>
      <c r="I199" s="225"/>
      <c r="J199" s="225"/>
      <c r="K199" s="254"/>
      <c r="L199" s="232"/>
      <c r="M199" s="598"/>
      <c r="N199" s="232"/>
      <c r="O199" s="272"/>
      <c r="P199" s="281">
        <v>198</v>
      </c>
      <c r="Q199" s="259"/>
      <c r="R199" s="549">
        <v>0</v>
      </c>
      <c r="S199" s="571">
        <v>0</v>
      </c>
      <c r="T199" s="242">
        <v>0</v>
      </c>
      <c r="U199" s="440"/>
      <c r="V199" s="294">
        <v>0</v>
      </c>
      <c r="W199" s="366">
        <f>V198*(F198/100)</f>
        <v>0</v>
      </c>
      <c r="X199" s="565"/>
      <c r="Y199" s="449" t="str">
        <f>IFERROR(INT($AA$1/(F198/100)),"")</f>
        <v/>
      </c>
      <c r="Z199" s="533" t="str">
        <f>IFERROR(IF(C199&lt;&gt;"",$Y$1/(D197)*(C199),""),"")</f>
        <v/>
      </c>
      <c r="AA199" s="534" t="str">
        <f>IFERROR($AA$1/(D199)*(C197),"")</f>
        <v/>
      </c>
    </row>
    <row r="200" spans="1:27" ht="12.75" customHeight="1">
      <c r="A200" s="767" t="s">
        <v>647</v>
      </c>
      <c r="B200" s="245"/>
      <c r="C200" s="298"/>
      <c r="D200" s="252"/>
      <c r="E200" s="505"/>
      <c r="F200" s="800"/>
      <c r="G200" s="785"/>
      <c r="H200" s="237"/>
      <c r="I200" s="226"/>
      <c r="J200" s="226"/>
      <c r="K200" s="257"/>
      <c r="L200" s="244"/>
      <c r="M200" s="783"/>
      <c r="N200" s="244"/>
      <c r="O200" s="273"/>
      <c r="P200" s="282">
        <v>199</v>
      </c>
      <c r="Q200" s="260"/>
      <c r="R200" s="558">
        <v>0</v>
      </c>
      <c r="S200" s="572">
        <v>0</v>
      </c>
      <c r="T200" s="241">
        <v>0</v>
      </c>
      <c r="U200" s="441"/>
      <c r="V200" s="336"/>
      <c r="W200" s="367">
        <f t="shared" ref="W200" si="95">(V200*X200)</f>
        <v>0</v>
      </c>
      <c r="X200" s="567"/>
      <c r="Y200" s="535">
        <f>IF(D200&lt;&gt;0,($C201*(1-$V$1))-$D200,0)</f>
        <v>0</v>
      </c>
      <c r="Z200" s="536" t="str">
        <f>IFERROR(IF(C200&lt;&gt;"",$Y$1/(D196)*(C200),""),"")</f>
        <v/>
      </c>
      <c r="AA200" s="537" t="str">
        <f>IFERROR($Z$1/(D200)*(C196),"")</f>
        <v/>
      </c>
    </row>
    <row r="201" spans="1:27" ht="12.75" customHeight="1">
      <c r="A201" s="741" t="s">
        <v>648</v>
      </c>
      <c r="B201" s="718"/>
      <c r="C201" s="303"/>
      <c r="D201" s="713"/>
      <c r="E201" s="719"/>
      <c r="F201" s="799"/>
      <c r="G201" s="791"/>
      <c r="H201" s="249"/>
      <c r="I201" s="250"/>
      <c r="J201" s="250"/>
      <c r="K201" s="720"/>
      <c r="L201" s="253"/>
      <c r="M201" s="600"/>
      <c r="N201" s="253"/>
      <c r="O201" s="274"/>
      <c r="P201" s="583">
        <v>200</v>
      </c>
      <c r="Q201" s="472"/>
      <c r="R201" s="554">
        <v>0</v>
      </c>
      <c r="S201" s="694">
        <v>0</v>
      </c>
      <c r="T201" s="695">
        <v>0</v>
      </c>
      <c r="U201" s="739"/>
      <c r="V201" s="337">
        <v>0</v>
      </c>
      <c r="W201" s="721">
        <f>V200*(C200/100)</f>
        <v>0</v>
      </c>
      <c r="X201" s="585"/>
      <c r="Y201" s="715" t="str">
        <f>IFERROR(INT($Z$1/(F200)),"")</f>
        <v/>
      </c>
      <c r="Z201" s="716" t="str">
        <f>IFERROR(IF(C201&lt;&gt;"",$Y$1/(D197)*(C201),""),"")</f>
        <v/>
      </c>
      <c r="AA201" s="717" t="str">
        <f>IFERROR($Z$1/(D201)*(C197),"")</f>
        <v/>
      </c>
    </row>
    <row r="206" spans="1:27" ht="12.75" customHeight="1">
      <c r="A206" s="618"/>
    </row>
    <row r="207" spans="1:27" ht="12.75" customHeight="1">
      <c r="A207" s="619"/>
    </row>
    <row r="208" spans="1:27" ht="12.75" customHeight="1">
      <c r="A208" s="619"/>
    </row>
    <row r="209" spans="1:1" ht="12.75" customHeight="1">
      <c r="A209" s="619"/>
    </row>
  </sheetData>
  <sortState xmlns:xlrd2="http://schemas.microsoft.com/office/spreadsheetml/2017/richdata2" ref="A15">
    <sortCondition descending="1" ref="A14:A15"/>
  </sortState>
  <mergeCells count="18"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</mergeCells>
  <phoneticPr fontId="16" type="noConversion"/>
  <conditionalFormatting sqref="Q60:T159">
    <cfRule type="cellIs" dxfId="2431" priority="16441" operator="equal">
      <formula>0</formula>
    </cfRule>
  </conditionalFormatting>
  <conditionalFormatting sqref="V60:V81">
    <cfRule type="cellIs" dxfId="2430" priority="16934" operator="lessThan">
      <formula>0</formula>
    </cfRule>
    <cfRule type="cellIs" dxfId="2429" priority="16935" operator="equal">
      <formula>0</formula>
    </cfRule>
  </conditionalFormatting>
  <conditionalFormatting sqref="Y66 Y68">
    <cfRule type="cellIs" dxfId="2428" priority="12537" operator="lessThanOrEqual">
      <formula>0</formula>
    </cfRule>
  </conditionalFormatting>
  <conditionalFormatting sqref="Z30:Z34 W62:X63 Z37:Z39">
    <cfRule type="cellIs" dxfId="2427" priority="17184" operator="equal">
      <formula>0</formula>
    </cfRule>
  </conditionalFormatting>
  <conditionalFormatting sqref="W65">
    <cfRule type="cellIs" dxfId="2426" priority="12491" operator="equal">
      <formula>0</formula>
    </cfRule>
  </conditionalFormatting>
  <conditionalFormatting sqref="W64">
    <cfRule type="cellIs" dxfId="2425" priority="7601" operator="equal">
      <formula>0</formula>
    </cfRule>
    <cfRule type="cellIs" dxfId="2424" priority="7603" operator="lessThan">
      <formula>W65</formula>
    </cfRule>
    <cfRule type="cellIs" dxfId="2423" priority="12490" operator="lessThan">
      <formula>0</formula>
    </cfRule>
  </conditionalFormatting>
  <conditionalFormatting sqref="W67">
    <cfRule type="cellIs" dxfId="2422" priority="12489" operator="equal">
      <formula>0</formula>
    </cfRule>
  </conditionalFormatting>
  <conditionalFormatting sqref="W66">
    <cfRule type="cellIs" dxfId="2421" priority="7599" operator="equal">
      <formula>0</formula>
    </cfRule>
    <cfRule type="cellIs" dxfId="2420" priority="7600" operator="lessThan">
      <formula>W67</formula>
    </cfRule>
    <cfRule type="cellIs" dxfId="2419" priority="12488" operator="lessThan">
      <formula>0</formula>
    </cfRule>
  </conditionalFormatting>
  <conditionalFormatting sqref="W68">
    <cfRule type="cellIs" dxfId="2418" priority="7598" operator="equal">
      <formula>0</formula>
    </cfRule>
    <cfRule type="cellIs" dxfId="2417" priority="7604" operator="lessThan">
      <formula>W69</formula>
    </cfRule>
  </conditionalFormatting>
  <conditionalFormatting sqref="Z2 Z6 Z10 Z14 Z18 Z22">
    <cfRule type="cellIs" dxfId="2416" priority="12158" operator="equal">
      <formula>0</formula>
    </cfRule>
  </conditionalFormatting>
  <conditionalFormatting sqref="Z3 Z7 Z11 Z15 Z19 Z23">
    <cfRule type="cellIs" dxfId="2415" priority="12157" operator="equal">
      <formula>0</formula>
    </cfRule>
  </conditionalFormatting>
  <conditionalFormatting sqref="Z4 Z8 Z12 Z16 Z20 Z24">
    <cfRule type="cellIs" dxfId="2414" priority="12156" operator="equal">
      <formula>0</formula>
    </cfRule>
  </conditionalFormatting>
  <conditionalFormatting sqref="Z5 Z9 Z13 Z17 Z21 Z25">
    <cfRule type="cellIs" dxfId="2413" priority="12155" operator="equal">
      <formula>0</formula>
    </cfRule>
  </conditionalFormatting>
  <conditionalFormatting sqref="Y3">
    <cfRule type="cellIs" dxfId="2412" priority="11211" operator="equal">
      <formula>0</formula>
    </cfRule>
  </conditionalFormatting>
  <conditionalFormatting sqref="Y4">
    <cfRule type="cellIs" dxfId="2411" priority="11210" operator="equal">
      <formula>0</formula>
    </cfRule>
  </conditionalFormatting>
  <conditionalFormatting sqref="Y7">
    <cfRule type="cellIs" dxfId="2410" priority="11205" operator="equal">
      <formula>0</formula>
    </cfRule>
  </conditionalFormatting>
  <conditionalFormatting sqref="Y8">
    <cfRule type="cellIs" dxfId="2409" priority="11204" operator="equal">
      <formula>0</formula>
    </cfRule>
  </conditionalFormatting>
  <conditionalFormatting sqref="Y11 Y15 Y19 Y23">
    <cfRule type="cellIs" dxfId="2408" priority="11199" operator="equal">
      <formula>0</formula>
    </cfRule>
  </conditionalFormatting>
  <conditionalFormatting sqref="Y12 Y16 Y20 Y24">
    <cfRule type="cellIs" dxfId="2407" priority="11198" operator="equal">
      <formula>0</formula>
    </cfRule>
  </conditionalFormatting>
  <conditionalFormatting sqref="B2 B6 B10 B14">
    <cfRule type="expression" dxfId="2406" priority="20396">
      <formula>IF($Y5&gt;$Y2,AND(MID($A2,5,1)=" "))</formula>
    </cfRule>
    <cfRule type="expression" dxfId="2405" priority="20397">
      <formula>IF($Y5&gt;$Y2,AND(MID($A2,5,1)="C"))</formula>
    </cfRule>
    <cfRule type="expression" dxfId="2404" priority="20398">
      <formula>IF($Y5&gt;$Y2,AND(MID($A2,5,1)="D"))</formula>
    </cfRule>
  </conditionalFormatting>
  <conditionalFormatting sqref="E3 E7 E11 E15">
    <cfRule type="expression" dxfId="2403" priority="20411">
      <formula>IF($Y5&gt;$Y2,AND(MID($A3,5,1)=" "))</formula>
    </cfRule>
    <cfRule type="expression" dxfId="2402" priority="20412">
      <formula>IF($Y5&gt;$Y2,AND(MID($A3,5,1)="C"))</formula>
    </cfRule>
    <cfRule type="expression" dxfId="2401" priority="20413">
      <formula>IF($Y5&gt;$Y2,AND(MID($A3,5,1)="D"))</formula>
    </cfRule>
  </conditionalFormatting>
  <conditionalFormatting sqref="B4 B8 B16">
    <cfRule type="expression" dxfId="2400" priority="20426">
      <formula>IF($Y5&gt;$Y2,AND(MID($A4,5,1)=" "))</formula>
    </cfRule>
    <cfRule type="expression" dxfId="2399" priority="20427">
      <formula>IF($Y5&gt;$Y2,AND(MID($A4,5,1)="C"))</formula>
    </cfRule>
    <cfRule type="expression" dxfId="2398" priority="20428">
      <formula>IF($Y5&gt;$Y2,AND(MID($A4,5,1)="D"))</formula>
    </cfRule>
  </conditionalFormatting>
  <conditionalFormatting sqref="E5 E9 E13 E17">
    <cfRule type="expression" dxfId="2397" priority="20441">
      <formula>IF($Y5&gt;$Y2,AND(MID($A5,5,1)=" "))</formula>
    </cfRule>
    <cfRule type="expression" dxfId="2396" priority="20442">
      <formula>IF($Y5&gt;$Y2,AND(MID($A5,5,1)="C"))</formula>
    </cfRule>
    <cfRule type="expression" dxfId="2395" priority="20443">
      <formula>IF($Y5&gt;$Y2,AND(MID($A5,5,1)="D"))</formula>
    </cfRule>
  </conditionalFormatting>
  <conditionalFormatting sqref="C2 C6 C10 C14">
    <cfRule type="expression" dxfId="2394" priority="20456">
      <formula>IF($Y5&gt;$Y2,AND(MID($A2,5,1)=" "))</formula>
    </cfRule>
    <cfRule type="expression" dxfId="2393" priority="20457">
      <formula>IF($Y5&gt;$Y2,AND(MID($A2,5,1)="C"))</formula>
    </cfRule>
    <cfRule type="expression" dxfId="2392" priority="20458">
      <formula>IF($Y5&gt;$Y2,AND(MID($A2,5,1)="D"))</formula>
    </cfRule>
  </conditionalFormatting>
  <conditionalFormatting sqref="D3 D7 D11 D15">
    <cfRule type="expression" dxfId="2391" priority="20471">
      <formula>IF($Y5&gt;$Y2,AND(MID($A3,5,1)=" "))</formula>
    </cfRule>
    <cfRule type="expression" dxfId="2390" priority="20472">
      <formula>IF($Y5&gt;$Y2,AND(MID($A3,5,1)="C"))</formula>
    </cfRule>
    <cfRule type="expression" dxfId="2389" priority="20473">
      <formula>IF($Y5&gt;$Y2,AND(MID($A3,5,1)="D"))</formula>
    </cfRule>
  </conditionalFormatting>
  <conditionalFormatting sqref="D5 D9 D13 D17">
    <cfRule type="expression" dxfId="2388" priority="20486">
      <formula>IF($Y5&gt;$Y2,AND(MID($A5,5,1)=" "))</formula>
    </cfRule>
    <cfRule type="expression" dxfId="2387" priority="20487">
      <formula>IF($Y5&gt;$Y2,AND(MID($A5,5,1)="C"))</formula>
    </cfRule>
    <cfRule type="expression" dxfId="2386" priority="20488">
      <formula>IF($Y5&gt;$Y2,AND(MID($A5,5,1)="D"))</formula>
    </cfRule>
  </conditionalFormatting>
  <conditionalFormatting sqref="C4 C8 C16">
    <cfRule type="expression" dxfId="2385" priority="20501">
      <formula>IF($Y5&gt;$Y2,AND(MID($A4,5,1)=" "))</formula>
    </cfRule>
    <cfRule type="expression" dxfId="2384" priority="20502">
      <formula>IF($Y5&gt;$Y2,AND(MID($A4,5,1)="C"))</formula>
    </cfRule>
    <cfRule type="expression" dxfId="2383" priority="20503">
      <formula>IF($Y5&gt;$Y2,AND(MID($A4,5,1)="D"))</formula>
    </cfRule>
  </conditionalFormatting>
  <conditionalFormatting sqref="Q160:T201">
    <cfRule type="cellIs" dxfId="2382" priority="10354" operator="equal">
      <formula>0</formula>
    </cfRule>
  </conditionalFormatting>
  <conditionalFormatting sqref="Z66">
    <cfRule type="cellIs" dxfId="2381" priority="10331" operator="equal">
      <formula>0</formula>
    </cfRule>
  </conditionalFormatting>
  <conditionalFormatting sqref="AA66">
    <cfRule type="cellIs" dxfId="2380" priority="10330" operator="equal">
      <formula>0</formula>
    </cfRule>
  </conditionalFormatting>
  <conditionalFormatting sqref="Z67 Z69">
    <cfRule type="cellIs" dxfId="2379" priority="10328" operator="equal">
      <formula>0</formula>
    </cfRule>
  </conditionalFormatting>
  <conditionalFormatting sqref="AA67:AA69">
    <cfRule type="cellIs" dxfId="2378" priority="10327" operator="equal">
      <formula>0</formula>
    </cfRule>
  </conditionalFormatting>
  <conditionalFormatting sqref="Z72">
    <cfRule type="cellIs" dxfId="2377" priority="10326" operator="equal">
      <formula>0</formula>
    </cfRule>
  </conditionalFormatting>
  <conditionalFormatting sqref="AA72">
    <cfRule type="cellIs" dxfId="2376" priority="10325" operator="equal">
      <formula>0</formula>
    </cfRule>
  </conditionalFormatting>
  <conditionalFormatting sqref="Z73:Z75">
    <cfRule type="cellIs" dxfId="2375" priority="10323" operator="equal">
      <formula>0</formula>
    </cfRule>
  </conditionalFormatting>
  <conditionalFormatting sqref="AA73:AA75">
    <cfRule type="cellIs" dxfId="2374" priority="10322" operator="equal">
      <formula>0</formula>
    </cfRule>
  </conditionalFormatting>
  <conditionalFormatting sqref="Z78">
    <cfRule type="cellIs" dxfId="2373" priority="10321" operator="equal">
      <formula>0</formula>
    </cfRule>
  </conditionalFormatting>
  <conditionalFormatting sqref="AA78">
    <cfRule type="cellIs" dxfId="2372" priority="10320" operator="equal">
      <formula>0</formula>
    </cfRule>
  </conditionalFormatting>
  <conditionalFormatting sqref="Z79:Z81">
    <cfRule type="cellIs" dxfId="2371" priority="10318" operator="equal">
      <formula>0</formula>
    </cfRule>
  </conditionalFormatting>
  <conditionalFormatting sqref="AA79:AA81">
    <cfRule type="cellIs" dxfId="2370" priority="10317" operator="equal">
      <formula>0</formula>
    </cfRule>
  </conditionalFormatting>
  <conditionalFormatting sqref="Z84">
    <cfRule type="cellIs" dxfId="2369" priority="10316" operator="equal">
      <formula>0</formula>
    </cfRule>
  </conditionalFormatting>
  <conditionalFormatting sqref="AA84">
    <cfRule type="cellIs" dxfId="2368" priority="10315" operator="equal">
      <formula>0</formula>
    </cfRule>
  </conditionalFormatting>
  <conditionalFormatting sqref="Z85:Z87">
    <cfRule type="cellIs" dxfId="2367" priority="10313" operator="equal">
      <formula>0</formula>
    </cfRule>
  </conditionalFormatting>
  <conditionalFormatting sqref="AA85:AA87">
    <cfRule type="cellIs" dxfId="2366" priority="10312" operator="equal">
      <formula>0</formula>
    </cfRule>
  </conditionalFormatting>
  <conditionalFormatting sqref="Z90">
    <cfRule type="cellIs" dxfId="2365" priority="10311" operator="equal">
      <formula>0</formula>
    </cfRule>
  </conditionalFormatting>
  <conditionalFormatting sqref="AA90">
    <cfRule type="cellIs" dxfId="2364" priority="10310" operator="equal">
      <formula>0</formula>
    </cfRule>
  </conditionalFormatting>
  <conditionalFormatting sqref="Z91:Z93">
    <cfRule type="cellIs" dxfId="2363" priority="10308" operator="equal">
      <formula>0</formula>
    </cfRule>
  </conditionalFormatting>
  <conditionalFormatting sqref="AA91:AA93">
    <cfRule type="cellIs" dxfId="2362" priority="10307" operator="equal">
      <formula>0</formula>
    </cfRule>
  </conditionalFormatting>
  <conditionalFormatting sqref="Z96">
    <cfRule type="cellIs" dxfId="2361" priority="10306" operator="equal">
      <formula>0</formula>
    </cfRule>
  </conditionalFormatting>
  <conditionalFormatting sqref="AA96">
    <cfRule type="cellIs" dxfId="2360" priority="10305" operator="equal">
      <formula>0</formula>
    </cfRule>
  </conditionalFormatting>
  <conditionalFormatting sqref="Z97:Z99">
    <cfRule type="cellIs" dxfId="2359" priority="10303" operator="equal">
      <formula>0</formula>
    </cfRule>
  </conditionalFormatting>
  <conditionalFormatting sqref="AA97:AA99">
    <cfRule type="cellIs" dxfId="2358" priority="10302" operator="equal">
      <formula>0</formula>
    </cfRule>
  </conditionalFormatting>
  <conditionalFormatting sqref="Z102">
    <cfRule type="cellIs" dxfId="2357" priority="10301" operator="equal">
      <formula>0</formula>
    </cfRule>
  </conditionalFormatting>
  <conditionalFormatting sqref="AA102">
    <cfRule type="cellIs" dxfId="2356" priority="10300" operator="equal">
      <formula>0</formula>
    </cfRule>
  </conditionalFormatting>
  <conditionalFormatting sqref="Z103:Z105">
    <cfRule type="cellIs" dxfId="2355" priority="10298" operator="equal">
      <formula>0</formula>
    </cfRule>
  </conditionalFormatting>
  <conditionalFormatting sqref="AA103:AA105">
    <cfRule type="cellIs" dxfId="2354" priority="10297" operator="equal">
      <formula>0</formula>
    </cfRule>
  </conditionalFormatting>
  <conditionalFormatting sqref="Z108">
    <cfRule type="cellIs" dxfId="2353" priority="10296" operator="equal">
      <formula>0</formula>
    </cfRule>
  </conditionalFormatting>
  <conditionalFormatting sqref="AA108">
    <cfRule type="cellIs" dxfId="2352" priority="10295" operator="equal">
      <formula>0</formula>
    </cfRule>
  </conditionalFormatting>
  <conditionalFormatting sqref="Z109:Z111">
    <cfRule type="cellIs" dxfId="2351" priority="10293" operator="equal">
      <formula>0</formula>
    </cfRule>
  </conditionalFormatting>
  <conditionalFormatting sqref="AA109:AA111">
    <cfRule type="cellIs" dxfId="2350" priority="10292" operator="equal">
      <formula>0</formula>
    </cfRule>
  </conditionalFormatting>
  <conditionalFormatting sqref="Z114">
    <cfRule type="cellIs" dxfId="2349" priority="10291" operator="equal">
      <formula>0</formula>
    </cfRule>
  </conditionalFormatting>
  <conditionalFormatting sqref="AA114">
    <cfRule type="cellIs" dxfId="2348" priority="10290" operator="equal">
      <formula>0</formula>
    </cfRule>
  </conditionalFormatting>
  <conditionalFormatting sqref="Z138">
    <cfRule type="cellIs" dxfId="2347" priority="10271" operator="equal">
      <formula>0</formula>
    </cfRule>
  </conditionalFormatting>
  <conditionalFormatting sqref="Z115:Z117">
    <cfRule type="cellIs" dxfId="2346" priority="10288" operator="equal">
      <formula>0</formula>
    </cfRule>
  </conditionalFormatting>
  <conditionalFormatting sqref="AA115:AA117">
    <cfRule type="cellIs" dxfId="2345" priority="10287" operator="equal">
      <formula>0</formula>
    </cfRule>
  </conditionalFormatting>
  <conditionalFormatting sqref="Z120">
    <cfRule type="cellIs" dxfId="2344" priority="10286" operator="equal">
      <formula>0</formula>
    </cfRule>
  </conditionalFormatting>
  <conditionalFormatting sqref="AA120">
    <cfRule type="cellIs" dxfId="2343" priority="10285" operator="equal">
      <formula>0</formula>
    </cfRule>
  </conditionalFormatting>
  <conditionalFormatting sqref="Z139:Z141">
    <cfRule type="cellIs" dxfId="2342" priority="10268" operator="equal">
      <formula>0</formula>
    </cfRule>
  </conditionalFormatting>
  <conditionalFormatting sqref="Z121:Z123">
    <cfRule type="cellIs" dxfId="2341" priority="10283" operator="equal">
      <formula>0</formula>
    </cfRule>
  </conditionalFormatting>
  <conditionalFormatting sqref="AA121:AA123">
    <cfRule type="cellIs" dxfId="2340" priority="10282" operator="equal">
      <formula>0</formula>
    </cfRule>
  </conditionalFormatting>
  <conditionalFormatting sqref="Z126">
    <cfRule type="cellIs" dxfId="2339" priority="10281" operator="equal">
      <formula>0</formula>
    </cfRule>
  </conditionalFormatting>
  <conditionalFormatting sqref="AA126">
    <cfRule type="cellIs" dxfId="2338" priority="10280" operator="equal">
      <formula>0</formula>
    </cfRule>
  </conditionalFormatting>
  <conditionalFormatting sqref="AA144">
    <cfRule type="cellIs" dxfId="2337" priority="10265" operator="equal">
      <formula>0</formula>
    </cfRule>
  </conditionalFormatting>
  <conditionalFormatting sqref="Z127:Z129">
    <cfRule type="cellIs" dxfId="2336" priority="10278" operator="equal">
      <formula>0</formula>
    </cfRule>
  </conditionalFormatting>
  <conditionalFormatting sqref="AA127:AA129">
    <cfRule type="cellIs" dxfId="2335" priority="10277" operator="equal">
      <formula>0</formula>
    </cfRule>
  </conditionalFormatting>
  <conditionalFormatting sqref="Z132">
    <cfRule type="cellIs" dxfId="2334" priority="10276" operator="equal">
      <formula>0</formula>
    </cfRule>
  </conditionalFormatting>
  <conditionalFormatting sqref="AA132">
    <cfRule type="cellIs" dxfId="2333" priority="10275" operator="equal">
      <formula>0</formula>
    </cfRule>
  </conditionalFormatting>
  <conditionalFormatting sqref="AA145:AA147">
    <cfRule type="cellIs" dxfId="2332" priority="10262" operator="equal">
      <formula>0</formula>
    </cfRule>
  </conditionalFormatting>
  <conditionalFormatting sqref="Z133:Z135">
    <cfRule type="cellIs" dxfId="2331" priority="10273" operator="equal">
      <formula>0</formula>
    </cfRule>
  </conditionalFormatting>
  <conditionalFormatting sqref="AA133:AA135">
    <cfRule type="cellIs" dxfId="2330" priority="10272" operator="equal">
      <formula>0</formula>
    </cfRule>
  </conditionalFormatting>
  <conditionalFormatting sqref="AA138">
    <cfRule type="cellIs" dxfId="2329" priority="10270" operator="equal">
      <formula>0</formula>
    </cfRule>
  </conditionalFormatting>
  <conditionalFormatting sqref="AA139:AA141">
    <cfRule type="cellIs" dxfId="2328" priority="10267" operator="equal">
      <formula>0</formula>
    </cfRule>
  </conditionalFormatting>
  <conditionalFormatting sqref="Z144">
    <cfRule type="cellIs" dxfId="2327" priority="10266" operator="equal">
      <formula>0</formula>
    </cfRule>
  </conditionalFormatting>
  <conditionalFormatting sqref="Z156">
    <cfRule type="cellIs" dxfId="2326" priority="10256" operator="equal">
      <formula>0</formula>
    </cfRule>
  </conditionalFormatting>
  <conditionalFormatting sqref="Z145:Z147">
    <cfRule type="cellIs" dxfId="2325" priority="10263" operator="equal">
      <formula>0</formula>
    </cfRule>
  </conditionalFormatting>
  <conditionalFormatting sqref="Z150">
    <cfRule type="cellIs" dxfId="2324" priority="10261" operator="equal">
      <formula>0</formula>
    </cfRule>
  </conditionalFormatting>
  <conditionalFormatting sqref="AA150">
    <cfRule type="cellIs" dxfId="2323" priority="10260" operator="equal">
      <formula>0</formula>
    </cfRule>
  </conditionalFormatting>
  <conditionalFormatting sqref="Z157:Z159">
    <cfRule type="cellIs" dxfId="2322" priority="10253" operator="equal">
      <formula>0</formula>
    </cfRule>
  </conditionalFormatting>
  <conditionalFormatting sqref="Z151:Z153">
    <cfRule type="cellIs" dxfId="2321" priority="10258" operator="equal">
      <formula>0</formula>
    </cfRule>
  </conditionalFormatting>
  <conditionalFormatting sqref="AA151:AA153">
    <cfRule type="cellIs" dxfId="2320" priority="10257" operator="equal">
      <formula>0</formula>
    </cfRule>
  </conditionalFormatting>
  <conditionalFormatting sqref="AA156">
    <cfRule type="cellIs" dxfId="2319" priority="10255" operator="equal">
      <formula>0</formula>
    </cfRule>
  </conditionalFormatting>
  <conditionalFormatting sqref="AA162 AA168 AA174 AA180 AA186 AA192 AA198">
    <cfRule type="cellIs" dxfId="2318" priority="10250" operator="equal">
      <formula>0</formula>
    </cfRule>
  </conditionalFormatting>
  <conditionalFormatting sqref="AA157:AA159">
    <cfRule type="cellIs" dxfId="2317" priority="10252" operator="equal">
      <formula>0</formula>
    </cfRule>
  </conditionalFormatting>
  <conditionalFormatting sqref="Z162 Z168 Z174 Z180 Z186 Z192 Z198">
    <cfRule type="cellIs" dxfId="2316" priority="10251" operator="equal">
      <formula>0</formula>
    </cfRule>
  </conditionalFormatting>
  <conditionalFormatting sqref="AA163:AA165 AA169:AA171 AA175:AA177 AA181:AA183 AA187:AA189 AA193:AA195 AA199:AA201">
    <cfRule type="cellIs" dxfId="2315" priority="10247" operator="equal">
      <formula>0</formula>
    </cfRule>
  </conditionalFormatting>
  <conditionalFormatting sqref="Z163:Z165 Z169:Z171 Z175:Z177 Z181:Z183 Z187:Z189 Z193:Z195 Z199:Z201">
    <cfRule type="cellIs" dxfId="2314" priority="10248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1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313" priority="10241" operator="equal">
      <formula>0</formula>
    </cfRule>
  </conditionalFormatting>
  <conditionalFormatting sqref="Y62">
    <cfRule type="cellIs" dxfId="2312" priority="10018" operator="greaterThan">
      <formula>Z62</formula>
    </cfRule>
    <cfRule type="cellIs" dxfId="2311" priority="10019" operator="lessThanOrEqual">
      <formula>0</formula>
    </cfRule>
  </conditionalFormatting>
  <conditionalFormatting sqref="W69">
    <cfRule type="cellIs" dxfId="2310" priority="7586" operator="equal">
      <formula>0</formula>
    </cfRule>
    <cfRule type="cellIs" dxfId="2309" priority="9063" operator="greaterThan">
      <formula>W68</formula>
    </cfRule>
  </conditionalFormatting>
  <conditionalFormatting sqref="Y67">
    <cfRule type="cellIs" dxfId="2308" priority="7726" operator="equal">
      <formula>0</formula>
    </cfRule>
  </conditionalFormatting>
  <conditionalFormatting sqref="Y69">
    <cfRule type="cellIs" dxfId="2307" priority="7725" operator="equal">
      <formula>0</formula>
    </cfRule>
  </conditionalFormatting>
  <conditionalFormatting sqref="W71">
    <cfRule type="cellIs" dxfId="2306" priority="7147" operator="lessThan">
      <formula>W70</formula>
    </cfRule>
    <cfRule type="cellIs" dxfId="2305" priority="7573" operator="equal">
      <formula>0</formula>
    </cfRule>
  </conditionalFormatting>
  <conditionalFormatting sqref="W70">
    <cfRule type="cellIs" dxfId="2304" priority="7148" operator="lessThan">
      <formula>W71</formula>
    </cfRule>
    <cfRule type="cellIs" dxfId="2303" priority="7566" operator="equal">
      <formula>0</formula>
    </cfRule>
    <cfRule type="cellIs" dxfId="2302" priority="7567" operator="lessThan">
      <formula>W71</formula>
    </cfRule>
    <cfRule type="cellIs" dxfId="2301" priority="7572" operator="lessThan">
      <formula>0</formula>
    </cfRule>
  </conditionalFormatting>
  <conditionalFormatting sqref="W73">
    <cfRule type="cellIs" dxfId="2300" priority="7571" operator="equal">
      <formula>0</formula>
    </cfRule>
  </conditionalFormatting>
  <conditionalFormatting sqref="W72">
    <cfRule type="cellIs" dxfId="2299" priority="7564" operator="equal">
      <formula>0</formula>
    </cfRule>
    <cfRule type="cellIs" dxfId="2298" priority="7565" operator="lessThan">
      <formula>W73</formula>
    </cfRule>
    <cfRule type="cellIs" dxfId="2297" priority="7570" operator="lessThan">
      <formula>0</formula>
    </cfRule>
  </conditionalFormatting>
  <conditionalFormatting sqref="W74">
    <cfRule type="cellIs" dxfId="2296" priority="7563" operator="equal">
      <formula>0</formula>
    </cfRule>
    <cfRule type="cellIs" dxfId="2295" priority="7568" operator="lessThan">
      <formula>W75</formula>
    </cfRule>
  </conditionalFormatting>
  <conditionalFormatting sqref="W79">
    <cfRule type="cellIs" dxfId="2294" priority="7559" operator="equal">
      <formula>0</formula>
    </cfRule>
  </conditionalFormatting>
  <conditionalFormatting sqref="W78">
    <cfRule type="cellIs" dxfId="2293" priority="7552" operator="equal">
      <formula>0</formula>
    </cfRule>
    <cfRule type="cellIs" dxfId="2292" priority="7553" operator="lessThan">
      <formula>W79</formula>
    </cfRule>
    <cfRule type="cellIs" dxfId="2291" priority="7558" operator="lessThan">
      <formula>0</formula>
    </cfRule>
  </conditionalFormatting>
  <conditionalFormatting sqref="W80">
    <cfRule type="cellIs" dxfId="2290" priority="7551" operator="equal">
      <formula>0</formula>
    </cfRule>
    <cfRule type="cellIs" dxfId="2289" priority="7556" operator="lessThan">
      <formula>W81</formula>
    </cfRule>
  </conditionalFormatting>
  <conditionalFormatting sqref="W85">
    <cfRule type="cellIs" dxfId="2288" priority="7547" operator="equal">
      <formula>0</formula>
    </cfRule>
  </conditionalFormatting>
  <conditionalFormatting sqref="W84">
    <cfRule type="cellIs" dxfId="2287" priority="7540" operator="equal">
      <formula>0</formula>
    </cfRule>
    <cfRule type="cellIs" dxfId="2286" priority="7541" operator="lessThan">
      <formula>W85</formula>
    </cfRule>
    <cfRule type="cellIs" dxfId="2285" priority="7546" operator="lessThan">
      <formula>0</formula>
    </cfRule>
  </conditionalFormatting>
  <conditionalFormatting sqref="W86">
    <cfRule type="cellIs" dxfId="2284" priority="7539" operator="equal">
      <formula>0</formula>
    </cfRule>
    <cfRule type="cellIs" dxfId="2283" priority="7544" operator="lessThan">
      <formula>W87</formula>
    </cfRule>
  </conditionalFormatting>
  <conditionalFormatting sqref="W87">
    <cfRule type="cellIs" dxfId="2282" priority="7538" operator="equal">
      <formula>0</formula>
    </cfRule>
    <cfRule type="cellIs" dxfId="2281" priority="7545" operator="greaterThan">
      <formula>W86</formula>
    </cfRule>
  </conditionalFormatting>
  <conditionalFormatting sqref="W91">
    <cfRule type="cellIs" dxfId="2280" priority="7535" operator="equal">
      <formula>0</formula>
    </cfRule>
  </conditionalFormatting>
  <conditionalFormatting sqref="W90">
    <cfRule type="cellIs" dxfId="2279" priority="7528" operator="equal">
      <formula>0</formula>
    </cfRule>
    <cfRule type="cellIs" dxfId="2278" priority="7529" operator="lessThan">
      <formula>W91</formula>
    </cfRule>
    <cfRule type="cellIs" dxfId="2277" priority="7534" operator="lessThan">
      <formula>0</formula>
    </cfRule>
  </conditionalFormatting>
  <conditionalFormatting sqref="W92">
    <cfRule type="cellIs" dxfId="2276" priority="7527" operator="equal">
      <formula>0</formula>
    </cfRule>
    <cfRule type="cellIs" dxfId="2275" priority="7532" operator="lessThan">
      <formula>W93</formula>
    </cfRule>
  </conditionalFormatting>
  <conditionalFormatting sqref="W93">
    <cfRule type="cellIs" dxfId="2274" priority="7526" operator="equal">
      <formula>0</formula>
    </cfRule>
    <cfRule type="cellIs" dxfId="2273" priority="7533" operator="greaterThan">
      <formula>W92</formula>
    </cfRule>
  </conditionalFormatting>
  <conditionalFormatting sqref="W97">
    <cfRule type="cellIs" dxfId="2272" priority="7523" operator="equal">
      <formula>0</formula>
    </cfRule>
  </conditionalFormatting>
  <conditionalFormatting sqref="W96">
    <cfRule type="cellIs" dxfId="2271" priority="7516" operator="equal">
      <formula>0</formula>
    </cfRule>
    <cfRule type="cellIs" dxfId="2270" priority="7517" operator="lessThan">
      <formula>W97</formula>
    </cfRule>
    <cfRule type="cellIs" dxfId="2269" priority="7522" operator="lessThan">
      <formula>0</formula>
    </cfRule>
  </conditionalFormatting>
  <conditionalFormatting sqref="W98">
    <cfRule type="cellIs" dxfId="2268" priority="7515" operator="equal">
      <formula>0</formula>
    </cfRule>
    <cfRule type="cellIs" dxfId="2267" priority="7520" operator="lessThan">
      <formula>W99</formula>
    </cfRule>
  </conditionalFormatting>
  <conditionalFormatting sqref="W99">
    <cfRule type="cellIs" dxfId="2266" priority="7514" operator="equal">
      <formula>0</formula>
    </cfRule>
    <cfRule type="cellIs" dxfId="2265" priority="7521" operator="greaterThan">
      <formula>W98</formula>
    </cfRule>
  </conditionalFormatting>
  <conditionalFormatting sqref="W103">
    <cfRule type="cellIs" dxfId="2264" priority="7511" operator="equal">
      <formula>0</formula>
    </cfRule>
  </conditionalFormatting>
  <conditionalFormatting sqref="W102">
    <cfRule type="cellIs" dxfId="2263" priority="7504" operator="equal">
      <formula>0</formula>
    </cfRule>
    <cfRule type="cellIs" dxfId="2262" priority="7505" operator="lessThan">
      <formula>W103</formula>
    </cfRule>
    <cfRule type="cellIs" dxfId="2261" priority="7510" operator="lessThan">
      <formula>0</formula>
    </cfRule>
  </conditionalFormatting>
  <conditionalFormatting sqref="W104">
    <cfRule type="cellIs" dxfId="2260" priority="7503" operator="equal">
      <formula>0</formula>
    </cfRule>
    <cfRule type="cellIs" dxfId="2259" priority="7508" operator="lessThan">
      <formula>W105</formula>
    </cfRule>
  </conditionalFormatting>
  <conditionalFormatting sqref="W105">
    <cfRule type="cellIs" dxfId="2258" priority="7502" operator="equal">
      <formula>0</formula>
    </cfRule>
    <cfRule type="cellIs" dxfId="2257" priority="7509" operator="greaterThan">
      <formula>W104</formula>
    </cfRule>
  </conditionalFormatting>
  <conditionalFormatting sqref="W109">
    <cfRule type="cellIs" dxfId="2256" priority="7499" operator="equal">
      <formula>0</formula>
    </cfRule>
  </conditionalFormatting>
  <conditionalFormatting sqref="W108">
    <cfRule type="cellIs" dxfId="2255" priority="7492" operator="equal">
      <formula>0</formula>
    </cfRule>
    <cfRule type="cellIs" dxfId="2254" priority="7493" operator="lessThan">
      <formula>W109</formula>
    </cfRule>
    <cfRule type="cellIs" dxfId="2253" priority="7498" operator="lessThan">
      <formula>0</formula>
    </cfRule>
  </conditionalFormatting>
  <conditionalFormatting sqref="W110">
    <cfRule type="cellIs" dxfId="2252" priority="7491" operator="equal">
      <formula>0</formula>
    </cfRule>
    <cfRule type="cellIs" dxfId="2251" priority="7496" operator="lessThan">
      <formula>W111</formula>
    </cfRule>
  </conditionalFormatting>
  <conditionalFormatting sqref="W111">
    <cfRule type="cellIs" dxfId="2250" priority="7490" operator="equal">
      <formula>0</formula>
    </cfRule>
    <cfRule type="cellIs" dxfId="2249" priority="7497" operator="greaterThan">
      <formula>W110</formula>
    </cfRule>
  </conditionalFormatting>
  <conditionalFormatting sqref="W115">
    <cfRule type="cellIs" dxfId="2248" priority="7487" operator="equal">
      <formula>0</formula>
    </cfRule>
  </conditionalFormatting>
  <conditionalFormatting sqref="W114">
    <cfRule type="cellIs" dxfId="2247" priority="7480" operator="equal">
      <formula>0</formula>
    </cfRule>
    <cfRule type="cellIs" dxfId="2246" priority="7481" operator="lessThan">
      <formula>W115</formula>
    </cfRule>
    <cfRule type="cellIs" dxfId="2245" priority="7486" operator="lessThan">
      <formula>0</formula>
    </cfRule>
  </conditionalFormatting>
  <conditionalFormatting sqref="W116">
    <cfRule type="cellIs" dxfId="2244" priority="7479" operator="equal">
      <formula>0</formula>
    </cfRule>
    <cfRule type="cellIs" dxfId="2243" priority="7484" operator="lessThan">
      <formula>W117</formula>
    </cfRule>
  </conditionalFormatting>
  <conditionalFormatting sqref="W117">
    <cfRule type="cellIs" dxfId="2242" priority="7478" operator="equal">
      <formula>0</formula>
    </cfRule>
    <cfRule type="cellIs" dxfId="2241" priority="7485" operator="greaterThan">
      <formula>W116</formula>
    </cfRule>
  </conditionalFormatting>
  <conditionalFormatting sqref="W121">
    <cfRule type="cellIs" dxfId="2240" priority="7475" operator="equal">
      <formula>0</formula>
    </cfRule>
  </conditionalFormatting>
  <conditionalFormatting sqref="W120">
    <cfRule type="cellIs" dxfId="2239" priority="7468" operator="equal">
      <formula>0</formula>
    </cfRule>
    <cfRule type="cellIs" dxfId="2238" priority="7469" operator="lessThan">
      <formula>W121</formula>
    </cfRule>
    <cfRule type="cellIs" dxfId="2237" priority="7474" operator="lessThan">
      <formula>0</formula>
    </cfRule>
  </conditionalFormatting>
  <conditionalFormatting sqref="W122">
    <cfRule type="cellIs" dxfId="2236" priority="7467" operator="equal">
      <formula>0</formula>
    </cfRule>
    <cfRule type="cellIs" dxfId="2235" priority="7472" operator="lessThan">
      <formula>W123</formula>
    </cfRule>
  </conditionalFormatting>
  <conditionalFormatting sqref="W123">
    <cfRule type="cellIs" dxfId="2234" priority="7466" operator="equal">
      <formula>0</formula>
    </cfRule>
    <cfRule type="cellIs" dxfId="2233" priority="7473" operator="greaterThan">
      <formula>W122</formula>
    </cfRule>
  </conditionalFormatting>
  <conditionalFormatting sqref="W127">
    <cfRule type="cellIs" dxfId="2232" priority="7463" operator="equal">
      <formula>0</formula>
    </cfRule>
  </conditionalFormatting>
  <conditionalFormatting sqref="W126">
    <cfRule type="cellIs" dxfId="2231" priority="7456" operator="equal">
      <formula>0</formula>
    </cfRule>
    <cfRule type="cellIs" dxfId="2230" priority="7457" operator="lessThan">
      <formula>W127</formula>
    </cfRule>
    <cfRule type="cellIs" dxfId="2229" priority="7462" operator="lessThan">
      <formula>0</formula>
    </cfRule>
  </conditionalFormatting>
  <conditionalFormatting sqref="W128">
    <cfRule type="cellIs" dxfId="2228" priority="7455" operator="equal">
      <formula>0</formula>
    </cfRule>
    <cfRule type="cellIs" dxfId="2227" priority="7460" operator="lessThan">
      <formula>W129</formula>
    </cfRule>
  </conditionalFormatting>
  <conditionalFormatting sqref="W129">
    <cfRule type="cellIs" dxfId="2226" priority="7454" operator="equal">
      <formula>0</formula>
    </cfRule>
    <cfRule type="cellIs" dxfId="2225" priority="7461" operator="greaterThan">
      <formula>W128</formula>
    </cfRule>
  </conditionalFormatting>
  <conditionalFormatting sqref="W133">
    <cfRule type="cellIs" dxfId="2224" priority="7451" operator="equal">
      <formula>0</formula>
    </cfRule>
  </conditionalFormatting>
  <conditionalFormatting sqref="W132">
    <cfRule type="cellIs" dxfId="2223" priority="7444" operator="equal">
      <formula>0</formula>
    </cfRule>
    <cfRule type="cellIs" dxfId="2222" priority="7445" operator="lessThan">
      <formula>W133</formula>
    </cfRule>
    <cfRule type="cellIs" dxfId="2221" priority="7450" operator="lessThan">
      <formula>0</formula>
    </cfRule>
  </conditionalFormatting>
  <conditionalFormatting sqref="W134">
    <cfRule type="cellIs" dxfId="2220" priority="7443" operator="equal">
      <formula>0</formula>
    </cfRule>
    <cfRule type="cellIs" dxfId="2219" priority="7448" operator="lessThan">
      <formula>W135</formula>
    </cfRule>
  </conditionalFormatting>
  <conditionalFormatting sqref="W135">
    <cfRule type="cellIs" dxfId="2218" priority="7442" operator="equal">
      <formula>0</formula>
    </cfRule>
    <cfRule type="cellIs" dxfId="2217" priority="7449" operator="greaterThan">
      <formula>W134</formula>
    </cfRule>
  </conditionalFormatting>
  <conditionalFormatting sqref="W139">
    <cfRule type="cellIs" dxfId="2216" priority="7439" operator="equal">
      <formula>0</formula>
    </cfRule>
  </conditionalFormatting>
  <conditionalFormatting sqref="W138">
    <cfRule type="cellIs" dxfId="2215" priority="7432" operator="equal">
      <formula>0</formula>
    </cfRule>
    <cfRule type="cellIs" dxfId="2214" priority="7433" operator="lessThan">
      <formula>W139</formula>
    </cfRule>
    <cfRule type="cellIs" dxfId="2213" priority="7438" operator="lessThan">
      <formula>0</formula>
    </cfRule>
  </conditionalFormatting>
  <conditionalFormatting sqref="W140">
    <cfRule type="cellIs" dxfId="2212" priority="7431" operator="equal">
      <formula>0</formula>
    </cfRule>
    <cfRule type="cellIs" dxfId="2211" priority="7436" operator="lessThan">
      <formula>W141</formula>
    </cfRule>
  </conditionalFormatting>
  <conditionalFormatting sqref="W141">
    <cfRule type="cellIs" dxfId="2210" priority="7430" operator="equal">
      <formula>0</formula>
    </cfRule>
    <cfRule type="cellIs" dxfId="2209" priority="7437" operator="greaterThan">
      <formula>W140</formula>
    </cfRule>
  </conditionalFormatting>
  <conditionalFormatting sqref="W145">
    <cfRule type="cellIs" dxfId="2208" priority="7427" operator="equal">
      <formula>0</formula>
    </cfRule>
  </conditionalFormatting>
  <conditionalFormatting sqref="W144">
    <cfRule type="cellIs" dxfId="2207" priority="7420" operator="equal">
      <formula>0</formula>
    </cfRule>
    <cfRule type="cellIs" dxfId="2206" priority="7421" operator="lessThan">
      <formula>W145</formula>
    </cfRule>
    <cfRule type="cellIs" dxfId="2205" priority="7426" operator="lessThan">
      <formula>0</formula>
    </cfRule>
  </conditionalFormatting>
  <conditionalFormatting sqref="W146">
    <cfRule type="cellIs" dxfId="2204" priority="7419" operator="equal">
      <formula>0</formula>
    </cfRule>
    <cfRule type="cellIs" dxfId="2203" priority="7424" operator="lessThan">
      <formula>W147</formula>
    </cfRule>
  </conditionalFormatting>
  <conditionalFormatting sqref="W147">
    <cfRule type="cellIs" dxfId="2202" priority="7418" operator="equal">
      <formula>0</formula>
    </cfRule>
    <cfRule type="cellIs" dxfId="2201" priority="7425" operator="greaterThan">
      <formula>W146</formula>
    </cfRule>
  </conditionalFormatting>
  <conditionalFormatting sqref="W151">
    <cfRule type="cellIs" dxfId="2200" priority="7415" operator="equal">
      <formula>0</formula>
    </cfRule>
  </conditionalFormatting>
  <conditionalFormatting sqref="W150">
    <cfRule type="cellIs" dxfId="2199" priority="7408" operator="equal">
      <formula>0</formula>
    </cfRule>
    <cfRule type="cellIs" dxfId="2198" priority="7409" operator="lessThan">
      <formula>W151</formula>
    </cfRule>
    <cfRule type="cellIs" dxfId="2197" priority="7414" operator="lessThan">
      <formula>0</formula>
    </cfRule>
  </conditionalFormatting>
  <conditionalFormatting sqref="W152">
    <cfRule type="cellIs" dxfId="2196" priority="7407" operator="equal">
      <formula>0</formula>
    </cfRule>
    <cfRule type="cellIs" dxfId="2195" priority="7412" operator="lessThan">
      <formula>W153</formula>
    </cfRule>
  </conditionalFormatting>
  <conditionalFormatting sqref="W153">
    <cfRule type="cellIs" dxfId="2194" priority="7406" operator="equal">
      <formula>0</formula>
    </cfRule>
    <cfRule type="cellIs" dxfId="2193" priority="7413" operator="greaterThan">
      <formula>W152</formula>
    </cfRule>
  </conditionalFormatting>
  <conditionalFormatting sqref="W155">
    <cfRule type="cellIs" dxfId="2192" priority="7405" operator="equal">
      <formula>0</formula>
    </cfRule>
  </conditionalFormatting>
  <conditionalFormatting sqref="W154">
    <cfRule type="cellIs" dxfId="2191" priority="7398" operator="equal">
      <formula>0</formula>
    </cfRule>
    <cfRule type="cellIs" dxfId="2190" priority="7399" operator="lessThan">
      <formula>W155</formula>
    </cfRule>
    <cfRule type="cellIs" dxfId="2189" priority="7404" operator="lessThan">
      <formula>0</formula>
    </cfRule>
  </conditionalFormatting>
  <conditionalFormatting sqref="W157">
    <cfRule type="cellIs" dxfId="2188" priority="7403" operator="equal">
      <formula>0</formula>
    </cfRule>
  </conditionalFormatting>
  <conditionalFormatting sqref="W156">
    <cfRule type="cellIs" dxfId="2187" priority="7396" operator="equal">
      <formula>0</formula>
    </cfRule>
    <cfRule type="cellIs" dxfId="2186" priority="7397" operator="lessThan">
      <formula>W157</formula>
    </cfRule>
    <cfRule type="cellIs" dxfId="2185" priority="7402" operator="lessThan">
      <formula>0</formula>
    </cfRule>
  </conditionalFormatting>
  <conditionalFormatting sqref="W158">
    <cfRule type="cellIs" dxfId="2184" priority="7395" operator="equal">
      <formula>0</formula>
    </cfRule>
    <cfRule type="cellIs" dxfId="2183" priority="7400" operator="lessThan">
      <formula>W159</formula>
    </cfRule>
  </conditionalFormatting>
  <conditionalFormatting sqref="W159">
    <cfRule type="cellIs" dxfId="2182" priority="7394" operator="equal">
      <formula>0</formula>
    </cfRule>
    <cfRule type="cellIs" dxfId="2181" priority="7401" operator="greaterThan">
      <formula>W158</formula>
    </cfRule>
  </conditionalFormatting>
  <conditionalFormatting sqref="W161">
    <cfRule type="cellIs" dxfId="2180" priority="7393" operator="equal">
      <formula>0</formula>
    </cfRule>
  </conditionalFormatting>
  <conditionalFormatting sqref="W160">
    <cfRule type="cellIs" dxfId="2179" priority="7386" operator="equal">
      <formula>0</formula>
    </cfRule>
    <cfRule type="cellIs" dxfId="2178" priority="7387" operator="lessThan">
      <formula>W161</formula>
    </cfRule>
    <cfRule type="cellIs" dxfId="2177" priority="7392" operator="lessThan">
      <formula>0</formula>
    </cfRule>
  </conditionalFormatting>
  <conditionalFormatting sqref="W163">
    <cfRule type="cellIs" dxfId="2176" priority="7391" operator="equal">
      <formula>0</formula>
    </cfRule>
  </conditionalFormatting>
  <conditionalFormatting sqref="W162">
    <cfRule type="cellIs" dxfId="2175" priority="7384" operator="equal">
      <formula>0</formula>
    </cfRule>
    <cfRule type="cellIs" dxfId="2174" priority="7385" operator="lessThan">
      <formula>W163</formula>
    </cfRule>
    <cfRule type="cellIs" dxfId="2173" priority="7390" operator="lessThan">
      <formula>0</formula>
    </cfRule>
  </conditionalFormatting>
  <conditionalFormatting sqref="W164">
    <cfRule type="cellIs" dxfId="2172" priority="7383" operator="equal">
      <formula>0</formula>
    </cfRule>
    <cfRule type="cellIs" dxfId="2171" priority="7388" operator="lessThan">
      <formula>W165</formula>
    </cfRule>
  </conditionalFormatting>
  <conditionalFormatting sqref="W165">
    <cfRule type="cellIs" dxfId="2170" priority="7382" operator="equal">
      <formula>0</formula>
    </cfRule>
    <cfRule type="cellIs" dxfId="2169" priority="7389" operator="greaterThan">
      <formula>W164</formula>
    </cfRule>
  </conditionalFormatting>
  <conditionalFormatting sqref="W167 W173 W179 W185 W191 W197">
    <cfRule type="cellIs" dxfId="2168" priority="7381" operator="equal">
      <formula>0</formula>
    </cfRule>
  </conditionalFormatting>
  <conditionalFormatting sqref="W166 W172 W178 W184 W190 W196">
    <cfRule type="cellIs" dxfId="2167" priority="7374" operator="equal">
      <formula>0</formula>
    </cfRule>
    <cfRule type="cellIs" dxfId="2166" priority="7375" operator="lessThan">
      <formula>W167</formula>
    </cfRule>
    <cfRule type="cellIs" dxfId="2165" priority="7380" operator="lessThan">
      <formula>0</formula>
    </cfRule>
  </conditionalFormatting>
  <conditionalFormatting sqref="W169 W175 W181 W187 W193 W199">
    <cfRule type="cellIs" dxfId="2164" priority="7379" operator="equal">
      <formula>0</formula>
    </cfRule>
  </conditionalFormatting>
  <conditionalFormatting sqref="W168 W174 W180 W186 W192 W198">
    <cfRule type="cellIs" dxfId="2163" priority="7372" operator="equal">
      <formula>0</formula>
    </cfRule>
    <cfRule type="cellIs" dxfId="2162" priority="7373" operator="lessThan">
      <formula>W169</formula>
    </cfRule>
    <cfRule type="cellIs" dxfId="2161" priority="7378" operator="lessThan">
      <formula>0</formula>
    </cfRule>
  </conditionalFormatting>
  <conditionalFormatting sqref="W170 W176 W182 W188 W194 W200">
    <cfRule type="cellIs" dxfId="2160" priority="7371" operator="equal">
      <formula>0</formula>
    </cfRule>
    <cfRule type="cellIs" dxfId="2159" priority="7376" operator="lessThan">
      <formula>W171</formula>
    </cfRule>
  </conditionalFormatting>
  <conditionalFormatting sqref="W171 W177 W183 W189 W195 W201">
    <cfRule type="cellIs" dxfId="2158" priority="7370" operator="equal">
      <formula>0</formula>
    </cfRule>
    <cfRule type="cellIs" dxfId="2157" priority="7377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156" priority="7141" operator="lessThan">
      <formula>W76</formula>
    </cfRule>
    <cfRule type="cellIs" dxfId="2155" priority="7146" operator="equal">
      <formula>0</formula>
    </cfRule>
  </conditionalFormatting>
  <conditionalFormatting sqref="W76">
    <cfRule type="cellIs" dxfId="2154" priority="7142" operator="lessThan">
      <formula>W77</formula>
    </cfRule>
    <cfRule type="cellIs" dxfId="2153" priority="7143" operator="equal">
      <formula>0</formula>
    </cfRule>
    <cfRule type="cellIs" dxfId="2152" priority="7144" operator="lessThan">
      <formula>W77</formula>
    </cfRule>
    <cfRule type="cellIs" dxfId="2151" priority="7145" operator="lessThan">
      <formula>0</formula>
    </cfRule>
  </conditionalFormatting>
  <conditionalFormatting sqref="W83">
    <cfRule type="cellIs" dxfId="2150" priority="7135" operator="lessThan">
      <formula>W82</formula>
    </cfRule>
    <cfRule type="cellIs" dxfId="2149" priority="7140" operator="equal">
      <formula>0</formula>
    </cfRule>
  </conditionalFormatting>
  <conditionalFormatting sqref="W82">
    <cfRule type="cellIs" dxfId="2148" priority="7136" operator="lessThan">
      <formula>W83</formula>
    </cfRule>
    <cfRule type="cellIs" dxfId="2147" priority="7137" operator="equal">
      <formula>0</formula>
    </cfRule>
    <cfRule type="cellIs" dxfId="2146" priority="7138" operator="lessThan">
      <formula>W83</formula>
    </cfRule>
    <cfRule type="cellIs" dxfId="2145" priority="7139" operator="lessThan">
      <formula>0</formula>
    </cfRule>
  </conditionalFormatting>
  <conditionalFormatting sqref="W89">
    <cfRule type="cellIs" dxfId="2144" priority="7129" operator="lessThan">
      <formula>W88</formula>
    </cfRule>
    <cfRule type="cellIs" dxfId="2143" priority="7134" operator="equal">
      <formula>0</formula>
    </cfRule>
  </conditionalFormatting>
  <conditionalFormatting sqref="W88">
    <cfRule type="cellIs" dxfId="2142" priority="7130" operator="lessThan">
      <formula>W89</formula>
    </cfRule>
    <cfRule type="cellIs" dxfId="2141" priority="7131" operator="equal">
      <formula>0</formula>
    </cfRule>
    <cfRule type="cellIs" dxfId="2140" priority="7132" operator="lessThan">
      <formula>W89</formula>
    </cfRule>
    <cfRule type="cellIs" dxfId="2139" priority="7133" operator="lessThan">
      <formula>0</formula>
    </cfRule>
  </conditionalFormatting>
  <conditionalFormatting sqref="W95">
    <cfRule type="cellIs" dxfId="2138" priority="7123" operator="lessThan">
      <formula>W94</formula>
    </cfRule>
    <cfRule type="cellIs" dxfId="2137" priority="7128" operator="equal">
      <formula>0</formula>
    </cfRule>
  </conditionalFormatting>
  <conditionalFormatting sqref="W94">
    <cfRule type="cellIs" dxfId="2136" priority="7124" operator="lessThan">
      <formula>W95</formula>
    </cfRule>
    <cfRule type="cellIs" dxfId="2135" priority="7125" operator="equal">
      <formula>0</formula>
    </cfRule>
    <cfRule type="cellIs" dxfId="2134" priority="7126" operator="lessThan">
      <formula>W95</formula>
    </cfRule>
    <cfRule type="cellIs" dxfId="2133" priority="7127" operator="lessThan">
      <formula>0</formula>
    </cfRule>
  </conditionalFormatting>
  <conditionalFormatting sqref="W101">
    <cfRule type="cellIs" dxfId="2132" priority="7117" operator="lessThan">
      <formula>W100</formula>
    </cfRule>
    <cfRule type="cellIs" dxfId="2131" priority="7122" operator="equal">
      <formula>0</formula>
    </cfRule>
  </conditionalFormatting>
  <conditionalFormatting sqref="W100">
    <cfRule type="cellIs" dxfId="2130" priority="7118" operator="lessThan">
      <formula>W101</formula>
    </cfRule>
    <cfRule type="cellIs" dxfId="2129" priority="7119" operator="equal">
      <formula>0</formula>
    </cfRule>
    <cfRule type="cellIs" dxfId="2128" priority="7120" operator="lessThan">
      <formula>W101</formula>
    </cfRule>
    <cfRule type="cellIs" dxfId="2127" priority="7121" operator="lessThan">
      <formula>0</formula>
    </cfRule>
  </conditionalFormatting>
  <conditionalFormatting sqref="W107">
    <cfRule type="cellIs" dxfId="2126" priority="7111" operator="lessThan">
      <formula>W106</formula>
    </cfRule>
    <cfRule type="cellIs" dxfId="2125" priority="7116" operator="equal">
      <formula>0</formula>
    </cfRule>
  </conditionalFormatting>
  <conditionalFormatting sqref="W106">
    <cfRule type="cellIs" dxfId="2124" priority="7112" operator="lessThan">
      <formula>W107</formula>
    </cfRule>
    <cfRule type="cellIs" dxfId="2123" priority="7113" operator="equal">
      <formula>0</formula>
    </cfRule>
    <cfRule type="cellIs" dxfId="2122" priority="7114" operator="lessThan">
      <formula>W107</formula>
    </cfRule>
    <cfRule type="cellIs" dxfId="2121" priority="7115" operator="lessThan">
      <formula>0</formula>
    </cfRule>
  </conditionalFormatting>
  <conditionalFormatting sqref="W113">
    <cfRule type="cellIs" dxfId="2120" priority="7105" operator="lessThan">
      <formula>W112</formula>
    </cfRule>
    <cfRule type="cellIs" dxfId="2119" priority="7110" operator="equal">
      <formula>0</formula>
    </cfRule>
  </conditionalFormatting>
  <conditionalFormatting sqref="W112">
    <cfRule type="cellIs" dxfId="2118" priority="7106" operator="lessThan">
      <formula>W113</formula>
    </cfRule>
    <cfRule type="cellIs" dxfId="2117" priority="7107" operator="equal">
      <formula>0</formula>
    </cfRule>
    <cfRule type="cellIs" dxfId="2116" priority="7108" operator="lessThan">
      <formula>W113</formula>
    </cfRule>
    <cfRule type="cellIs" dxfId="2115" priority="7109" operator="lessThan">
      <formula>0</formula>
    </cfRule>
  </conditionalFormatting>
  <conditionalFormatting sqref="W119">
    <cfRule type="cellIs" dxfId="2114" priority="7099" operator="lessThan">
      <formula>W118</formula>
    </cfRule>
    <cfRule type="cellIs" dxfId="2113" priority="7104" operator="equal">
      <formula>0</formula>
    </cfRule>
  </conditionalFormatting>
  <conditionalFormatting sqref="W118">
    <cfRule type="cellIs" dxfId="2112" priority="7100" operator="lessThan">
      <formula>W119</formula>
    </cfRule>
    <cfRule type="cellIs" dxfId="2111" priority="7101" operator="equal">
      <formula>0</formula>
    </cfRule>
    <cfRule type="cellIs" dxfId="2110" priority="7102" operator="lessThan">
      <formula>W119</formula>
    </cfRule>
    <cfRule type="cellIs" dxfId="2109" priority="7103" operator="lessThan">
      <formula>0</formula>
    </cfRule>
  </conditionalFormatting>
  <conditionalFormatting sqref="W125">
    <cfRule type="cellIs" dxfId="2108" priority="7093" operator="lessThan">
      <formula>W124</formula>
    </cfRule>
    <cfRule type="cellIs" dxfId="2107" priority="7098" operator="equal">
      <formula>0</formula>
    </cfRule>
  </conditionalFormatting>
  <conditionalFormatting sqref="W124">
    <cfRule type="cellIs" dxfId="2106" priority="7094" operator="lessThan">
      <formula>W125</formula>
    </cfRule>
    <cfRule type="cellIs" dxfId="2105" priority="7095" operator="equal">
      <formula>0</formula>
    </cfRule>
    <cfRule type="cellIs" dxfId="2104" priority="7096" operator="lessThan">
      <formula>W125</formula>
    </cfRule>
    <cfRule type="cellIs" dxfId="2103" priority="7097" operator="lessThan">
      <formula>0</formula>
    </cfRule>
  </conditionalFormatting>
  <conditionalFormatting sqref="W131">
    <cfRule type="cellIs" dxfId="2102" priority="7087" operator="lessThan">
      <formula>W130</formula>
    </cfRule>
    <cfRule type="cellIs" dxfId="2101" priority="7092" operator="equal">
      <formula>0</formula>
    </cfRule>
  </conditionalFormatting>
  <conditionalFormatting sqref="W130">
    <cfRule type="cellIs" dxfId="2100" priority="7088" operator="lessThan">
      <formula>W131</formula>
    </cfRule>
    <cfRule type="cellIs" dxfId="2099" priority="7089" operator="equal">
      <formula>0</formula>
    </cfRule>
    <cfRule type="cellIs" dxfId="2098" priority="7090" operator="lessThan">
      <formula>W131</formula>
    </cfRule>
    <cfRule type="cellIs" dxfId="2097" priority="7091" operator="lessThan">
      <formula>0</formula>
    </cfRule>
  </conditionalFormatting>
  <conditionalFormatting sqref="W137">
    <cfRule type="cellIs" dxfId="2096" priority="7081" operator="lessThan">
      <formula>W136</formula>
    </cfRule>
    <cfRule type="cellIs" dxfId="2095" priority="7086" operator="equal">
      <formula>0</formula>
    </cfRule>
  </conditionalFormatting>
  <conditionalFormatting sqref="W136">
    <cfRule type="cellIs" dxfId="2094" priority="7082" operator="lessThan">
      <formula>W137</formula>
    </cfRule>
    <cfRule type="cellIs" dxfId="2093" priority="7083" operator="equal">
      <formula>0</formula>
    </cfRule>
    <cfRule type="cellIs" dxfId="2092" priority="7084" operator="lessThan">
      <formula>W137</formula>
    </cfRule>
    <cfRule type="cellIs" dxfId="2091" priority="7085" operator="lessThan">
      <formula>0</formula>
    </cfRule>
  </conditionalFormatting>
  <conditionalFormatting sqref="W143">
    <cfRule type="cellIs" dxfId="2090" priority="7075" operator="lessThan">
      <formula>W142</formula>
    </cfRule>
    <cfRule type="cellIs" dxfId="2089" priority="7080" operator="equal">
      <formula>0</formula>
    </cfRule>
  </conditionalFormatting>
  <conditionalFormatting sqref="W142">
    <cfRule type="cellIs" dxfId="2088" priority="7076" operator="lessThan">
      <formula>W143</formula>
    </cfRule>
    <cfRule type="cellIs" dxfId="2087" priority="7077" operator="equal">
      <formula>0</formula>
    </cfRule>
    <cfRule type="cellIs" dxfId="2086" priority="7078" operator="lessThan">
      <formula>W143</formula>
    </cfRule>
    <cfRule type="cellIs" dxfId="2085" priority="7079" operator="lessThan">
      <formula>0</formula>
    </cfRule>
  </conditionalFormatting>
  <conditionalFormatting sqref="W149">
    <cfRule type="cellIs" dxfId="2084" priority="7069" operator="lessThan">
      <formula>W148</formula>
    </cfRule>
    <cfRule type="cellIs" dxfId="2083" priority="7074" operator="equal">
      <formula>0</formula>
    </cfRule>
  </conditionalFormatting>
  <conditionalFormatting sqref="W148">
    <cfRule type="cellIs" dxfId="2082" priority="7070" operator="lessThan">
      <formula>W149</formula>
    </cfRule>
    <cfRule type="cellIs" dxfId="2081" priority="7071" operator="equal">
      <formula>0</formula>
    </cfRule>
    <cfRule type="cellIs" dxfId="2080" priority="7072" operator="lessThan">
      <formula>W149</formula>
    </cfRule>
    <cfRule type="cellIs" dxfId="2079" priority="7073" operator="lessThan">
      <formula>0</formula>
    </cfRule>
  </conditionalFormatting>
  <conditionalFormatting sqref="V82:V87">
    <cfRule type="cellIs" dxfId="2078" priority="7067" operator="lessThan">
      <formula>0</formula>
    </cfRule>
    <cfRule type="cellIs" dxfId="2077" priority="7068" operator="equal">
      <formula>0</formula>
    </cfRule>
  </conditionalFormatting>
  <conditionalFormatting sqref="V88:V93">
    <cfRule type="cellIs" dxfId="2076" priority="7065" operator="lessThan">
      <formula>0</formula>
    </cfRule>
    <cfRule type="cellIs" dxfId="2075" priority="7066" operator="equal">
      <formula>0</formula>
    </cfRule>
  </conditionalFormatting>
  <conditionalFormatting sqref="V94:V99">
    <cfRule type="cellIs" dxfId="2074" priority="7063" operator="lessThan">
      <formula>0</formula>
    </cfRule>
    <cfRule type="cellIs" dxfId="2073" priority="7064" operator="equal">
      <formula>0</formula>
    </cfRule>
  </conditionalFormatting>
  <conditionalFormatting sqref="V100:V105">
    <cfRule type="cellIs" dxfId="2072" priority="7061" operator="lessThan">
      <formula>0</formula>
    </cfRule>
    <cfRule type="cellIs" dxfId="2071" priority="7062" operator="equal">
      <formula>0</formula>
    </cfRule>
  </conditionalFormatting>
  <conditionalFormatting sqref="V106:V111">
    <cfRule type="cellIs" dxfId="2070" priority="7059" operator="lessThan">
      <formula>0</formula>
    </cfRule>
    <cfRule type="cellIs" dxfId="2069" priority="7060" operator="equal">
      <formula>0</formula>
    </cfRule>
  </conditionalFormatting>
  <conditionalFormatting sqref="V112:V117">
    <cfRule type="cellIs" dxfId="2068" priority="7057" operator="lessThan">
      <formula>0</formula>
    </cfRule>
    <cfRule type="cellIs" dxfId="2067" priority="7058" operator="equal">
      <formula>0</formula>
    </cfRule>
  </conditionalFormatting>
  <conditionalFormatting sqref="V118:V123">
    <cfRule type="cellIs" dxfId="2066" priority="7055" operator="lessThan">
      <formula>0</formula>
    </cfRule>
    <cfRule type="cellIs" dxfId="2065" priority="7056" operator="equal">
      <formula>0</formula>
    </cfRule>
  </conditionalFormatting>
  <conditionalFormatting sqref="V124:V129">
    <cfRule type="cellIs" dxfId="2064" priority="7053" operator="lessThan">
      <formula>0</formula>
    </cfRule>
    <cfRule type="cellIs" dxfId="2063" priority="7054" operator="equal">
      <formula>0</formula>
    </cfRule>
  </conditionalFormatting>
  <conditionalFormatting sqref="V130:V135">
    <cfRule type="cellIs" dxfId="2062" priority="7051" operator="lessThan">
      <formula>0</formula>
    </cfRule>
    <cfRule type="cellIs" dxfId="2061" priority="7052" operator="equal">
      <formula>0</formula>
    </cfRule>
  </conditionalFormatting>
  <conditionalFormatting sqref="V136:V141">
    <cfRule type="cellIs" dxfId="2060" priority="7049" operator="lessThan">
      <formula>0</formula>
    </cfRule>
    <cfRule type="cellIs" dxfId="2059" priority="7050" operator="equal">
      <formula>0</formula>
    </cfRule>
  </conditionalFormatting>
  <conditionalFormatting sqref="V142:V147">
    <cfRule type="cellIs" dxfId="2058" priority="7047" operator="lessThan">
      <formula>0</formula>
    </cfRule>
    <cfRule type="cellIs" dxfId="2057" priority="7048" operator="equal">
      <formula>0</formula>
    </cfRule>
  </conditionalFormatting>
  <conditionalFormatting sqref="V148:V153">
    <cfRule type="cellIs" dxfId="2056" priority="7045" operator="lessThan">
      <formula>0</formula>
    </cfRule>
    <cfRule type="cellIs" dxfId="2055" priority="7046" operator="equal">
      <formula>0</formula>
    </cfRule>
  </conditionalFormatting>
  <conditionalFormatting sqref="V154:V159">
    <cfRule type="cellIs" dxfId="2054" priority="7043" operator="lessThan">
      <formula>0</formula>
    </cfRule>
    <cfRule type="cellIs" dxfId="2053" priority="7044" operator="equal">
      <formula>0</formula>
    </cfRule>
  </conditionalFormatting>
  <conditionalFormatting sqref="V160:V165">
    <cfRule type="cellIs" dxfId="2052" priority="7041" operator="lessThan">
      <formula>0</formula>
    </cfRule>
    <cfRule type="cellIs" dxfId="2051" priority="7042" operator="equal">
      <formula>0</formula>
    </cfRule>
  </conditionalFormatting>
  <conditionalFormatting sqref="V166:V201">
    <cfRule type="cellIs" dxfId="2050" priority="7039" operator="lessThan">
      <formula>0</formula>
    </cfRule>
    <cfRule type="cellIs" dxfId="2049" priority="7040" operator="equal">
      <formula>0</formula>
    </cfRule>
  </conditionalFormatting>
  <conditionalFormatting sqref="W75">
    <cfRule type="cellIs" dxfId="2048" priority="6998" operator="equal">
      <formula>0</formula>
    </cfRule>
    <cfRule type="cellIs" dxfId="2047" priority="6999" operator="greaterThan">
      <formula>W74</formula>
    </cfRule>
  </conditionalFormatting>
  <conditionalFormatting sqref="W81">
    <cfRule type="cellIs" dxfId="2046" priority="6996" operator="equal">
      <formula>0</formula>
    </cfRule>
    <cfRule type="cellIs" dxfId="2045" priority="6997" operator="greaterThan">
      <formula>W80</formula>
    </cfRule>
  </conditionalFormatting>
  <conditionalFormatting sqref="D30">
    <cfRule type="expression" dxfId="2044" priority="5296">
      <formula>E30&gt;B30</formula>
    </cfRule>
  </conditionalFormatting>
  <conditionalFormatting sqref="C30">
    <cfRule type="expression" dxfId="2043" priority="5295">
      <formula>B30&gt;E30</formula>
    </cfRule>
  </conditionalFormatting>
  <conditionalFormatting sqref="D31">
    <cfRule type="expression" dxfId="2042" priority="5089">
      <formula>E31&gt;B31</formula>
    </cfRule>
  </conditionalFormatting>
  <conditionalFormatting sqref="C31">
    <cfRule type="expression" dxfId="2041" priority="5088">
      <formula>B31&gt;E31</formula>
    </cfRule>
  </conditionalFormatting>
  <conditionalFormatting sqref="D32 D34 D36 D38 D50 D55 D57 D59 D41 D43 D45">
    <cfRule type="expression" dxfId="2040" priority="5087">
      <formula>E32&gt;B32</formula>
    </cfRule>
  </conditionalFormatting>
  <conditionalFormatting sqref="C32 C34 C36 C38 C50 C55 C57 C59 C41 C43 C45">
    <cfRule type="expression" dxfId="2039" priority="5086">
      <formula>B32&gt;E32</formula>
    </cfRule>
  </conditionalFormatting>
  <conditionalFormatting sqref="D33 D35 D37 D51 D56 D58 D39:D40 D42 D44 D46">
    <cfRule type="expression" dxfId="2038" priority="5085">
      <formula>E33&gt;B33</formula>
    </cfRule>
  </conditionalFormatting>
  <conditionalFormatting sqref="C33 C35 C37 C51 C56 C58 C39:C40 C42 C44 C46">
    <cfRule type="expression" dxfId="2037" priority="5084">
      <formula>B33&gt;E33</formula>
    </cfRule>
  </conditionalFormatting>
  <conditionalFormatting sqref="Y30:Y34 Y37:Y39">
    <cfRule type="cellIs" dxfId="2036" priority="5041" operator="equal">
      <formula>0</formula>
    </cfRule>
  </conditionalFormatting>
  <conditionalFormatting sqref="X60">
    <cfRule type="cellIs" dxfId="2035" priority="4929" operator="equal">
      <formula>0</formula>
    </cfRule>
    <cfRule type="expression" dxfId="2034" priority="4930">
      <formula>F60*100&lt;X60</formula>
    </cfRule>
    <cfRule type="expression" dxfId="2033" priority="4931">
      <formula>X60&lt;F60*100</formula>
    </cfRule>
  </conditionalFormatting>
  <conditionalFormatting sqref="X61">
    <cfRule type="cellIs" dxfId="2032" priority="4926" operator="equal">
      <formula>0</formula>
    </cfRule>
    <cfRule type="expression" dxfId="2031" priority="4927">
      <formula>F61*100&lt;X61</formula>
    </cfRule>
    <cfRule type="expression" dxfId="2030" priority="4928">
      <formula>X61&lt;F61*100</formula>
    </cfRule>
  </conditionalFormatting>
  <conditionalFormatting sqref="W60:W61">
    <cfRule type="cellIs" dxfId="2029" priority="4925" operator="equal">
      <formula>0</formula>
    </cfRule>
  </conditionalFormatting>
  <conditionalFormatting sqref="W60">
    <cfRule type="containsText" dxfId="2028" priority="4923" operator="containsText" text="STOP">
      <formula>NOT(ISERROR(SEARCH("STOP",W60)))</formula>
    </cfRule>
    <cfRule type="containsText" dxfId="2027" priority="4924" operator="containsText" text="TRAILING">
      <formula>NOT(ISERROR(SEARCH("TRAILING",W60)))</formula>
    </cfRule>
  </conditionalFormatting>
  <conditionalFormatting sqref="W61">
    <cfRule type="containsText" dxfId="2026" priority="4921" operator="containsText" text="STOP">
      <formula>NOT(ISERROR(SEARCH("STOP",W61)))</formula>
    </cfRule>
    <cfRule type="containsText" dxfId="2025" priority="4922" operator="containsText" text="TRAILING">
      <formula>NOT(ISERROR(SEARCH("TRAILING",W61)))</formula>
    </cfRule>
  </conditionalFormatting>
  <conditionalFormatting sqref="D53">
    <cfRule type="expression" dxfId="2024" priority="4911">
      <formula>E53&gt;B53</formula>
    </cfRule>
  </conditionalFormatting>
  <conditionalFormatting sqref="C53">
    <cfRule type="expression" dxfId="2023" priority="4910">
      <formula>B53&gt;E53</formula>
    </cfRule>
  </conditionalFormatting>
  <conditionalFormatting sqref="D52">
    <cfRule type="expression" dxfId="2022" priority="4909">
      <formula>E52&gt;B52</formula>
    </cfRule>
  </conditionalFormatting>
  <conditionalFormatting sqref="C52">
    <cfRule type="expression" dxfId="2021" priority="4908">
      <formula>B52&gt;E52</formula>
    </cfRule>
  </conditionalFormatting>
  <conditionalFormatting sqref="D48">
    <cfRule type="expression" dxfId="2020" priority="4882">
      <formula>E48&gt;B48</formula>
    </cfRule>
  </conditionalFormatting>
  <conditionalFormatting sqref="C48">
    <cfRule type="expression" dxfId="2019" priority="4881">
      <formula>B48&gt;E48</formula>
    </cfRule>
  </conditionalFormatting>
  <conditionalFormatting sqref="D47 D49">
    <cfRule type="expression" dxfId="2018" priority="4880">
      <formula>E47&gt;B47</formula>
    </cfRule>
  </conditionalFormatting>
  <conditionalFormatting sqref="C47 C49">
    <cfRule type="expression" dxfId="2017" priority="4879">
      <formula>B47&gt;E47</formula>
    </cfRule>
  </conditionalFormatting>
  <conditionalFormatting sqref="B55">
    <cfRule type="cellIs" dxfId="2016" priority="4860" operator="greaterThan">
      <formula>E55</formula>
    </cfRule>
  </conditionalFormatting>
  <conditionalFormatting sqref="B56">
    <cfRule type="cellIs" dxfId="2015" priority="4859" operator="greaterThan">
      <formula>E56</formula>
    </cfRule>
  </conditionalFormatting>
  <conditionalFormatting sqref="B57 B59 B41 B43 B45 B47 B49">
    <cfRule type="cellIs" dxfId="2014" priority="4858" operator="greaterThan">
      <formula>E41</formula>
    </cfRule>
  </conditionalFormatting>
  <conditionalFormatting sqref="B58 B40 B42 B44 B46 B48">
    <cfRule type="cellIs" dxfId="2013" priority="4857" operator="greaterThan">
      <formula>E40</formula>
    </cfRule>
  </conditionalFormatting>
  <conditionalFormatting sqref="E55">
    <cfRule type="cellIs" dxfId="2012" priority="4856" operator="greaterThan">
      <formula>B55</formula>
    </cfRule>
  </conditionalFormatting>
  <conditionalFormatting sqref="E56">
    <cfRule type="cellIs" dxfId="2011" priority="4855" operator="greaterThan">
      <formula>B56</formula>
    </cfRule>
  </conditionalFormatting>
  <conditionalFormatting sqref="E57 E59 E41 E45 E47 E49">
    <cfRule type="cellIs" dxfId="2010" priority="4854" operator="greaterThan">
      <formula>B41</formula>
    </cfRule>
  </conditionalFormatting>
  <conditionalFormatting sqref="E58 E40 E42 E44 E46 E48">
    <cfRule type="cellIs" dxfId="2009" priority="4853" operator="greaterThan">
      <formula>B40</formula>
    </cfRule>
  </conditionalFormatting>
  <conditionalFormatting sqref="E43">
    <cfRule type="cellIs" dxfId="2008" priority="4852" operator="greaterThan">
      <formula>H53</formula>
    </cfRule>
  </conditionalFormatting>
  <conditionalFormatting sqref="B30">
    <cfRule type="cellIs" dxfId="2007" priority="4851" operator="greaterThan">
      <formula>E30</formula>
    </cfRule>
  </conditionalFormatting>
  <conditionalFormatting sqref="B31">
    <cfRule type="cellIs" dxfId="2006" priority="4850" operator="greaterThan">
      <formula>E31</formula>
    </cfRule>
  </conditionalFormatting>
  <conditionalFormatting sqref="B32 B34 B36 B38 B50 B52">
    <cfRule type="cellIs" dxfId="2005" priority="4849" operator="greaterThan">
      <formula>E32</formula>
    </cfRule>
  </conditionalFormatting>
  <conditionalFormatting sqref="B33 B35 B37 B39 B51 B53">
    <cfRule type="cellIs" dxfId="2004" priority="4848" operator="greaterThan">
      <formula>E33</formula>
    </cfRule>
  </conditionalFormatting>
  <conditionalFormatting sqref="E30">
    <cfRule type="cellIs" dxfId="2003" priority="4847" operator="greaterThan">
      <formula>B30</formula>
    </cfRule>
  </conditionalFormatting>
  <conditionalFormatting sqref="E31">
    <cfRule type="cellIs" dxfId="2002" priority="4846" operator="greaterThan">
      <formula>B31</formula>
    </cfRule>
  </conditionalFormatting>
  <conditionalFormatting sqref="E32 E34 E36 E50 E52">
    <cfRule type="cellIs" dxfId="2001" priority="4845" operator="greaterThan">
      <formula>B32</formula>
    </cfRule>
  </conditionalFormatting>
  <conditionalFormatting sqref="E33 E35 E37 E39 E51 E53">
    <cfRule type="cellIs" dxfId="2000" priority="4844" operator="greaterThan">
      <formula>B33</formula>
    </cfRule>
  </conditionalFormatting>
  <conditionalFormatting sqref="E38">
    <cfRule type="cellIs" dxfId="1999" priority="4843" operator="greaterThan">
      <formula>H38</formula>
    </cfRule>
  </conditionalFormatting>
  <conditionalFormatting sqref="Y35:Z35">
    <cfRule type="cellIs" dxfId="1998" priority="4832" operator="equal">
      <formula>0</formula>
    </cfRule>
  </conditionalFormatting>
  <conditionalFormatting sqref="Y36:Z36">
    <cfRule type="cellIs" dxfId="1997" priority="4826" operator="equal">
      <formula>0</formula>
    </cfRule>
  </conditionalFormatting>
  <conditionalFormatting sqref="X26 X172:X201 X64">
    <cfRule type="expression" dxfId="1996" priority="4512">
      <formula>X26*100&lt;C26</formula>
    </cfRule>
    <cfRule type="cellIs" dxfId="1995" priority="4513" operator="equal">
      <formula>0</formula>
    </cfRule>
  </conditionalFormatting>
  <conditionalFormatting sqref="X27">
    <cfRule type="expression" dxfId="1994" priority="4510">
      <formula>X27*100&lt;C27</formula>
    </cfRule>
    <cfRule type="cellIs" dxfId="1993" priority="4511" operator="equal">
      <formula>0</formula>
    </cfRule>
  </conditionalFormatting>
  <conditionalFormatting sqref="X28">
    <cfRule type="expression" dxfId="1992" priority="4508">
      <formula>X28*100&lt;C28</formula>
    </cfRule>
    <cfRule type="cellIs" dxfId="1991" priority="4509" operator="equal">
      <formula>0</formula>
    </cfRule>
  </conditionalFormatting>
  <conditionalFormatting sqref="X29">
    <cfRule type="expression" dxfId="1990" priority="4506">
      <formula>X29*100&lt;C29</formula>
    </cfRule>
    <cfRule type="cellIs" dxfId="1989" priority="4507" operator="equal">
      <formula>0</formula>
    </cfRule>
  </conditionalFormatting>
  <conditionalFormatting sqref="X65">
    <cfRule type="expression" dxfId="1988" priority="4406">
      <formula>X65*100&lt;C65</formula>
    </cfRule>
    <cfRule type="cellIs" dxfId="1987" priority="4407" operator="equal">
      <formula>0</formula>
    </cfRule>
  </conditionalFormatting>
  <conditionalFormatting sqref="X66">
    <cfRule type="expression" dxfId="1986" priority="4404">
      <formula>X66*100&lt;C66</formula>
    </cfRule>
    <cfRule type="cellIs" dxfId="1985" priority="4405" operator="equal">
      <formula>0</formula>
    </cfRule>
  </conditionalFormatting>
  <conditionalFormatting sqref="X67">
    <cfRule type="expression" dxfId="1984" priority="4402">
      <formula>X67*100&lt;C67</formula>
    </cfRule>
    <cfRule type="cellIs" dxfId="1983" priority="4403" operator="equal">
      <formula>0</formula>
    </cfRule>
  </conditionalFormatting>
  <conditionalFormatting sqref="X68">
    <cfRule type="expression" dxfId="1982" priority="4400">
      <formula>X68*100&lt;C68</formula>
    </cfRule>
    <cfRule type="cellIs" dxfId="1981" priority="4401" operator="equal">
      <formula>0</formula>
    </cfRule>
  </conditionalFormatting>
  <conditionalFormatting sqref="X69">
    <cfRule type="expression" dxfId="1980" priority="4398">
      <formula>X69*100&lt;C69</formula>
    </cfRule>
    <cfRule type="cellIs" dxfId="1979" priority="4399" operator="equal">
      <formula>0</formula>
    </cfRule>
  </conditionalFormatting>
  <conditionalFormatting sqref="X70">
    <cfRule type="expression" dxfId="1978" priority="4396">
      <formula>X70*100&lt;C70</formula>
    </cfRule>
    <cfRule type="cellIs" dxfId="1977" priority="4397" operator="equal">
      <formula>0</formula>
    </cfRule>
  </conditionalFormatting>
  <conditionalFormatting sqref="X71">
    <cfRule type="expression" dxfId="1976" priority="4394">
      <formula>X71*100&lt;C71</formula>
    </cfRule>
    <cfRule type="cellIs" dxfId="1975" priority="4395" operator="equal">
      <formula>0</formula>
    </cfRule>
  </conditionalFormatting>
  <conditionalFormatting sqref="X72">
    <cfRule type="expression" dxfId="1974" priority="4392">
      <formula>X72*100&lt;C72</formula>
    </cfRule>
    <cfRule type="cellIs" dxfId="1973" priority="4393" operator="equal">
      <formula>0</formula>
    </cfRule>
  </conditionalFormatting>
  <conditionalFormatting sqref="X73">
    <cfRule type="expression" dxfId="1972" priority="4390">
      <formula>X73*100&lt;C73</formula>
    </cfRule>
    <cfRule type="cellIs" dxfId="1971" priority="4391" operator="equal">
      <formula>0</formula>
    </cfRule>
  </conditionalFormatting>
  <conditionalFormatting sqref="X74">
    <cfRule type="expression" dxfId="1970" priority="4388">
      <formula>X74*100&lt;C74</formula>
    </cfRule>
    <cfRule type="cellIs" dxfId="1969" priority="4389" operator="equal">
      <formula>0</formula>
    </cfRule>
  </conditionalFormatting>
  <conditionalFormatting sqref="X75">
    <cfRule type="expression" dxfId="1968" priority="4386">
      <formula>X75*100&lt;C75</formula>
    </cfRule>
    <cfRule type="cellIs" dxfId="1967" priority="4387" operator="equal">
      <formula>0</formula>
    </cfRule>
  </conditionalFormatting>
  <conditionalFormatting sqref="X76">
    <cfRule type="expression" dxfId="1966" priority="4384">
      <formula>X76*100&lt;C76</formula>
    </cfRule>
    <cfRule type="cellIs" dxfId="1965" priority="4385" operator="equal">
      <formula>0</formula>
    </cfRule>
  </conditionalFormatting>
  <conditionalFormatting sqref="X77">
    <cfRule type="expression" dxfId="1964" priority="4382">
      <formula>X77*100&lt;C77</formula>
    </cfRule>
    <cfRule type="cellIs" dxfId="1963" priority="4383" operator="equal">
      <formula>0</formula>
    </cfRule>
  </conditionalFormatting>
  <conditionalFormatting sqref="X78">
    <cfRule type="expression" dxfId="1962" priority="4380">
      <formula>X78*100&lt;C78</formula>
    </cfRule>
    <cfRule type="cellIs" dxfId="1961" priority="4381" operator="equal">
      <formula>0</formula>
    </cfRule>
  </conditionalFormatting>
  <conditionalFormatting sqref="X79">
    <cfRule type="expression" dxfId="1960" priority="4378">
      <formula>X79*100&lt;C79</formula>
    </cfRule>
    <cfRule type="cellIs" dxfId="1959" priority="4379" operator="equal">
      <formula>0</formula>
    </cfRule>
  </conditionalFormatting>
  <conditionalFormatting sqref="X80">
    <cfRule type="expression" dxfId="1958" priority="4376">
      <formula>X80*100&lt;C80</formula>
    </cfRule>
    <cfRule type="cellIs" dxfId="1957" priority="4377" operator="equal">
      <formula>0</formula>
    </cfRule>
  </conditionalFormatting>
  <conditionalFormatting sqref="X81">
    <cfRule type="expression" dxfId="1956" priority="4374">
      <formula>X81*100&lt;C81</formula>
    </cfRule>
    <cfRule type="cellIs" dxfId="1955" priority="4375" operator="equal">
      <formula>0</formula>
    </cfRule>
  </conditionalFormatting>
  <conditionalFormatting sqref="X82">
    <cfRule type="expression" dxfId="1954" priority="4372">
      <formula>X82*100&lt;C82</formula>
    </cfRule>
    <cfRule type="cellIs" dxfId="1953" priority="4373" operator="equal">
      <formula>0</formula>
    </cfRule>
  </conditionalFormatting>
  <conditionalFormatting sqref="X83">
    <cfRule type="expression" dxfId="1952" priority="4370">
      <formula>X83*100&lt;C83</formula>
    </cfRule>
    <cfRule type="cellIs" dxfId="1951" priority="4371" operator="equal">
      <formula>0</formula>
    </cfRule>
  </conditionalFormatting>
  <conditionalFormatting sqref="X84">
    <cfRule type="expression" dxfId="1950" priority="4368">
      <formula>X84*100&lt;C84</formula>
    </cfRule>
    <cfRule type="cellIs" dxfId="1949" priority="4369" operator="equal">
      <formula>0</formula>
    </cfRule>
  </conditionalFormatting>
  <conditionalFormatting sqref="X85">
    <cfRule type="expression" dxfId="1948" priority="4366">
      <formula>X85*100&lt;C85</formula>
    </cfRule>
    <cfRule type="cellIs" dxfId="1947" priority="4367" operator="equal">
      <formula>0</formula>
    </cfRule>
  </conditionalFormatting>
  <conditionalFormatting sqref="X86">
    <cfRule type="expression" dxfId="1946" priority="4364">
      <formula>X86*100&lt;C86</formula>
    </cfRule>
    <cfRule type="cellIs" dxfId="1945" priority="4365" operator="equal">
      <formula>0</formula>
    </cfRule>
  </conditionalFormatting>
  <conditionalFormatting sqref="X87">
    <cfRule type="expression" dxfId="1944" priority="4362">
      <formula>X87*100&lt;C87</formula>
    </cfRule>
    <cfRule type="cellIs" dxfId="1943" priority="4363" operator="equal">
      <formula>0</formula>
    </cfRule>
  </conditionalFormatting>
  <conditionalFormatting sqref="X88">
    <cfRule type="expression" dxfId="1942" priority="4360">
      <formula>X88*100&lt;C88</formula>
    </cfRule>
    <cfRule type="cellIs" dxfId="1941" priority="4361" operator="equal">
      <formula>0</formula>
    </cfRule>
  </conditionalFormatting>
  <conditionalFormatting sqref="X89">
    <cfRule type="expression" dxfId="1940" priority="4358">
      <formula>X89*100&lt;C89</formula>
    </cfRule>
    <cfRule type="cellIs" dxfId="1939" priority="4359" operator="equal">
      <formula>0</formula>
    </cfRule>
  </conditionalFormatting>
  <conditionalFormatting sqref="X90">
    <cfRule type="expression" dxfId="1938" priority="4356">
      <formula>X90*100&lt;C90</formula>
    </cfRule>
    <cfRule type="cellIs" dxfId="1937" priority="4357" operator="equal">
      <formula>0</formula>
    </cfRule>
  </conditionalFormatting>
  <conditionalFormatting sqref="X91">
    <cfRule type="expression" dxfId="1936" priority="4354">
      <formula>X91*100&lt;C91</formula>
    </cfRule>
    <cfRule type="cellIs" dxfId="1935" priority="4355" operator="equal">
      <formula>0</formula>
    </cfRule>
  </conditionalFormatting>
  <conditionalFormatting sqref="X92">
    <cfRule type="expression" dxfId="1934" priority="4352">
      <formula>X92*100&lt;C92</formula>
    </cfRule>
    <cfRule type="cellIs" dxfId="1933" priority="4353" operator="equal">
      <formula>0</formula>
    </cfRule>
  </conditionalFormatting>
  <conditionalFormatting sqref="X93">
    <cfRule type="expression" dxfId="1932" priority="4350">
      <formula>X93*100&lt;C93</formula>
    </cfRule>
    <cfRule type="cellIs" dxfId="1931" priority="4351" operator="equal">
      <formula>0</formula>
    </cfRule>
  </conditionalFormatting>
  <conditionalFormatting sqref="X94">
    <cfRule type="expression" dxfId="1930" priority="4348">
      <formula>X94*100&lt;C94</formula>
    </cfRule>
    <cfRule type="cellIs" dxfId="1929" priority="4349" operator="equal">
      <formula>0</formula>
    </cfRule>
  </conditionalFormatting>
  <conditionalFormatting sqref="X95">
    <cfRule type="expression" dxfId="1928" priority="4346">
      <formula>X95*100&lt;C95</formula>
    </cfRule>
    <cfRule type="cellIs" dxfId="1927" priority="4347" operator="equal">
      <formula>0</formula>
    </cfRule>
  </conditionalFormatting>
  <conditionalFormatting sqref="X96">
    <cfRule type="expression" dxfId="1926" priority="4344">
      <formula>X96*100&lt;C96</formula>
    </cfRule>
    <cfRule type="cellIs" dxfId="1925" priority="4345" operator="equal">
      <formula>0</formula>
    </cfRule>
  </conditionalFormatting>
  <conditionalFormatting sqref="X97">
    <cfRule type="expression" dxfId="1924" priority="4342">
      <formula>X97*100&lt;C97</formula>
    </cfRule>
    <cfRule type="cellIs" dxfId="1923" priority="4343" operator="equal">
      <formula>0</formula>
    </cfRule>
  </conditionalFormatting>
  <conditionalFormatting sqref="X98">
    <cfRule type="expression" dxfId="1922" priority="4340">
      <formula>X98*100&lt;C98</formula>
    </cfRule>
    <cfRule type="cellIs" dxfId="1921" priority="4341" operator="equal">
      <formula>0</formula>
    </cfRule>
  </conditionalFormatting>
  <conditionalFormatting sqref="X99">
    <cfRule type="expression" dxfId="1920" priority="4338">
      <formula>X99*100&lt;C99</formula>
    </cfRule>
    <cfRule type="cellIs" dxfId="1919" priority="4339" operator="equal">
      <formula>0</formula>
    </cfRule>
  </conditionalFormatting>
  <conditionalFormatting sqref="X100">
    <cfRule type="expression" dxfId="1918" priority="4336">
      <formula>X100*100&lt;C100</formula>
    </cfRule>
    <cfRule type="cellIs" dxfId="1917" priority="4337" operator="equal">
      <formula>0</formula>
    </cfRule>
  </conditionalFormatting>
  <conditionalFormatting sqref="X101">
    <cfRule type="expression" dxfId="1916" priority="4334">
      <formula>X101*100&lt;C101</formula>
    </cfRule>
    <cfRule type="cellIs" dxfId="1915" priority="4335" operator="equal">
      <formula>0</formula>
    </cfRule>
  </conditionalFormatting>
  <conditionalFormatting sqref="X102">
    <cfRule type="expression" dxfId="1914" priority="4332">
      <formula>X102*100&lt;C102</formula>
    </cfRule>
    <cfRule type="cellIs" dxfId="1913" priority="4333" operator="equal">
      <formula>0</formula>
    </cfRule>
  </conditionalFormatting>
  <conditionalFormatting sqref="X103">
    <cfRule type="expression" dxfId="1912" priority="4330">
      <formula>X103*100&lt;C103</formula>
    </cfRule>
    <cfRule type="cellIs" dxfId="1911" priority="4331" operator="equal">
      <formula>0</formula>
    </cfRule>
  </conditionalFormatting>
  <conditionalFormatting sqref="X104">
    <cfRule type="expression" dxfId="1910" priority="4328">
      <formula>X104*100&lt;C104</formula>
    </cfRule>
    <cfRule type="cellIs" dxfId="1909" priority="4329" operator="equal">
      <formula>0</formula>
    </cfRule>
  </conditionalFormatting>
  <conditionalFormatting sqref="X105">
    <cfRule type="expression" dxfId="1908" priority="4326">
      <formula>X105*100&lt;C105</formula>
    </cfRule>
    <cfRule type="cellIs" dxfId="1907" priority="4327" operator="equal">
      <formula>0</formula>
    </cfRule>
  </conditionalFormatting>
  <conditionalFormatting sqref="X106">
    <cfRule type="expression" dxfId="1906" priority="4324">
      <formula>X106*100&lt;C106</formula>
    </cfRule>
    <cfRule type="cellIs" dxfId="1905" priority="4325" operator="equal">
      <formula>0</formula>
    </cfRule>
  </conditionalFormatting>
  <conditionalFormatting sqref="X107">
    <cfRule type="expression" dxfId="1904" priority="4322">
      <formula>X107*100&lt;C107</formula>
    </cfRule>
    <cfRule type="cellIs" dxfId="1903" priority="4323" operator="equal">
      <formula>0</formula>
    </cfRule>
  </conditionalFormatting>
  <conditionalFormatting sqref="X108">
    <cfRule type="expression" dxfId="1902" priority="4320">
      <formula>X108*100&lt;C108</formula>
    </cfRule>
    <cfRule type="cellIs" dxfId="1901" priority="4321" operator="equal">
      <formula>0</formula>
    </cfRule>
  </conditionalFormatting>
  <conditionalFormatting sqref="X109">
    <cfRule type="expression" dxfId="1900" priority="4318">
      <formula>X109*100&lt;C109</formula>
    </cfRule>
    <cfRule type="cellIs" dxfId="1899" priority="4319" operator="equal">
      <formula>0</formula>
    </cfRule>
  </conditionalFormatting>
  <conditionalFormatting sqref="X110">
    <cfRule type="expression" dxfId="1898" priority="4316">
      <formula>X110*100&lt;C110</formula>
    </cfRule>
    <cfRule type="cellIs" dxfId="1897" priority="4317" operator="equal">
      <formula>0</formula>
    </cfRule>
  </conditionalFormatting>
  <conditionalFormatting sqref="X111">
    <cfRule type="expression" dxfId="1896" priority="4314">
      <formula>X111*100&lt;C111</formula>
    </cfRule>
    <cfRule type="cellIs" dxfId="1895" priority="4315" operator="equal">
      <formula>0</formula>
    </cfRule>
  </conditionalFormatting>
  <conditionalFormatting sqref="X112">
    <cfRule type="expression" dxfId="1894" priority="4312">
      <formula>X112*100&lt;C112</formula>
    </cfRule>
    <cfRule type="cellIs" dxfId="1893" priority="4313" operator="equal">
      <formula>0</formula>
    </cfRule>
  </conditionalFormatting>
  <conditionalFormatting sqref="X113">
    <cfRule type="expression" dxfId="1892" priority="4310">
      <formula>X113*100&lt;C113</formula>
    </cfRule>
    <cfRule type="cellIs" dxfId="1891" priority="4311" operator="equal">
      <formula>0</formula>
    </cfRule>
  </conditionalFormatting>
  <conditionalFormatting sqref="X114">
    <cfRule type="expression" dxfId="1890" priority="4308">
      <formula>X114*100&lt;C114</formula>
    </cfRule>
    <cfRule type="cellIs" dxfId="1889" priority="4309" operator="equal">
      <formula>0</formula>
    </cfRule>
  </conditionalFormatting>
  <conditionalFormatting sqref="X115">
    <cfRule type="expression" dxfId="1888" priority="4306">
      <formula>X115*100&lt;C115</formula>
    </cfRule>
    <cfRule type="cellIs" dxfId="1887" priority="4307" operator="equal">
      <formula>0</formula>
    </cfRule>
  </conditionalFormatting>
  <conditionalFormatting sqref="X116">
    <cfRule type="expression" dxfId="1886" priority="4304">
      <formula>X116*100&lt;C116</formula>
    </cfRule>
    <cfRule type="cellIs" dxfId="1885" priority="4305" operator="equal">
      <formula>0</formula>
    </cfRule>
  </conditionalFormatting>
  <conditionalFormatting sqref="X117">
    <cfRule type="expression" dxfId="1884" priority="4302">
      <formula>X117*100&lt;C117</formula>
    </cfRule>
    <cfRule type="cellIs" dxfId="1883" priority="4303" operator="equal">
      <formula>0</formula>
    </cfRule>
  </conditionalFormatting>
  <conditionalFormatting sqref="X118">
    <cfRule type="expression" dxfId="1882" priority="4300">
      <formula>X118*100&lt;C118</formula>
    </cfRule>
    <cfRule type="cellIs" dxfId="1881" priority="4301" operator="equal">
      <formula>0</formula>
    </cfRule>
  </conditionalFormatting>
  <conditionalFormatting sqref="X119">
    <cfRule type="expression" dxfId="1880" priority="4298">
      <formula>X119*100&lt;C119</formula>
    </cfRule>
    <cfRule type="cellIs" dxfId="1879" priority="4299" operator="equal">
      <formula>0</formula>
    </cfRule>
  </conditionalFormatting>
  <conditionalFormatting sqref="X120">
    <cfRule type="expression" dxfId="1878" priority="4296">
      <formula>X120*100&lt;C120</formula>
    </cfRule>
    <cfRule type="cellIs" dxfId="1877" priority="4297" operator="equal">
      <formula>0</formula>
    </cfRule>
  </conditionalFormatting>
  <conditionalFormatting sqref="X121">
    <cfRule type="expression" dxfId="1876" priority="4294">
      <formula>X121*100&lt;C121</formula>
    </cfRule>
    <cfRule type="cellIs" dxfId="1875" priority="4295" operator="equal">
      <formula>0</formula>
    </cfRule>
  </conditionalFormatting>
  <conditionalFormatting sqref="X122">
    <cfRule type="expression" dxfId="1874" priority="4292">
      <formula>X122*100&lt;C122</formula>
    </cfRule>
    <cfRule type="cellIs" dxfId="1873" priority="4293" operator="equal">
      <formula>0</formula>
    </cfRule>
  </conditionalFormatting>
  <conditionalFormatting sqref="X123">
    <cfRule type="expression" dxfId="1872" priority="4290">
      <formula>X123*100&lt;C123</formula>
    </cfRule>
    <cfRule type="cellIs" dxfId="1871" priority="4291" operator="equal">
      <formula>0</formula>
    </cfRule>
  </conditionalFormatting>
  <conditionalFormatting sqref="X124">
    <cfRule type="expression" dxfId="1870" priority="4288">
      <formula>X124*100&lt;C124</formula>
    </cfRule>
    <cfRule type="cellIs" dxfId="1869" priority="4289" operator="equal">
      <formula>0</formula>
    </cfRule>
  </conditionalFormatting>
  <conditionalFormatting sqref="X125">
    <cfRule type="expression" dxfId="1868" priority="4286">
      <formula>X125*100&lt;C125</formula>
    </cfRule>
    <cfRule type="cellIs" dxfId="1867" priority="4287" operator="equal">
      <formula>0</formula>
    </cfRule>
  </conditionalFormatting>
  <conditionalFormatting sqref="X126">
    <cfRule type="expression" dxfId="1866" priority="4284">
      <formula>X126*100&lt;C126</formula>
    </cfRule>
    <cfRule type="cellIs" dxfId="1865" priority="4285" operator="equal">
      <formula>0</formula>
    </cfRule>
  </conditionalFormatting>
  <conditionalFormatting sqref="X127">
    <cfRule type="expression" dxfId="1864" priority="4282">
      <formula>X127*100&lt;C127</formula>
    </cfRule>
    <cfRule type="cellIs" dxfId="1863" priority="4283" operator="equal">
      <formula>0</formula>
    </cfRule>
  </conditionalFormatting>
  <conditionalFormatting sqref="X128">
    <cfRule type="expression" dxfId="1862" priority="4280">
      <formula>X128*100&lt;C128</formula>
    </cfRule>
    <cfRule type="cellIs" dxfId="1861" priority="4281" operator="equal">
      <formula>0</formula>
    </cfRule>
  </conditionalFormatting>
  <conditionalFormatting sqref="X129">
    <cfRule type="expression" dxfId="1860" priority="4278">
      <formula>X129*100&lt;C129</formula>
    </cfRule>
    <cfRule type="cellIs" dxfId="1859" priority="4279" operator="equal">
      <formula>0</formula>
    </cfRule>
  </conditionalFormatting>
  <conditionalFormatting sqref="X130">
    <cfRule type="expression" dxfId="1858" priority="4276">
      <formula>X130*100&lt;C130</formula>
    </cfRule>
    <cfRule type="cellIs" dxfId="1857" priority="4277" operator="equal">
      <formula>0</formula>
    </cfRule>
  </conditionalFormatting>
  <conditionalFormatting sqref="X131">
    <cfRule type="expression" dxfId="1856" priority="4274">
      <formula>X131*100&lt;C131</formula>
    </cfRule>
    <cfRule type="cellIs" dxfId="1855" priority="4275" operator="equal">
      <formula>0</formula>
    </cfRule>
  </conditionalFormatting>
  <conditionalFormatting sqref="X132">
    <cfRule type="expression" dxfId="1854" priority="4272">
      <formula>X132*100&lt;C132</formula>
    </cfRule>
    <cfRule type="cellIs" dxfId="1853" priority="4273" operator="equal">
      <formula>0</formula>
    </cfRule>
  </conditionalFormatting>
  <conditionalFormatting sqref="X133">
    <cfRule type="expression" dxfId="1852" priority="4270">
      <formula>X133*100&lt;C133</formula>
    </cfRule>
    <cfRule type="cellIs" dxfId="1851" priority="4271" operator="equal">
      <formula>0</formula>
    </cfRule>
  </conditionalFormatting>
  <conditionalFormatting sqref="X134">
    <cfRule type="expression" dxfId="1850" priority="4268">
      <formula>X134*100&lt;C134</formula>
    </cfRule>
    <cfRule type="cellIs" dxfId="1849" priority="4269" operator="equal">
      <formula>0</formula>
    </cfRule>
  </conditionalFormatting>
  <conditionalFormatting sqref="X135">
    <cfRule type="expression" dxfId="1848" priority="4266">
      <formula>X135*100&lt;C135</formula>
    </cfRule>
    <cfRule type="cellIs" dxfId="1847" priority="4267" operator="equal">
      <formula>0</formula>
    </cfRule>
  </conditionalFormatting>
  <conditionalFormatting sqref="X136">
    <cfRule type="expression" dxfId="1846" priority="4264">
      <formula>X136*100&lt;C136</formula>
    </cfRule>
    <cfRule type="cellIs" dxfId="1845" priority="4265" operator="equal">
      <formula>0</formula>
    </cfRule>
  </conditionalFormatting>
  <conditionalFormatting sqref="X137">
    <cfRule type="expression" dxfId="1844" priority="4262">
      <formula>X137*100&lt;C137</formula>
    </cfRule>
    <cfRule type="cellIs" dxfId="1843" priority="4263" operator="equal">
      <formula>0</formula>
    </cfRule>
  </conditionalFormatting>
  <conditionalFormatting sqref="X138">
    <cfRule type="expression" dxfId="1842" priority="4260">
      <formula>X138*100&lt;C138</formula>
    </cfRule>
    <cfRule type="cellIs" dxfId="1841" priority="4261" operator="equal">
      <formula>0</formula>
    </cfRule>
  </conditionalFormatting>
  <conditionalFormatting sqref="X139">
    <cfRule type="expression" dxfId="1840" priority="4258">
      <formula>X139*100&lt;C139</formula>
    </cfRule>
    <cfRule type="cellIs" dxfId="1839" priority="4259" operator="equal">
      <formula>0</formula>
    </cfRule>
  </conditionalFormatting>
  <conditionalFormatting sqref="X140">
    <cfRule type="expression" dxfId="1838" priority="4256">
      <formula>X140*100&lt;C140</formula>
    </cfRule>
    <cfRule type="cellIs" dxfId="1837" priority="4257" operator="equal">
      <formula>0</formula>
    </cfRule>
  </conditionalFormatting>
  <conditionalFormatting sqref="X141">
    <cfRule type="expression" dxfId="1836" priority="4254">
      <formula>X141*100&lt;C141</formula>
    </cfRule>
    <cfRule type="cellIs" dxfId="1835" priority="4255" operator="equal">
      <formula>0</formula>
    </cfRule>
  </conditionalFormatting>
  <conditionalFormatting sqref="X142">
    <cfRule type="expression" dxfId="1834" priority="4252">
      <formula>X142*100&lt;C142</formula>
    </cfRule>
    <cfRule type="cellIs" dxfId="1833" priority="4253" operator="equal">
      <formula>0</formula>
    </cfRule>
  </conditionalFormatting>
  <conditionalFormatting sqref="X143">
    <cfRule type="expression" dxfId="1832" priority="4250">
      <formula>X143*100&lt;C143</formula>
    </cfRule>
    <cfRule type="cellIs" dxfId="1831" priority="4251" operator="equal">
      <formula>0</formula>
    </cfRule>
  </conditionalFormatting>
  <conditionalFormatting sqref="X144">
    <cfRule type="expression" dxfId="1830" priority="4248">
      <formula>X144*100&lt;C144</formula>
    </cfRule>
    <cfRule type="cellIs" dxfId="1829" priority="4249" operator="equal">
      <formula>0</formula>
    </cfRule>
  </conditionalFormatting>
  <conditionalFormatting sqref="X145">
    <cfRule type="expression" dxfId="1828" priority="4246">
      <formula>X145*100&lt;C145</formula>
    </cfRule>
    <cfRule type="cellIs" dxfId="1827" priority="4247" operator="equal">
      <formula>0</formula>
    </cfRule>
  </conditionalFormatting>
  <conditionalFormatting sqref="X146">
    <cfRule type="expression" dxfId="1826" priority="4244">
      <formula>X146*100&lt;C146</formula>
    </cfRule>
    <cfRule type="cellIs" dxfId="1825" priority="4245" operator="equal">
      <formula>0</formula>
    </cfRule>
  </conditionalFormatting>
  <conditionalFormatting sqref="X147">
    <cfRule type="expression" dxfId="1824" priority="4242">
      <formula>X147*100&lt;C147</formula>
    </cfRule>
    <cfRule type="cellIs" dxfId="1823" priority="4243" operator="equal">
      <formula>0</formula>
    </cfRule>
  </conditionalFormatting>
  <conditionalFormatting sqref="X148">
    <cfRule type="expression" dxfId="1822" priority="4240">
      <formula>X148*100&lt;C148</formula>
    </cfRule>
    <cfRule type="cellIs" dxfId="1821" priority="4241" operator="equal">
      <formula>0</formula>
    </cfRule>
  </conditionalFormatting>
  <conditionalFormatting sqref="X149">
    <cfRule type="expression" dxfId="1820" priority="4238">
      <formula>X149*100&lt;C149</formula>
    </cfRule>
    <cfRule type="cellIs" dxfId="1819" priority="4239" operator="equal">
      <formula>0</formula>
    </cfRule>
  </conditionalFormatting>
  <conditionalFormatting sqref="X150">
    <cfRule type="expression" dxfId="1818" priority="4236">
      <formula>X150*100&lt;C150</formula>
    </cfRule>
    <cfRule type="cellIs" dxfId="1817" priority="4237" operator="equal">
      <formula>0</formula>
    </cfRule>
  </conditionalFormatting>
  <conditionalFormatting sqref="X151">
    <cfRule type="expression" dxfId="1816" priority="4234">
      <formula>X151*100&lt;C151</formula>
    </cfRule>
    <cfRule type="cellIs" dxfId="1815" priority="4235" operator="equal">
      <formula>0</formula>
    </cfRule>
  </conditionalFormatting>
  <conditionalFormatting sqref="X152">
    <cfRule type="expression" dxfId="1814" priority="4232">
      <formula>X152*100&lt;C152</formula>
    </cfRule>
    <cfRule type="cellIs" dxfId="1813" priority="4233" operator="equal">
      <formula>0</formula>
    </cfRule>
  </conditionalFormatting>
  <conditionalFormatting sqref="X153">
    <cfRule type="expression" dxfId="1812" priority="4230">
      <formula>X153*100&lt;C153</formula>
    </cfRule>
    <cfRule type="cellIs" dxfId="1811" priority="4231" operator="equal">
      <formula>0</formula>
    </cfRule>
  </conditionalFormatting>
  <conditionalFormatting sqref="X154">
    <cfRule type="expression" dxfId="1810" priority="4228">
      <formula>X154*100&lt;C154</formula>
    </cfRule>
    <cfRule type="cellIs" dxfId="1809" priority="4229" operator="equal">
      <formula>0</formula>
    </cfRule>
  </conditionalFormatting>
  <conditionalFormatting sqref="X155">
    <cfRule type="expression" dxfId="1808" priority="4226">
      <formula>X155*100&lt;C155</formula>
    </cfRule>
    <cfRule type="cellIs" dxfId="1807" priority="4227" operator="equal">
      <formula>0</formula>
    </cfRule>
  </conditionalFormatting>
  <conditionalFormatting sqref="X156">
    <cfRule type="expression" dxfId="1806" priority="4224">
      <formula>X156*100&lt;C156</formula>
    </cfRule>
    <cfRule type="cellIs" dxfId="1805" priority="4225" operator="equal">
      <formula>0</formula>
    </cfRule>
  </conditionalFormatting>
  <conditionalFormatting sqref="X157">
    <cfRule type="expression" dxfId="1804" priority="4222">
      <formula>X157*100&lt;C157</formula>
    </cfRule>
    <cfRule type="cellIs" dxfId="1803" priority="4223" operator="equal">
      <formula>0</formula>
    </cfRule>
  </conditionalFormatting>
  <conditionalFormatting sqref="X158">
    <cfRule type="expression" dxfId="1802" priority="4220">
      <formula>X158*100&lt;C158</formula>
    </cfRule>
    <cfRule type="cellIs" dxfId="1801" priority="4221" operator="equal">
      <formula>0</formula>
    </cfRule>
  </conditionalFormatting>
  <conditionalFormatting sqref="X159">
    <cfRule type="expression" dxfId="1800" priority="4218">
      <formula>X159*100&lt;C159</formula>
    </cfRule>
    <cfRule type="cellIs" dxfId="1799" priority="4219" operator="equal">
      <formula>0</formula>
    </cfRule>
  </conditionalFormatting>
  <conditionalFormatting sqref="X160">
    <cfRule type="expression" dxfId="1798" priority="4216">
      <formula>X160*100&lt;C160</formula>
    </cfRule>
    <cfRule type="cellIs" dxfId="1797" priority="4217" operator="equal">
      <formula>0</formula>
    </cfRule>
  </conditionalFormatting>
  <conditionalFormatting sqref="X161">
    <cfRule type="expression" dxfId="1796" priority="4214">
      <formula>X161*100&lt;C161</formula>
    </cfRule>
    <cfRule type="cellIs" dxfId="1795" priority="4215" operator="equal">
      <formula>0</formula>
    </cfRule>
  </conditionalFormatting>
  <conditionalFormatting sqref="X162">
    <cfRule type="expression" dxfId="1794" priority="4212">
      <formula>X162*100&lt;C162</formula>
    </cfRule>
    <cfRule type="cellIs" dxfId="1793" priority="4213" operator="equal">
      <formula>0</formula>
    </cfRule>
  </conditionalFormatting>
  <conditionalFormatting sqref="X163">
    <cfRule type="expression" dxfId="1792" priority="4210">
      <formula>X163*100&lt;C163</formula>
    </cfRule>
    <cfRule type="cellIs" dxfId="1791" priority="4211" operator="equal">
      <formula>0</formula>
    </cfRule>
  </conditionalFormatting>
  <conditionalFormatting sqref="X164">
    <cfRule type="expression" dxfId="1790" priority="4208">
      <formula>X164*100&lt;C164</formula>
    </cfRule>
    <cfRule type="cellIs" dxfId="1789" priority="4209" operator="equal">
      <formula>0</formula>
    </cfRule>
  </conditionalFormatting>
  <conditionalFormatting sqref="X165">
    <cfRule type="expression" dxfId="1788" priority="4206">
      <formula>X165*100&lt;C165</formula>
    </cfRule>
    <cfRule type="cellIs" dxfId="1787" priority="4207" operator="equal">
      <formula>0</formula>
    </cfRule>
  </conditionalFormatting>
  <conditionalFormatting sqref="X166">
    <cfRule type="expression" dxfId="1786" priority="4204">
      <formula>X166*100&lt;C166</formula>
    </cfRule>
    <cfRule type="cellIs" dxfId="1785" priority="4205" operator="equal">
      <formula>0</formula>
    </cfRule>
  </conditionalFormatting>
  <conditionalFormatting sqref="X167">
    <cfRule type="expression" dxfId="1784" priority="4202">
      <formula>X167*100&lt;C167</formula>
    </cfRule>
    <cfRule type="cellIs" dxfId="1783" priority="4203" operator="equal">
      <formula>0</formula>
    </cfRule>
  </conditionalFormatting>
  <conditionalFormatting sqref="X168">
    <cfRule type="expression" dxfId="1782" priority="4200">
      <formula>X168*100&lt;C168</formula>
    </cfRule>
    <cfRule type="cellIs" dxfId="1781" priority="4201" operator="equal">
      <formula>0</formula>
    </cfRule>
  </conditionalFormatting>
  <conditionalFormatting sqref="X169">
    <cfRule type="expression" dxfId="1780" priority="4198">
      <formula>X169*100&lt;C169</formula>
    </cfRule>
    <cfRule type="cellIs" dxfId="1779" priority="4199" operator="equal">
      <formula>0</formula>
    </cfRule>
  </conditionalFormatting>
  <conditionalFormatting sqref="X170">
    <cfRule type="expression" dxfId="1778" priority="4196">
      <formula>X170*100&lt;C170</formula>
    </cfRule>
    <cfRule type="cellIs" dxfId="1777" priority="4197" operator="equal">
      <formula>0</formula>
    </cfRule>
  </conditionalFormatting>
  <conditionalFormatting sqref="X171">
    <cfRule type="expression" dxfId="1776" priority="4194">
      <formula>X171*100&lt;C171</formula>
    </cfRule>
    <cfRule type="cellIs" dxfId="1775" priority="4195" operator="equal">
      <formula>0</formula>
    </cfRule>
  </conditionalFormatting>
  <conditionalFormatting sqref="X2">
    <cfRule type="expression" dxfId="1774" priority="4187">
      <formula>X2*100&gt;C2</formula>
    </cfRule>
    <cfRule type="cellIs" dxfId="1773" priority="4188" operator="equal">
      <formula>0</formula>
    </cfRule>
  </conditionalFormatting>
  <conditionalFormatting sqref="X3">
    <cfRule type="expression" dxfId="1772" priority="4185">
      <formula>X3*100&gt;C3</formula>
    </cfRule>
    <cfRule type="cellIs" dxfId="1771" priority="4186" operator="equal">
      <formula>0</formula>
    </cfRule>
  </conditionalFormatting>
  <conditionalFormatting sqref="X4">
    <cfRule type="expression" dxfId="1770" priority="4178">
      <formula>X4*100&gt;C4</formula>
    </cfRule>
    <cfRule type="cellIs" dxfId="1769" priority="4179" operator="equal">
      <formula>0</formula>
    </cfRule>
  </conditionalFormatting>
  <conditionalFormatting sqref="X5">
    <cfRule type="expression" dxfId="1768" priority="4176">
      <formula>X5*100&gt;C5</formula>
    </cfRule>
    <cfRule type="cellIs" dxfId="1767" priority="4177" operator="equal">
      <formula>0</formula>
    </cfRule>
  </conditionalFormatting>
  <conditionalFormatting sqref="X6">
    <cfRule type="expression" dxfId="1766" priority="4169">
      <formula>X6*100&gt;C6</formula>
    </cfRule>
    <cfRule type="cellIs" dxfId="1765" priority="4170" operator="equal">
      <formula>0</formula>
    </cfRule>
  </conditionalFormatting>
  <conditionalFormatting sqref="X7">
    <cfRule type="expression" dxfId="1764" priority="4167">
      <formula>X7*100&gt;C7</formula>
    </cfRule>
    <cfRule type="cellIs" dxfId="1763" priority="4168" operator="equal">
      <formula>0</formula>
    </cfRule>
  </conditionalFormatting>
  <conditionalFormatting sqref="X8">
    <cfRule type="expression" dxfId="1762" priority="4160">
      <formula>X8*100&gt;C8</formula>
    </cfRule>
    <cfRule type="cellIs" dxfId="1761" priority="4161" operator="equal">
      <formula>0</formula>
    </cfRule>
  </conditionalFormatting>
  <conditionalFormatting sqref="X9">
    <cfRule type="expression" dxfId="1760" priority="4158">
      <formula>X9*100&gt;C9</formula>
    </cfRule>
    <cfRule type="cellIs" dxfId="1759" priority="4159" operator="equal">
      <formula>0</formula>
    </cfRule>
  </conditionalFormatting>
  <conditionalFormatting sqref="Y64">
    <cfRule type="cellIs" dxfId="1758" priority="2904" operator="lessThanOrEqual">
      <formula>0</formula>
    </cfRule>
    <cfRule type="expression" dxfId="1757" priority="3927">
      <formula>(C65)-(D64)&gt;(C65/100)*(1+$AD$1*$AE$1)</formula>
    </cfRule>
  </conditionalFormatting>
  <conditionalFormatting sqref="Y65">
    <cfRule type="cellIs" dxfId="1756" priority="3928" operator="equal">
      <formula>0</formula>
    </cfRule>
  </conditionalFormatting>
  <conditionalFormatting sqref="Y60">
    <cfRule type="expression" dxfId="1755" priority="3924">
      <formula>(C61)-(D60)&gt;(C61/100)*(1+$AD$1*$AE$1)</formula>
    </cfRule>
    <cfRule type="cellIs" dxfId="1754" priority="3926" operator="lessThanOrEqual">
      <formula>0</formula>
    </cfRule>
  </conditionalFormatting>
  <conditionalFormatting sqref="Y61">
    <cfRule type="cellIs" dxfId="1753" priority="3925" operator="equal">
      <formula>0</formula>
    </cfRule>
  </conditionalFormatting>
  <conditionalFormatting sqref="U1">
    <cfRule type="cellIs" dxfId="1752" priority="3838" operator="notEqual">
      <formula>0</formula>
    </cfRule>
  </conditionalFormatting>
  <conditionalFormatting sqref="V1">
    <cfRule type="cellIs" dxfId="1751" priority="3837" operator="notEqual">
      <formula>0</formula>
    </cfRule>
  </conditionalFormatting>
  <conditionalFormatting sqref="S1">
    <cfRule type="cellIs" dxfId="1750" priority="3814" operator="equal">
      <formula>"STOP"</formula>
    </cfRule>
  </conditionalFormatting>
  <conditionalFormatting sqref="R1">
    <cfRule type="cellIs" dxfId="1749" priority="3813" operator="equal">
      <formula>"TRAIL"</formula>
    </cfRule>
  </conditionalFormatting>
  <conditionalFormatting sqref="Q1">
    <cfRule type="cellIs" dxfId="1748" priority="1858" operator="equal">
      <formula>"REC"</formula>
    </cfRule>
    <cfRule type="cellIs" dxfId="1747" priority="3812" operator="equal">
      <formula>"PRC"</formula>
    </cfRule>
  </conditionalFormatting>
  <conditionalFormatting sqref="Z26">
    <cfRule type="cellIs" dxfId="1746" priority="3804" operator="equal">
      <formula>0</formula>
    </cfRule>
  </conditionalFormatting>
  <conditionalFormatting sqref="Z26">
    <cfRule type="cellIs" dxfId="1745" priority="3803" operator="greaterThan">
      <formula>0</formula>
    </cfRule>
  </conditionalFormatting>
  <conditionalFormatting sqref="Z27">
    <cfRule type="cellIs" dxfId="1744" priority="3802" operator="equal">
      <formula>0</formula>
    </cfRule>
  </conditionalFormatting>
  <conditionalFormatting sqref="Z27">
    <cfRule type="cellIs" dxfId="1743" priority="3801" operator="greaterThan">
      <formula>0</formula>
    </cfRule>
  </conditionalFormatting>
  <conditionalFormatting sqref="Z28">
    <cfRule type="cellIs" dxfId="1742" priority="3800" operator="equal">
      <formula>0</formula>
    </cfRule>
  </conditionalFormatting>
  <conditionalFormatting sqref="Z28">
    <cfRule type="cellIs" dxfId="1741" priority="3799" operator="greaterThan">
      <formula>0</formula>
    </cfRule>
  </conditionalFormatting>
  <conditionalFormatting sqref="Z29">
    <cfRule type="cellIs" dxfId="1740" priority="3798" operator="equal">
      <formula>0</formula>
    </cfRule>
  </conditionalFormatting>
  <conditionalFormatting sqref="Z29">
    <cfRule type="cellIs" dxfId="1739" priority="3797" operator="greaterThan">
      <formula>0</formula>
    </cfRule>
  </conditionalFormatting>
  <conditionalFormatting sqref="A39">
    <cfRule type="expression" dxfId="1738" priority="3743">
      <formula>C39&gt;F39</formula>
    </cfRule>
    <cfRule type="expression" dxfId="1737" priority="1058">
      <formula>D39&lt;F39</formula>
    </cfRule>
  </conditionalFormatting>
  <conditionalFormatting sqref="B26 B64:B65 E64:E65">
    <cfRule type="expression" dxfId="1736" priority="3330">
      <formula>IF($V26&lt;&gt;0,AND(MID($A26,5,1)=" "))</formula>
    </cfRule>
    <cfRule type="expression" dxfId="1735" priority="3331">
      <formula>IF($V26&lt;&gt;0,AND(MID($A26,5,1)="C"))</formula>
    </cfRule>
    <cfRule type="expression" dxfId="1734" priority="3332">
      <formula>IF($V26&lt;&gt;0,AND(MID($A26,5,1)="D"))</formula>
    </cfRule>
  </conditionalFormatting>
  <conditionalFormatting sqref="E26">
    <cfRule type="expression" dxfId="1733" priority="3315">
      <formula>IF($V26&lt;&gt;0,AND(MID($A26,5,1)=" "))</formula>
    </cfRule>
    <cfRule type="expression" dxfId="1732" priority="3316">
      <formula>IF($V26&lt;&gt;0,AND(MID($A26,5,1)="C"))</formula>
    </cfRule>
    <cfRule type="expression" dxfId="1731" priority="3317">
      <formula>IF($V26&lt;&gt;0,AND(MID($A26,5,1)="D"))</formula>
    </cfRule>
  </conditionalFormatting>
  <conditionalFormatting sqref="B28">
    <cfRule type="expression" dxfId="1730" priority="3312">
      <formula>IF($V28&lt;&gt;0,AND(MID($A28,5,1)=" "))</formula>
    </cfRule>
    <cfRule type="expression" dxfId="1729" priority="3313">
      <formula>IF($V28&lt;&gt;0,AND(MID($A28,5,1)="C"))</formula>
    </cfRule>
    <cfRule type="expression" dxfId="1728" priority="3314">
      <formula>IF($V28&lt;&gt;0,AND(MID($A28,5,1)="D"))</formula>
    </cfRule>
  </conditionalFormatting>
  <conditionalFormatting sqref="E28">
    <cfRule type="expression" dxfId="1727" priority="3297">
      <formula>IF($V28&lt;&gt;0,AND(MID($A28,5,1)=" "))</formula>
    </cfRule>
    <cfRule type="expression" dxfId="1726" priority="3298">
      <formula>IF($V28&lt;&gt;0,AND(MID($A28,5,1)="C"))</formula>
    </cfRule>
    <cfRule type="expression" dxfId="1725" priority="3299">
      <formula>IF($V28&lt;&gt;0,AND(MID($A28,5,1)="D"))</formula>
    </cfRule>
  </conditionalFormatting>
  <conditionalFormatting sqref="B29">
    <cfRule type="expression" dxfId="1724" priority="3294">
      <formula>IF($V29&lt;&gt;0,AND(MID($A29,5,1)=" "))</formula>
    </cfRule>
    <cfRule type="expression" dxfId="1723" priority="3295">
      <formula>IF($V29&lt;&gt;0,AND(MID($A29,5,1)="C"))</formula>
    </cfRule>
    <cfRule type="expression" dxfId="1722" priority="3296">
      <formula>IF($V29&lt;&gt;0,AND(MID($A29,5,1)="D"))</formula>
    </cfRule>
  </conditionalFormatting>
  <conditionalFormatting sqref="E29">
    <cfRule type="expression" dxfId="1721" priority="3279">
      <formula>IF($V29&lt;&gt;0,AND(MID($A29,5,1)=" "))</formula>
    </cfRule>
    <cfRule type="expression" dxfId="1720" priority="3280">
      <formula>IF($V29&lt;&gt;0,AND(MID($A29,5,1)="C"))</formula>
    </cfRule>
    <cfRule type="expression" dxfId="1719" priority="3281">
      <formula>IF($V29&lt;&gt;0,AND(MID($A29,5,1)="D"))</formula>
    </cfRule>
  </conditionalFormatting>
  <conditionalFormatting sqref="B27">
    <cfRule type="expression" dxfId="1718" priority="3276">
      <formula>IF($V27&lt;&gt;0,AND(MID($A27,5,1)=" "))</formula>
    </cfRule>
    <cfRule type="expression" dxfId="1717" priority="3277">
      <formula>IF($V27&lt;&gt;0,AND(MID($A27,5,1)="C"))</formula>
    </cfRule>
    <cfRule type="expression" dxfId="1716" priority="3278">
      <formula>IF($V27&lt;&gt;0,AND(MID($A27,5,1)="D"))</formula>
    </cfRule>
  </conditionalFormatting>
  <conditionalFormatting sqref="E27">
    <cfRule type="expression" dxfId="1715" priority="3261">
      <formula>IF($V27&lt;&gt;0,AND(MID($A27,5,1)=" "))</formula>
    </cfRule>
    <cfRule type="expression" dxfId="1714" priority="3262">
      <formula>IF($V27&lt;&gt;0,AND(MID($A27,5,1)="C"))</formula>
    </cfRule>
    <cfRule type="expression" dxfId="1713" priority="3263">
      <formula>IF($V27&lt;&gt;0,AND(MID($A27,5,1)="D"))</formula>
    </cfRule>
  </conditionalFormatting>
  <conditionalFormatting sqref="C26 C64:C65">
    <cfRule type="cellIs" dxfId="1712" priority="3228" operator="lessThan">
      <formula>D26</formula>
    </cfRule>
    <cfRule type="expression" dxfId="1711" priority="3232">
      <formula>IF($V26&lt;&gt;0,AND(MID($A26,5,1)=" "))</formula>
    </cfRule>
    <cfRule type="expression" dxfId="1710" priority="3233">
      <formula>IF($V26&lt;&gt;0,AND(MID($A26,5,1)="C"))</formula>
    </cfRule>
    <cfRule type="expression" dxfId="1709" priority="3234">
      <formula>IF($V26&lt;&gt;0,AND(MID($A26,5,1)="D"))</formula>
    </cfRule>
  </conditionalFormatting>
  <conditionalFormatting sqref="D26 D64:D65">
    <cfRule type="cellIs" dxfId="1708" priority="3227" operator="lessThan">
      <formula>C26</formula>
    </cfRule>
    <cfRule type="expression" dxfId="1707" priority="3229">
      <formula>IF($V26&lt;&gt;0,AND(MID($A26,5,1)=" "))</formula>
    </cfRule>
    <cfRule type="expression" dxfId="1706" priority="3230">
      <formula>IF($V26&lt;&gt;0,AND(MID($A26,5,1)="C"))</formula>
    </cfRule>
    <cfRule type="expression" dxfId="1705" priority="3231">
      <formula>IF($V26&lt;&gt;0,AND(MID($A26,5,1)="D"))</formula>
    </cfRule>
  </conditionalFormatting>
  <conditionalFormatting sqref="C27">
    <cfRule type="cellIs" dxfId="1704" priority="3220" operator="lessThan">
      <formula>D27</formula>
    </cfRule>
    <cfRule type="expression" dxfId="1703" priority="3224">
      <formula>IF($V27&lt;&gt;0,AND(MID($A27,5,1)=" "))</formula>
    </cfRule>
    <cfRule type="expression" dxfId="1702" priority="3225">
      <formula>IF($V27&lt;&gt;0,AND(MID($A27,5,1)="C"))</formula>
    </cfRule>
    <cfRule type="expression" dxfId="1701" priority="3226">
      <formula>IF($V27&lt;&gt;0,AND(MID($A27,5,1)="D"))</formula>
    </cfRule>
  </conditionalFormatting>
  <conditionalFormatting sqref="D27">
    <cfRule type="cellIs" dxfId="1700" priority="3219" operator="lessThan">
      <formula>C27</formula>
    </cfRule>
    <cfRule type="expression" dxfId="1699" priority="3221">
      <formula>IF($V27&lt;&gt;0,AND(MID($A27,5,1)=" "))</formula>
    </cfRule>
    <cfRule type="expression" dxfId="1698" priority="3222">
      <formula>IF($V27&lt;&gt;0,AND(MID($A27,5,1)="C"))</formula>
    </cfRule>
    <cfRule type="expression" dxfId="1697" priority="3223">
      <formula>IF($V27&lt;&gt;0,AND(MID($A27,5,1)="D"))</formula>
    </cfRule>
  </conditionalFormatting>
  <conditionalFormatting sqref="C28">
    <cfRule type="cellIs" dxfId="1696" priority="3212" operator="lessThan">
      <formula>D28</formula>
    </cfRule>
    <cfRule type="expression" dxfId="1695" priority="3216">
      <formula>IF($V28&lt;&gt;0,AND(MID($A28,5,1)=" "))</formula>
    </cfRule>
    <cfRule type="expression" dxfId="1694" priority="3217">
      <formula>IF($V28&lt;&gt;0,AND(MID($A28,5,1)="C"))</formula>
    </cfRule>
    <cfRule type="expression" dxfId="1693" priority="3218">
      <formula>IF($V28&lt;&gt;0,AND(MID($A28,5,1)="D"))</formula>
    </cfRule>
  </conditionalFormatting>
  <conditionalFormatting sqref="D28">
    <cfRule type="cellIs" dxfId="1692" priority="3211" operator="lessThan">
      <formula>C28</formula>
    </cfRule>
    <cfRule type="expression" dxfId="1691" priority="3213">
      <formula>IF($V28&lt;&gt;0,AND(MID($A28,5,1)=" "))</formula>
    </cfRule>
    <cfRule type="expression" dxfId="1690" priority="3214">
      <formula>IF($V28&lt;&gt;0,AND(MID($A28,5,1)="C"))</formula>
    </cfRule>
    <cfRule type="expression" dxfId="1689" priority="3215">
      <formula>IF($V28&lt;&gt;0,AND(MID($A28,5,1)="D"))</formula>
    </cfRule>
  </conditionalFormatting>
  <conditionalFormatting sqref="C29">
    <cfRule type="cellIs" dxfId="1688" priority="3204" operator="lessThan">
      <formula>D29</formula>
    </cfRule>
    <cfRule type="expression" dxfId="1687" priority="3208">
      <formula>IF($V29&lt;&gt;0,AND(MID($A29,5,1)=" "))</formula>
    </cfRule>
    <cfRule type="expression" dxfId="1686" priority="3209">
      <formula>IF($V29&lt;&gt;0,AND(MID($A29,5,1)="C"))</formula>
    </cfRule>
    <cfRule type="expression" dxfId="1685" priority="3210">
      <formula>IF($V29&lt;&gt;0,AND(MID($A29,5,1)="D"))</formula>
    </cfRule>
  </conditionalFormatting>
  <conditionalFormatting sqref="D29">
    <cfRule type="cellIs" dxfId="1684" priority="3203" operator="lessThan">
      <formula>C29</formula>
    </cfRule>
    <cfRule type="expression" dxfId="1683" priority="3205">
      <formula>IF($V29&lt;&gt;0,AND(MID($A29,5,1)=" "))</formula>
    </cfRule>
    <cfRule type="expression" dxfId="1682" priority="3206">
      <formula>IF($V29&lt;&gt;0,AND(MID($A29,5,1)="C"))</formula>
    </cfRule>
    <cfRule type="expression" dxfId="1681" priority="3207">
      <formula>IF($V29&lt;&gt;0,AND(MID($A29,5,1)="D"))</formula>
    </cfRule>
  </conditionalFormatting>
  <conditionalFormatting sqref="A15">
    <cfRule type="expression" dxfId="1680" priority="3126">
      <formula>IF($Y17&gt;$Y14,AND(MID($A15,5,1)=" "))</formula>
    </cfRule>
    <cfRule type="expression" dxfId="1679" priority="3127">
      <formula>IF($Y17&gt;$Y14,AND(MID($A15,5,1)="C"))</formula>
    </cfRule>
    <cfRule type="expression" dxfId="1678" priority="3128">
      <formula>IF($Y17&gt;$Y14,AND(MID($A15,5,1)="D"))</formula>
    </cfRule>
  </conditionalFormatting>
  <conditionalFormatting sqref="A16">
    <cfRule type="expression" dxfId="1677" priority="3129">
      <formula>IF($Y17&gt;$Y14,AND(MID($A16,5,1)=" "))</formula>
    </cfRule>
    <cfRule type="expression" dxfId="1676" priority="3130">
      <formula>IF($Y17&gt;$Y14,AND(MID($A16,5,1)="C"))</formula>
    </cfRule>
    <cfRule type="expression" dxfId="1675" priority="3131">
      <formula>IF($Y17&gt;$Y14,AND(MID($A16,5,1)="D"))</formula>
    </cfRule>
  </conditionalFormatting>
  <conditionalFormatting sqref="A17">
    <cfRule type="expression" dxfId="1674" priority="3123">
      <formula>IF($Y17&gt;$Y14,AND(MID($A17,5,1)=" "))</formula>
    </cfRule>
    <cfRule type="expression" dxfId="1673" priority="3124">
      <formula>IF($Y17&gt;$Y14,AND(MID($A17,5,1)="C"))</formula>
    </cfRule>
    <cfRule type="expression" dxfId="1672" priority="3125">
      <formula>IF($Y17&gt;$Y14,AND(MID($A17,5,1)="D"))</formula>
    </cfRule>
  </conditionalFormatting>
  <conditionalFormatting sqref="A14">
    <cfRule type="expression" dxfId="1671" priority="3120">
      <formula>IF($Y17&gt;$Y14,AND(MID($A14,5,1)=" "))</formula>
    </cfRule>
    <cfRule type="expression" dxfId="1670" priority="3121">
      <formula>IF($Y17&gt;$Y14,AND(MID($A14,5,1)="C"))</formula>
    </cfRule>
    <cfRule type="expression" dxfId="1669" priority="3122">
      <formula>IF($Y17&gt;$Y14,AND(MID($A14,5,1)="D"))</formula>
    </cfRule>
  </conditionalFormatting>
  <conditionalFormatting sqref="B12">
    <cfRule type="expression" dxfId="1668" priority="3114">
      <formula>IF($Y13&gt;$Y10,AND(MID($A12,5,1)=" "))</formula>
    </cfRule>
    <cfRule type="expression" dxfId="1667" priority="3115">
      <formula>IF($Y13&gt;$Y10,AND(MID($A12,5,1)="C"))</formula>
    </cfRule>
    <cfRule type="expression" dxfId="1666" priority="3116">
      <formula>IF($Y13&gt;$Y10,AND(MID($A12,5,1)="D"))</formula>
    </cfRule>
  </conditionalFormatting>
  <conditionalFormatting sqref="C12">
    <cfRule type="expression" dxfId="1665" priority="3117">
      <formula>IF($Y13&gt;$Y10,AND(MID($A12,5,1)=" "))</formula>
    </cfRule>
    <cfRule type="expression" dxfId="1664" priority="3118">
      <formula>IF($Y13&gt;$Y10,AND(MID($A12,5,1)="C"))</formula>
    </cfRule>
    <cfRule type="expression" dxfId="1663" priority="3119">
      <formula>IF($Y13&gt;$Y10,AND(MID($A12,5,1)="D"))</formula>
    </cfRule>
  </conditionalFormatting>
  <conditionalFormatting sqref="Y72 Y74">
    <cfRule type="cellIs" dxfId="1662" priority="2903" operator="lessThanOrEqual">
      <formula>0</formula>
    </cfRule>
  </conditionalFormatting>
  <conditionalFormatting sqref="Y73">
    <cfRule type="cellIs" dxfId="1661" priority="2902" operator="equal">
      <formula>0</formula>
    </cfRule>
  </conditionalFormatting>
  <conditionalFormatting sqref="Y75">
    <cfRule type="cellIs" dxfId="1660" priority="2901" operator="equal">
      <formula>0</formula>
    </cfRule>
  </conditionalFormatting>
  <conditionalFormatting sqref="Y71">
    <cfRule type="cellIs" dxfId="1659" priority="2900" operator="equal">
      <formula>0</formula>
    </cfRule>
  </conditionalFormatting>
  <conditionalFormatting sqref="Y78 Y80">
    <cfRule type="cellIs" dxfId="1658" priority="2897" operator="lessThanOrEqual">
      <formula>0</formula>
    </cfRule>
  </conditionalFormatting>
  <conditionalFormatting sqref="Y79">
    <cfRule type="cellIs" dxfId="1657" priority="2896" operator="equal">
      <formula>0</formula>
    </cfRule>
  </conditionalFormatting>
  <conditionalFormatting sqref="Y81">
    <cfRule type="cellIs" dxfId="1656" priority="2895" operator="equal">
      <formula>0</formula>
    </cfRule>
  </conditionalFormatting>
  <conditionalFormatting sqref="Y77">
    <cfRule type="cellIs" dxfId="1655" priority="2894" operator="equal">
      <formula>0</formula>
    </cfRule>
  </conditionalFormatting>
  <conditionalFormatting sqref="Y84 Y86">
    <cfRule type="cellIs" dxfId="1654" priority="2891" operator="lessThanOrEqual">
      <formula>0</formula>
    </cfRule>
  </conditionalFormatting>
  <conditionalFormatting sqref="Y85">
    <cfRule type="cellIs" dxfId="1653" priority="2890" operator="equal">
      <formula>0</formula>
    </cfRule>
  </conditionalFormatting>
  <conditionalFormatting sqref="Y87">
    <cfRule type="cellIs" dxfId="1652" priority="2889" operator="equal">
      <formula>0</formula>
    </cfRule>
  </conditionalFormatting>
  <conditionalFormatting sqref="Y83">
    <cfRule type="cellIs" dxfId="1651" priority="2888" operator="equal">
      <formula>0</formula>
    </cfRule>
  </conditionalFormatting>
  <conditionalFormatting sqref="Y90 Y92">
    <cfRule type="cellIs" dxfId="1650" priority="2885" operator="lessThanOrEqual">
      <formula>0</formula>
    </cfRule>
  </conditionalFormatting>
  <conditionalFormatting sqref="Y91">
    <cfRule type="cellIs" dxfId="1649" priority="2884" operator="equal">
      <formula>0</formula>
    </cfRule>
  </conditionalFormatting>
  <conditionalFormatting sqref="Y93">
    <cfRule type="cellIs" dxfId="1648" priority="2883" operator="equal">
      <formula>0</formula>
    </cfRule>
  </conditionalFormatting>
  <conditionalFormatting sqref="Y89">
    <cfRule type="cellIs" dxfId="1647" priority="2882" operator="equal">
      <formula>0</formula>
    </cfRule>
  </conditionalFormatting>
  <conditionalFormatting sqref="Y96 Y98">
    <cfRule type="cellIs" dxfId="1646" priority="2879" operator="lessThanOrEqual">
      <formula>0</formula>
    </cfRule>
  </conditionalFormatting>
  <conditionalFormatting sqref="Y97">
    <cfRule type="cellIs" dxfId="1645" priority="2878" operator="equal">
      <formula>0</formula>
    </cfRule>
  </conditionalFormatting>
  <conditionalFormatting sqref="Y99">
    <cfRule type="cellIs" dxfId="1644" priority="2877" operator="equal">
      <formula>0</formula>
    </cfRule>
  </conditionalFormatting>
  <conditionalFormatting sqref="Y95">
    <cfRule type="cellIs" dxfId="1643" priority="2876" operator="equal">
      <formula>0</formula>
    </cfRule>
  </conditionalFormatting>
  <conditionalFormatting sqref="Y102 Y104">
    <cfRule type="cellIs" dxfId="1642" priority="2873" operator="lessThanOrEqual">
      <formula>0</formula>
    </cfRule>
  </conditionalFormatting>
  <conditionalFormatting sqref="Y103">
    <cfRule type="cellIs" dxfId="1641" priority="2872" operator="equal">
      <formula>0</formula>
    </cfRule>
  </conditionalFormatting>
  <conditionalFormatting sqref="Y105">
    <cfRule type="cellIs" dxfId="1640" priority="2871" operator="equal">
      <formula>0</formula>
    </cfRule>
  </conditionalFormatting>
  <conditionalFormatting sqref="Y101">
    <cfRule type="cellIs" dxfId="1639" priority="2870" operator="equal">
      <formula>0</formula>
    </cfRule>
  </conditionalFormatting>
  <conditionalFormatting sqref="Y108 Y110">
    <cfRule type="cellIs" dxfId="1638" priority="2867" operator="lessThanOrEqual">
      <formula>0</formula>
    </cfRule>
  </conditionalFormatting>
  <conditionalFormatting sqref="Y109">
    <cfRule type="cellIs" dxfId="1637" priority="2866" operator="equal">
      <formula>0</formula>
    </cfRule>
  </conditionalFormatting>
  <conditionalFormatting sqref="Y111">
    <cfRule type="cellIs" dxfId="1636" priority="2865" operator="equal">
      <formula>0</formula>
    </cfRule>
  </conditionalFormatting>
  <conditionalFormatting sqref="Y107">
    <cfRule type="cellIs" dxfId="1635" priority="2864" operator="equal">
      <formula>0</formula>
    </cfRule>
  </conditionalFormatting>
  <conditionalFormatting sqref="Y114 Y116">
    <cfRule type="cellIs" dxfId="1634" priority="2861" operator="lessThanOrEqual">
      <formula>0</formula>
    </cfRule>
  </conditionalFormatting>
  <conditionalFormatting sqref="Y115">
    <cfRule type="cellIs" dxfId="1633" priority="2860" operator="equal">
      <formula>0</formula>
    </cfRule>
  </conditionalFormatting>
  <conditionalFormatting sqref="Y117">
    <cfRule type="cellIs" dxfId="1632" priority="2859" operator="equal">
      <formula>0</formula>
    </cfRule>
  </conditionalFormatting>
  <conditionalFormatting sqref="Y113">
    <cfRule type="cellIs" dxfId="1631" priority="2858" operator="equal">
      <formula>0</formula>
    </cfRule>
  </conditionalFormatting>
  <conditionalFormatting sqref="Y120 Y122">
    <cfRule type="cellIs" dxfId="1630" priority="2855" operator="lessThanOrEqual">
      <formula>0</formula>
    </cfRule>
  </conditionalFormatting>
  <conditionalFormatting sqref="Y121">
    <cfRule type="cellIs" dxfId="1629" priority="2854" operator="equal">
      <formula>0</formula>
    </cfRule>
  </conditionalFormatting>
  <conditionalFormatting sqref="Y123">
    <cfRule type="cellIs" dxfId="1628" priority="2853" operator="equal">
      <formula>0</formula>
    </cfRule>
  </conditionalFormatting>
  <conditionalFormatting sqref="Y119">
    <cfRule type="cellIs" dxfId="1627" priority="2852" operator="equal">
      <formula>0</formula>
    </cfRule>
  </conditionalFormatting>
  <conditionalFormatting sqref="Y126 Y128">
    <cfRule type="cellIs" dxfId="1626" priority="2849" operator="lessThanOrEqual">
      <formula>0</formula>
    </cfRule>
  </conditionalFormatting>
  <conditionalFormatting sqref="Y127">
    <cfRule type="cellIs" dxfId="1625" priority="2848" operator="equal">
      <formula>0</formula>
    </cfRule>
  </conditionalFormatting>
  <conditionalFormatting sqref="Y129">
    <cfRule type="cellIs" dxfId="1624" priority="2847" operator="equal">
      <formula>0</formula>
    </cfRule>
  </conditionalFormatting>
  <conditionalFormatting sqref="Y125">
    <cfRule type="cellIs" dxfId="1623" priority="2846" operator="equal">
      <formula>0</formula>
    </cfRule>
  </conditionalFormatting>
  <conditionalFormatting sqref="Y132 Y134">
    <cfRule type="cellIs" dxfId="1622" priority="2843" operator="lessThanOrEqual">
      <formula>0</formula>
    </cfRule>
  </conditionalFormatting>
  <conditionalFormatting sqref="Y133">
    <cfRule type="cellIs" dxfId="1621" priority="2842" operator="equal">
      <formula>0</formula>
    </cfRule>
  </conditionalFormatting>
  <conditionalFormatting sqref="Y135">
    <cfRule type="cellIs" dxfId="1620" priority="2841" operator="equal">
      <formula>0</formula>
    </cfRule>
  </conditionalFormatting>
  <conditionalFormatting sqref="Y131">
    <cfRule type="cellIs" dxfId="1619" priority="2840" operator="equal">
      <formula>0</formula>
    </cfRule>
  </conditionalFormatting>
  <conditionalFormatting sqref="Y138 Y140">
    <cfRule type="cellIs" dxfId="1618" priority="2837" operator="lessThanOrEqual">
      <formula>0</formula>
    </cfRule>
  </conditionalFormatting>
  <conditionalFormatting sqref="Y139">
    <cfRule type="cellIs" dxfId="1617" priority="2836" operator="equal">
      <formula>0</formula>
    </cfRule>
  </conditionalFormatting>
  <conditionalFormatting sqref="Y141">
    <cfRule type="cellIs" dxfId="1616" priority="2835" operator="equal">
      <formula>0</formula>
    </cfRule>
  </conditionalFormatting>
  <conditionalFormatting sqref="Y137">
    <cfRule type="cellIs" dxfId="1615" priority="2834" operator="equal">
      <formula>0</formula>
    </cfRule>
  </conditionalFormatting>
  <conditionalFormatting sqref="Y144 Y146">
    <cfRule type="cellIs" dxfId="1614" priority="2831" operator="lessThanOrEqual">
      <formula>0</formula>
    </cfRule>
  </conditionalFormatting>
  <conditionalFormatting sqref="Y145">
    <cfRule type="cellIs" dxfId="1613" priority="2830" operator="equal">
      <formula>0</formula>
    </cfRule>
  </conditionalFormatting>
  <conditionalFormatting sqref="Y147">
    <cfRule type="cellIs" dxfId="1612" priority="2829" operator="equal">
      <formula>0</formula>
    </cfRule>
  </conditionalFormatting>
  <conditionalFormatting sqref="Y143">
    <cfRule type="cellIs" dxfId="1611" priority="2828" operator="equal">
      <formula>0</formula>
    </cfRule>
  </conditionalFormatting>
  <conditionalFormatting sqref="Y150 Y152">
    <cfRule type="cellIs" dxfId="1610" priority="2825" operator="lessThanOrEqual">
      <formula>0</formula>
    </cfRule>
  </conditionalFormatting>
  <conditionalFormatting sqref="Y151">
    <cfRule type="cellIs" dxfId="1609" priority="2824" operator="equal">
      <formula>0</formula>
    </cfRule>
  </conditionalFormatting>
  <conditionalFormatting sqref="Y153">
    <cfRule type="cellIs" dxfId="1608" priority="2823" operator="equal">
      <formula>0</formula>
    </cfRule>
  </conditionalFormatting>
  <conditionalFormatting sqref="Y149">
    <cfRule type="cellIs" dxfId="1607" priority="2822" operator="equal">
      <formula>0</formula>
    </cfRule>
  </conditionalFormatting>
  <conditionalFormatting sqref="Y156 Y158">
    <cfRule type="cellIs" dxfId="1606" priority="2819" operator="lessThanOrEqual">
      <formula>0</formula>
    </cfRule>
  </conditionalFormatting>
  <conditionalFormatting sqref="Y157">
    <cfRule type="cellIs" dxfId="1605" priority="2818" operator="equal">
      <formula>0</formula>
    </cfRule>
  </conditionalFormatting>
  <conditionalFormatting sqref="Y159">
    <cfRule type="cellIs" dxfId="1604" priority="2817" operator="equal">
      <formula>0</formula>
    </cfRule>
  </conditionalFormatting>
  <conditionalFormatting sqref="Y155">
    <cfRule type="cellIs" dxfId="1603" priority="2816" operator="equal">
      <formula>0</formula>
    </cfRule>
  </conditionalFormatting>
  <conditionalFormatting sqref="Y162 Y164">
    <cfRule type="cellIs" dxfId="1602" priority="2813" operator="lessThanOrEqual">
      <formula>0</formula>
    </cfRule>
  </conditionalFormatting>
  <conditionalFormatting sqref="Y163">
    <cfRule type="cellIs" dxfId="1601" priority="2812" operator="equal">
      <formula>0</formula>
    </cfRule>
  </conditionalFormatting>
  <conditionalFormatting sqref="Y165">
    <cfRule type="cellIs" dxfId="1600" priority="2811" operator="equal">
      <formula>0</formula>
    </cfRule>
  </conditionalFormatting>
  <conditionalFormatting sqref="Y161">
    <cfRule type="cellIs" dxfId="1599" priority="2810" operator="equal">
      <formula>0</formula>
    </cfRule>
  </conditionalFormatting>
  <conditionalFormatting sqref="Y168 Y170 Y174 Y180 Y186 Y192 Y198 Y176 Y182 Y188 Y194 Y200">
    <cfRule type="cellIs" dxfId="1598" priority="2807" operator="lessThanOrEqual">
      <formula>0</formula>
    </cfRule>
  </conditionalFormatting>
  <conditionalFormatting sqref="Y169 Y175 Y181 Y187 Y193 Y199">
    <cfRule type="cellIs" dxfId="1597" priority="2806" operator="equal">
      <formula>0</formula>
    </cfRule>
  </conditionalFormatting>
  <conditionalFormatting sqref="Y171 Y177 Y183 Y189 Y195 Y201">
    <cfRule type="cellIs" dxfId="1596" priority="2805" operator="equal">
      <formula>0</formula>
    </cfRule>
  </conditionalFormatting>
  <conditionalFormatting sqref="Y167 Y173 Y179 Y185 Y191 Y197">
    <cfRule type="cellIs" dxfId="1595" priority="2804" operator="equal">
      <formula>0</formula>
    </cfRule>
  </conditionalFormatting>
  <conditionalFormatting sqref="D54">
    <cfRule type="expression" dxfId="1594" priority="2798">
      <formula>E54&gt;B54</formula>
    </cfRule>
  </conditionalFormatting>
  <conditionalFormatting sqref="C54">
    <cfRule type="expression" dxfId="1593" priority="2797">
      <formula>B54&gt;E54</formula>
    </cfRule>
  </conditionalFormatting>
  <conditionalFormatting sqref="B54">
    <cfRule type="cellIs" dxfId="1592" priority="2796" operator="greaterThan">
      <formula>E54</formula>
    </cfRule>
  </conditionalFormatting>
  <conditionalFormatting sqref="E54">
    <cfRule type="cellIs" dxfId="1591" priority="2795" operator="greaterThan">
      <formula>B54</formula>
    </cfRule>
  </conditionalFormatting>
  <conditionalFormatting sqref="AA2">
    <cfRule type="expression" dxfId="1590" priority="2760">
      <formula>IF($Y5&gt;$Y2,AND(MID($A2,5,1)=" "))</formula>
    </cfRule>
    <cfRule type="expression" dxfId="1589" priority="2761">
      <formula>IF($Y5&gt;$Y2,AND(MID($A2,5,1)="C"))</formula>
    </cfRule>
    <cfRule type="expression" dxfId="1588" priority="2762">
      <formula>IF($Y5&gt;$Y2,AND(MID($A2,5,1)="D"))</formula>
    </cfRule>
  </conditionalFormatting>
  <conditionalFormatting sqref="AA4">
    <cfRule type="expression" dxfId="1587" priority="2715">
      <formula>IF($Y5&gt;$Y2,AND(MID($A4,5,1)=" "))</formula>
    </cfRule>
    <cfRule type="expression" dxfId="1586" priority="2716">
      <formula>IF($Y5&gt;$Y2,AND(MID($A4,5,1)="C"))</formula>
    </cfRule>
    <cfRule type="expression" dxfId="1585" priority="2717">
      <formula>IF($Y5&gt;$Y2,AND(MID($A4,5,1)="D"))</formula>
    </cfRule>
  </conditionalFormatting>
  <conditionalFormatting sqref="AA6">
    <cfRule type="expression" dxfId="1584" priority="2709">
      <formula>IF($Y9&gt;$Y6,AND(MID($A6,5,1)=" "))</formula>
    </cfRule>
    <cfRule type="expression" dxfId="1583" priority="2710">
      <formula>IF($Y9&gt;$Y6,AND(MID($A6,5,1)="C"))</formula>
    </cfRule>
    <cfRule type="expression" dxfId="1582" priority="2711">
      <formula>IF($Y9&gt;$Y6,AND(MID($A6,5,1)="D"))</formula>
    </cfRule>
  </conditionalFormatting>
  <conditionalFormatting sqref="AA8">
    <cfRule type="expression" dxfId="1581" priority="2706">
      <formula>IF($Y9&gt;$Y6,AND(MID($A8,5,1)=" "))</formula>
    </cfRule>
    <cfRule type="expression" dxfId="1580" priority="2707">
      <formula>IF($Y9&gt;$Y6,AND(MID($A8,5,1)="C"))</formula>
    </cfRule>
    <cfRule type="expression" dxfId="1579" priority="2708">
      <formula>IF($Y9&gt;$Y6,AND(MID($A8,5,1)="D"))</formula>
    </cfRule>
  </conditionalFormatting>
  <conditionalFormatting sqref="AA10">
    <cfRule type="expression" dxfId="1578" priority="2703">
      <formula>IF($Y13&gt;$Y10,AND(MID($A10,5,1)=" "))</formula>
    </cfRule>
    <cfRule type="expression" dxfId="1577" priority="2704">
      <formula>IF($Y13&gt;$Y10,AND(MID($A10,5,1)="C"))</formula>
    </cfRule>
    <cfRule type="expression" dxfId="1576" priority="2705">
      <formula>IF($Y13&gt;$Y10,AND(MID($A10,5,1)="D"))</formula>
    </cfRule>
  </conditionalFormatting>
  <conditionalFormatting sqref="AA12">
    <cfRule type="expression" dxfId="1575" priority="2700">
      <formula>IF($Y13&gt;$Y10,AND(MID($A12,5,1)=" "))</formula>
    </cfRule>
    <cfRule type="expression" dxfId="1574" priority="2701">
      <formula>IF($Y13&gt;$Y10,AND(MID($A12,5,1)="C"))</formula>
    </cfRule>
    <cfRule type="expression" dxfId="1573" priority="2702">
      <formula>IF($Y13&gt;$Y10,AND(MID($A12,5,1)="D"))</formula>
    </cfRule>
  </conditionalFormatting>
  <conditionalFormatting sqref="AA14">
    <cfRule type="expression" dxfId="1572" priority="2697">
      <formula>IF($Y17&gt;$Y14,AND(MID($A14,5,1)=" "))</formula>
    </cfRule>
    <cfRule type="expression" dxfId="1571" priority="2698">
      <formula>IF($Y17&gt;$Y14,AND(MID($A14,5,1)="C"))</formula>
    </cfRule>
    <cfRule type="expression" dxfId="1570" priority="2699">
      <formula>IF($Y17&gt;$Y14,AND(MID($A14,5,1)="D"))</formula>
    </cfRule>
  </conditionalFormatting>
  <conditionalFormatting sqref="AA16">
    <cfRule type="expression" dxfId="1569" priority="2694">
      <formula>IF($Y17&gt;$Y14,AND(MID($A16,5,1)=" "))</formula>
    </cfRule>
    <cfRule type="expression" dxfId="1568" priority="2695">
      <formula>IF($Y17&gt;$Y14,AND(MID($A16,5,1)="C"))</formula>
    </cfRule>
    <cfRule type="expression" dxfId="1567" priority="2696">
      <formula>IF($Y17&gt;$Y14,AND(MID($A16,5,1)="D"))</formula>
    </cfRule>
  </conditionalFormatting>
  <conditionalFormatting sqref="AA18 AA22">
    <cfRule type="expression" dxfId="1566" priority="2691">
      <formula>IF($Y21&gt;$Y18,AND(MID($A18,5,1)=" "))</formula>
    </cfRule>
    <cfRule type="expression" dxfId="1565" priority="2692">
      <formula>IF($Y21&gt;$Y18,AND(MID($A18,5,1)="C"))</formula>
    </cfRule>
    <cfRule type="expression" dxfId="1564" priority="2693">
      <formula>IF($Y21&gt;$Y18,AND(MID($A18,5,1)="D"))</formula>
    </cfRule>
  </conditionalFormatting>
  <conditionalFormatting sqref="AA20 AA24">
    <cfRule type="expression" dxfId="1563" priority="2688">
      <formula>IF($Y21&gt;$Y18,AND(MID($A20,5,1)=" "))</formula>
    </cfRule>
    <cfRule type="expression" dxfId="1562" priority="2689">
      <formula>IF($Y21&gt;$Y18,AND(MID($A20,5,1)="C"))</formula>
    </cfRule>
    <cfRule type="expression" dxfId="1561" priority="2690">
      <formula>IF($Y21&gt;$Y18,AND(MID($A20,5,1)="D"))</formula>
    </cfRule>
  </conditionalFormatting>
  <conditionalFormatting sqref="Y21 Y25">
    <cfRule type="expression" dxfId="1560" priority="2670">
      <formula>IF($Y22&gt;$Y19,AND(MID($A21,5,1)=" "))</formula>
    </cfRule>
    <cfRule type="expression" dxfId="1559" priority="2671">
      <formula>IF($Y22&gt;$Y19,AND(MID($A21,5,1)="C"))</formula>
    </cfRule>
    <cfRule type="expression" dxfId="1558" priority="2672">
      <formula>IF($Y22&gt;$Y19,AND(MID($A21,5,1)="D"))</formula>
    </cfRule>
  </conditionalFormatting>
  <conditionalFormatting sqref="Y13">
    <cfRule type="cellIs" dxfId="1557" priority="2151" operator="equal">
      <formula>0</formula>
    </cfRule>
    <cfRule type="expression" dxfId="1556" priority="2664">
      <formula>IF($Y13&gt;$Y10,AND(MID($A13,5,1)=" "))</formula>
    </cfRule>
    <cfRule type="expression" dxfId="1555" priority="2665">
      <formula>IF($Y13&gt;$Y10,AND(MID($A13,5,1)="C"))</formula>
    </cfRule>
    <cfRule type="expression" dxfId="1554" priority="2666">
      <formula>IF($Y13&gt;$Y10,AND(MID($A13,5,1)="D"))</formula>
    </cfRule>
  </conditionalFormatting>
  <conditionalFormatting sqref="Y9">
    <cfRule type="cellIs" dxfId="1553" priority="2152" operator="equal">
      <formula>0</formula>
    </cfRule>
    <cfRule type="expression" dxfId="1552" priority="2661">
      <formula>IF($Y9&gt;$Y6,AND(MID($A9,5,1)=" "))</formula>
    </cfRule>
    <cfRule type="expression" dxfId="1551" priority="2662">
      <formula>IF($Y9&gt;$Y6,AND(MID($A9,5,1)="C"))</formula>
    </cfRule>
    <cfRule type="expression" dxfId="1550" priority="2663">
      <formula>IF($Y9&gt;$Y6,AND(MID($A9,5,1)="D"))</formula>
    </cfRule>
  </conditionalFormatting>
  <conditionalFormatting sqref="Y5">
    <cfRule type="cellIs" dxfId="1549" priority="2153" operator="equal">
      <formula>0</formula>
    </cfRule>
    <cfRule type="expression" dxfId="1548" priority="2658">
      <formula>IF($Y5&gt;$Y2,AND(MID($A5,5,1)=" "))</formula>
    </cfRule>
    <cfRule type="expression" dxfId="1547" priority="2659">
      <formula>IF($Y5&gt;$Y2,AND(MID($A5,5,1)="C"))</formula>
    </cfRule>
    <cfRule type="expression" dxfId="1546" priority="2660">
      <formula>IF($Y5&gt;$Y2,AND(MID($A5,5,1)="D"))</formula>
    </cfRule>
  </conditionalFormatting>
  <conditionalFormatting sqref="B18">
    <cfRule type="expression" dxfId="1545" priority="2244">
      <formula>IF($Y21&gt;$Y18,AND(MID($A18,5,1)=" "))</formula>
    </cfRule>
    <cfRule type="expression" dxfId="1544" priority="2245">
      <formula>IF($Y21&gt;$Y18,AND(MID($A18,5,1)="C"))</formula>
    </cfRule>
    <cfRule type="expression" dxfId="1543" priority="2246">
      <formula>IF($Y21&gt;$Y18,AND(MID($A18,5,1)="D"))</formula>
    </cfRule>
  </conditionalFormatting>
  <conditionalFormatting sqref="E19">
    <cfRule type="expression" dxfId="1542" priority="2247">
      <formula>IF($Y21&gt;$Y18,AND(MID($A19,5,1)=" "))</formula>
    </cfRule>
    <cfRule type="expression" dxfId="1541" priority="2248">
      <formula>IF($Y21&gt;$Y18,AND(MID($A19,5,1)="C"))</formula>
    </cfRule>
    <cfRule type="expression" dxfId="1540" priority="2249">
      <formula>IF($Y21&gt;$Y18,AND(MID($A19,5,1)="D"))</formula>
    </cfRule>
  </conditionalFormatting>
  <conditionalFormatting sqref="B20">
    <cfRule type="expression" dxfId="1539" priority="2250">
      <formula>IF($Y21&gt;$Y18,AND(MID($A20,5,1)=" "))</formula>
    </cfRule>
    <cfRule type="expression" dxfId="1538" priority="2251">
      <formula>IF($Y21&gt;$Y18,AND(MID($A20,5,1)="C"))</formula>
    </cfRule>
    <cfRule type="expression" dxfId="1537" priority="2252">
      <formula>IF($Y21&gt;$Y18,AND(MID($A20,5,1)="D"))</formula>
    </cfRule>
  </conditionalFormatting>
  <conditionalFormatting sqref="E21">
    <cfRule type="expression" dxfId="1536" priority="2253">
      <formula>IF($Y21&gt;$Y18,AND(MID($A21,5,1)=" "))</formula>
    </cfRule>
    <cfRule type="expression" dxfId="1535" priority="2254">
      <formula>IF($Y21&gt;$Y18,AND(MID($A21,5,1)="C"))</formula>
    </cfRule>
    <cfRule type="expression" dxfId="1534" priority="2255">
      <formula>IF($Y21&gt;$Y18,AND(MID($A21,5,1)="D"))</formula>
    </cfRule>
  </conditionalFormatting>
  <conditionalFormatting sqref="C18">
    <cfRule type="expression" dxfId="1533" priority="2256">
      <formula>IF($Y21&gt;$Y18,AND(MID($A18,5,1)=" "))</formula>
    </cfRule>
    <cfRule type="expression" dxfId="1532" priority="2257">
      <formula>IF($Y21&gt;$Y18,AND(MID($A18,5,1)="C"))</formula>
    </cfRule>
    <cfRule type="expression" dxfId="1531" priority="2258">
      <formula>IF($Y21&gt;$Y18,AND(MID($A18,5,1)="D"))</formula>
    </cfRule>
  </conditionalFormatting>
  <conditionalFormatting sqref="D19">
    <cfRule type="expression" dxfId="1530" priority="2259">
      <formula>IF($Y21&gt;$Y18,AND(MID($A19,5,1)=" "))</formula>
    </cfRule>
    <cfRule type="expression" dxfId="1529" priority="2260">
      <formula>IF($Y21&gt;$Y18,AND(MID($A19,5,1)="C"))</formula>
    </cfRule>
    <cfRule type="expression" dxfId="1528" priority="2261">
      <formula>IF($Y21&gt;$Y18,AND(MID($A19,5,1)="D"))</formula>
    </cfRule>
  </conditionalFormatting>
  <conditionalFormatting sqref="D21">
    <cfRule type="expression" dxfId="1527" priority="2262">
      <formula>IF($Y21&gt;$Y18,AND(MID($A21,5,1)=" "))</formula>
    </cfRule>
    <cfRule type="expression" dxfId="1526" priority="2263">
      <formula>IF($Y21&gt;$Y18,AND(MID($A21,5,1)="C"))</formula>
    </cfRule>
    <cfRule type="expression" dxfId="1525" priority="2264">
      <formula>IF($Y21&gt;$Y18,AND(MID($A21,5,1)="D"))</formula>
    </cfRule>
  </conditionalFormatting>
  <conditionalFormatting sqref="C20">
    <cfRule type="expression" dxfId="1524" priority="2265">
      <formula>IF($Y21&gt;$Y18,AND(MID($A20,5,1)=" "))</formula>
    </cfRule>
    <cfRule type="expression" dxfId="1523" priority="2266">
      <formula>IF($Y21&gt;$Y18,AND(MID($A20,5,1)="C"))</formula>
    </cfRule>
    <cfRule type="expression" dxfId="1522" priority="2267">
      <formula>IF($Y21&gt;$Y18,AND(MID($A20,5,1)="D"))</formula>
    </cfRule>
  </conditionalFormatting>
  <conditionalFormatting sqref="A19">
    <cfRule type="expression" dxfId="1521" priority="2238">
      <formula>IF($Y21&gt;$Y18,AND(MID($A19,5,1)=" "))</formula>
    </cfRule>
    <cfRule type="expression" dxfId="1520" priority="2239">
      <formula>IF($Y21&gt;$Y18,AND(MID($A19,5,1)="C"))</formula>
    </cfRule>
    <cfRule type="expression" dxfId="1519" priority="2240">
      <formula>IF($Y21&gt;$Y18,AND(MID($A19,5,1)="D"))</formula>
    </cfRule>
  </conditionalFormatting>
  <conditionalFormatting sqref="A20">
    <cfRule type="expression" dxfId="1518" priority="2241">
      <formula>IF($Y21&gt;$Y18,AND(MID($A20,5,1)=" "))</formula>
    </cfRule>
    <cfRule type="expression" dxfId="1517" priority="2242">
      <formula>IF($Y21&gt;$Y18,AND(MID($A20,5,1)="C"))</formula>
    </cfRule>
    <cfRule type="expression" dxfId="1516" priority="2243">
      <formula>IF($Y21&gt;$Y18,AND(MID($A20,5,1)="D"))</formula>
    </cfRule>
  </conditionalFormatting>
  <conditionalFormatting sqref="A21">
    <cfRule type="expression" dxfId="1515" priority="2235">
      <formula>IF($Y21&gt;$Y18,AND(MID($A21,5,1)=" "))</formula>
    </cfRule>
    <cfRule type="expression" dxfId="1514" priority="2236">
      <formula>IF($Y21&gt;$Y18,AND(MID($A21,5,1)="C"))</formula>
    </cfRule>
    <cfRule type="expression" dxfId="1513" priority="2237">
      <formula>IF($Y21&gt;$Y18,AND(MID($A21,5,1)="D"))</formula>
    </cfRule>
  </conditionalFormatting>
  <conditionalFormatting sqref="A18">
    <cfRule type="expression" dxfId="1512" priority="2232">
      <formula>IF($Y21&gt;$Y18,AND(MID($A18,5,1)=" "))</formula>
    </cfRule>
    <cfRule type="expression" dxfId="1511" priority="2233">
      <formula>IF($Y21&gt;$Y18,AND(MID($A18,5,1)="C"))</formula>
    </cfRule>
    <cfRule type="expression" dxfId="1510" priority="2234">
      <formula>IF($Y21&gt;$Y18,AND(MID($A18,5,1)="D"))</formula>
    </cfRule>
  </conditionalFormatting>
  <conditionalFormatting sqref="A11">
    <cfRule type="expression" dxfId="1509" priority="2226">
      <formula>IF($Y13&gt;$Y10,AND(MID($A11,5,1)=" "))</formula>
    </cfRule>
    <cfRule type="expression" dxfId="1508" priority="2227">
      <formula>IF($Y13&gt;$Y10,AND(MID($A11,5,1)="C"))</formula>
    </cfRule>
    <cfRule type="expression" dxfId="1507" priority="2228">
      <formula>IF($Y13&gt;$Y10,AND(MID($A11,5,1)="D"))</formula>
    </cfRule>
  </conditionalFormatting>
  <conditionalFormatting sqref="A12">
    <cfRule type="expression" dxfId="1506" priority="2229">
      <formula>IF($Y13&gt;$Y10,AND(MID($A12,5,1)=" "))</formula>
    </cfRule>
    <cfRule type="expression" dxfId="1505" priority="2230">
      <formula>IF($Y13&gt;$Y10,AND(MID($A12,5,1)="C"))</formula>
    </cfRule>
    <cfRule type="expression" dxfId="1504" priority="2231">
      <formula>IF($Y13&gt;$Y10,AND(MID($A12,5,1)="D"))</formula>
    </cfRule>
  </conditionalFormatting>
  <conditionalFormatting sqref="A13">
    <cfRule type="expression" dxfId="1503" priority="2223">
      <formula>IF($Y13&gt;$Y10,AND(MID($A13,5,1)=" "))</formula>
    </cfRule>
    <cfRule type="expression" dxfId="1502" priority="2224">
      <formula>IF($Y13&gt;$Y10,AND(MID($A13,5,1)="C"))</formula>
    </cfRule>
    <cfRule type="expression" dxfId="1501" priority="2225">
      <formula>IF($Y13&gt;$Y10,AND(MID($A13,5,1)="D"))</formula>
    </cfRule>
  </conditionalFormatting>
  <conditionalFormatting sqref="A10">
    <cfRule type="expression" dxfId="1500" priority="2220">
      <formula>IF($Y13&gt;$Y10,AND(MID($A10,5,1)=" "))</formula>
    </cfRule>
    <cfRule type="expression" dxfId="1499" priority="2221">
      <formula>IF($Y13&gt;$Y10,AND(MID($A10,5,1)="C"))</formula>
    </cfRule>
    <cfRule type="expression" dxfId="1498" priority="2222">
      <formula>IF($Y13&gt;$Y10,AND(MID($A10,5,1)="D"))</formula>
    </cfRule>
  </conditionalFormatting>
  <conditionalFormatting sqref="A7">
    <cfRule type="expression" dxfId="1497" priority="2214">
      <formula>IF($Y9&gt;$Y6,AND(MID($A7,5,1)=" "))</formula>
    </cfRule>
    <cfRule type="expression" dxfId="1496" priority="2215">
      <formula>IF($Y9&gt;$Y6,AND(MID($A7,5,1)="C"))</formula>
    </cfRule>
    <cfRule type="expression" dxfId="1495" priority="2216">
      <formula>IF($Y9&gt;$Y6,AND(MID($A7,5,1)="D"))</formula>
    </cfRule>
  </conditionalFormatting>
  <conditionalFormatting sqref="A8">
    <cfRule type="expression" dxfId="1494" priority="2217">
      <formula>IF($Y9&gt;$Y6,AND(MID($A8,5,1)=" "))</formula>
    </cfRule>
    <cfRule type="expression" dxfId="1493" priority="2218">
      <formula>IF($Y9&gt;$Y6,AND(MID($A8,5,1)="C"))</formula>
    </cfRule>
    <cfRule type="expression" dxfId="1492" priority="2219">
      <formula>IF($Y9&gt;$Y6,AND(MID($A8,5,1)="D"))</formula>
    </cfRule>
  </conditionalFormatting>
  <conditionalFormatting sqref="A9">
    <cfRule type="expression" dxfId="1491" priority="2211">
      <formula>IF($Y9&gt;$Y6,AND(MID($A9,5,1)=" "))</formula>
    </cfRule>
    <cfRule type="expression" dxfId="1490" priority="2212">
      <formula>IF($Y9&gt;$Y6,AND(MID($A9,5,1)="C"))</formula>
    </cfRule>
    <cfRule type="expression" dxfId="1489" priority="2213">
      <formula>IF($Y9&gt;$Y6,AND(MID($A9,5,1)="D"))</formula>
    </cfRule>
  </conditionalFormatting>
  <conditionalFormatting sqref="A6">
    <cfRule type="expression" dxfId="1488" priority="2208">
      <formula>IF($Y9&gt;$Y6,AND(MID($A6,5,1)=" "))</formula>
    </cfRule>
    <cfRule type="expression" dxfId="1487" priority="2209">
      <formula>IF($Y9&gt;$Y6,AND(MID($A6,5,1)="C"))</formula>
    </cfRule>
    <cfRule type="expression" dxfId="1486" priority="2210">
      <formula>IF($Y9&gt;$Y6,AND(MID($A6,5,1)="D"))</formula>
    </cfRule>
  </conditionalFormatting>
  <conditionalFormatting sqref="A3">
    <cfRule type="expression" dxfId="1485" priority="2202">
      <formula>IF($Y5&gt;$Y2,AND(MID($A3,5,1)=" "))</formula>
    </cfRule>
    <cfRule type="expression" dxfId="1484" priority="2203">
      <formula>IF($Y5&gt;$Y2,AND(MID($A3,5,1)="C"))</formula>
    </cfRule>
    <cfRule type="expression" dxfId="1483" priority="2204">
      <formula>IF($Y5&gt;$Y2,AND(MID($A3,5,1)="D"))</formula>
    </cfRule>
  </conditionalFormatting>
  <conditionalFormatting sqref="A4">
    <cfRule type="expression" dxfId="1482" priority="2205">
      <formula>IF($Y5&gt;$Y2,AND(MID($A4,5,1)=" "))</formula>
    </cfRule>
    <cfRule type="expression" dxfId="1481" priority="2206">
      <formula>IF($Y5&gt;$Y2,AND(MID($A4,5,1)="C"))</formula>
    </cfRule>
    <cfRule type="expression" dxfId="1480" priority="2207">
      <formula>IF($Y5&gt;$Y2,AND(MID($A4,5,1)="D"))</formula>
    </cfRule>
  </conditionalFormatting>
  <conditionalFormatting sqref="A5">
    <cfRule type="expression" dxfId="1479" priority="2199">
      <formula>IF($Y5&gt;$Y2,AND(MID($A5,5,1)=" "))</formula>
    </cfRule>
    <cfRule type="expression" dxfId="1478" priority="2200">
      <formula>IF($Y5&gt;$Y2,AND(MID($A5,5,1)="C"))</formula>
    </cfRule>
    <cfRule type="expression" dxfId="1477" priority="2201">
      <formula>IF($Y5&gt;$Y2,AND(MID($A5,5,1)="D"))</formula>
    </cfRule>
  </conditionalFormatting>
  <conditionalFormatting sqref="A2">
    <cfRule type="expression" dxfId="1476" priority="2196">
      <formula>IF($Y5&gt;$Y2,AND(MID($A2,5,1)=" "))</formula>
    </cfRule>
    <cfRule type="expression" dxfId="1475" priority="2197">
      <formula>IF($Y5&gt;$Y2,AND(MID($A2,5,1)="C"))</formula>
    </cfRule>
    <cfRule type="expression" dxfId="1474" priority="2198">
      <formula>IF($Y5&gt;$Y2,AND(MID($A2,5,1)="D"))</formula>
    </cfRule>
  </conditionalFormatting>
  <conditionalFormatting sqref="M30:M39">
    <cfRule type="dataBar" priority="2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473" priority="2169">
      <formula>IF($Y25&gt;$Y22,AND(MID($A22,5,1)=" "))</formula>
    </cfRule>
    <cfRule type="expression" dxfId="1472" priority="2170">
      <formula>IF($Y25&gt;$Y22,AND(MID($A22,5,1)="C"))</formula>
    </cfRule>
    <cfRule type="expression" dxfId="1471" priority="2171">
      <formula>IF($Y25&gt;$Y22,AND(MID($A22,5,1)="D"))</formula>
    </cfRule>
  </conditionalFormatting>
  <conditionalFormatting sqref="E23">
    <cfRule type="expression" dxfId="1470" priority="2172">
      <formula>IF($Y25&gt;$Y22,AND(MID($A23,5,1)=" "))</formula>
    </cfRule>
    <cfRule type="expression" dxfId="1469" priority="2173">
      <formula>IF($Y25&gt;$Y22,AND(MID($A23,5,1)="C"))</formula>
    </cfRule>
    <cfRule type="expression" dxfId="1468" priority="2174">
      <formula>IF($Y25&gt;$Y22,AND(MID($A23,5,1)="D"))</formula>
    </cfRule>
  </conditionalFormatting>
  <conditionalFormatting sqref="B24">
    <cfRule type="expression" dxfId="1467" priority="2175">
      <formula>IF($Y25&gt;$Y22,AND(MID($A24,5,1)=" "))</formula>
    </cfRule>
    <cfRule type="expression" dxfId="1466" priority="2176">
      <formula>IF($Y25&gt;$Y22,AND(MID($A24,5,1)="C"))</formula>
    </cfRule>
    <cfRule type="expression" dxfId="1465" priority="2177">
      <formula>IF($Y25&gt;$Y22,AND(MID($A24,5,1)="D"))</formula>
    </cfRule>
  </conditionalFormatting>
  <conditionalFormatting sqref="E25">
    <cfRule type="expression" dxfId="1464" priority="2178">
      <formula>IF($Y25&gt;$Y22,AND(MID($A25,5,1)=" "))</formula>
    </cfRule>
    <cfRule type="expression" dxfId="1463" priority="2179">
      <formula>IF($Y25&gt;$Y22,AND(MID($A25,5,1)="C"))</formula>
    </cfRule>
    <cfRule type="expression" dxfId="1462" priority="2180">
      <formula>IF($Y25&gt;$Y22,AND(MID($A25,5,1)="D"))</formula>
    </cfRule>
  </conditionalFormatting>
  <conditionalFormatting sqref="C22">
    <cfRule type="expression" dxfId="1461" priority="2181">
      <formula>IF($Y25&gt;$Y22,AND(MID($A22,5,1)=" "))</formula>
    </cfRule>
    <cfRule type="expression" dxfId="1460" priority="2182">
      <formula>IF($Y25&gt;$Y22,AND(MID($A22,5,1)="C"))</formula>
    </cfRule>
    <cfRule type="expression" dxfId="1459" priority="2183">
      <formula>IF($Y25&gt;$Y22,AND(MID($A22,5,1)="D"))</formula>
    </cfRule>
  </conditionalFormatting>
  <conditionalFormatting sqref="D23">
    <cfRule type="expression" dxfId="1458" priority="2184">
      <formula>IF($Y25&gt;$Y22,AND(MID($A23,5,1)=" "))</formula>
    </cfRule>
    <cfRule type="expression" dxfId="1457" priority="2185">
      <formula>IF($Y25&gt;$Y22,AND(MID($A23,5,1)="C"))</formula>
    </cfRule>
    <cfRule type="expression" dxfId="1456" priority="2186">
      <formula>IF($Y25&gt;$Y22,AND(MID($A23,5,1)="D"))</formula>
    </cfRule>
  </conditionalFormatting>
  <conditionalFormatting sqref="D25">
    <cfRule type="expression" dxfId="1455" priority="2187">
      <formula>IF($Y25&gt;$Y22,AND(MID($A25,5,1)=" "))</formula>
    </cfRule>
    <cfRule type="expression" dxfId="1454" priority="2188">
      <formula>IF($Y25&gt;$Y22,AND(MID($A25,5,1)="C"))</formula>
    </cfRule>
    <cfRule type="expression" dxfId="1453" priority="2189">
      <formula>IF($Y25&gt;$Y22,AND(MID($A25,5,1)="D"))</formula>
    </cfRule>
  </conditionalFormatting>
  <conditionalFormatting sqref="C24">
    <cfRule type="expression" dxfId="1452" priority="2190">
      <formula>IF($Y25&gt;$Y22,AND(MID($A24,5,1)=" "))</formula>
    </cfRule>
    <cfRule type="expression" dxfId="1451" priority="2191">
      <formula>IF($Y25&gt;$Y22,AND(MID($A24,5,1)="C"))</formula>
    </cfRule>
    <cfRule type="expression" dxfId="1450" priority="2192">
      <formula>IF($Y25&gt;$Y22,AND(MID($A24,5,1)="D"))</formula>
    </cfRule>
  </conditionalFormatting>
  <conditionalFormatting sqref="A23">
    <cfRule type="expression" dxfId="1449" priority="2163">
      <formula>IF($Y25&gt;$Y22,AND(MID($A23,5,1)=" "))</formula>
    </cfRule>
    <cfRule type="expression" dxfId="1448" priority="2164">
      <formula>IF($Y25&gt;$Y22,AND(MID($A23,5,1)="C"))</formula>
    </cfRule>
    <cfRule type="expression" dxfId="1447" priority="2165">
      <formula>IF($Y25&gt;$Y22,AND(MID($A23,5,1)="D"))</formula>
    </cfRule>
  </conditionalFormatting>
  <conditionalFormatting sqref="A24">
    <cfRule type="expression" dxfId="1446" priority="2166">
      <formula>IF($Y25&gt;$Y22,AND(MID($A24,5,1)=" "))</formula>
    </cfRule>
    <cfRule type="expression" dxfId="1445" priority="2167">
      <formula>IF($Y25&gt;$Y22,AND(MID($A24,5,1)="C"))</formula>
    </cfRule>
    <cfRule type="expression" dxfId="1444" priority="2168">
      <formula>IF($Y25&gt;$Y22,AND(MID($A24,5,1)="D"))</formula>
    </cfRule>
  </conditionalFormatting>
  <conditionalFormatting sqref="A25">
    <cfRule type="expression" dxfId="1443" priority="2160">
      <formula>IF($Y25&gt;$Y22,AND(MID($A25,5,1)=" "))</formula>
    </cfRule>
    <cfRule type="expression" dxfId="1442" priority="2161">
      <formula>IF($Y25&gt;$Y22,AND(MID($A25,5,1)="C"))</formula>
    </cfRule>
    <cfRule type="expression" dxfId="1441" priority="2162">
      <formula>IF($Y25&gt;$Y22,AND(MID($A25,5,1)="D"))</formula>
    </cfRule>
  </conditionalFormatting>
  <conditionalFormatting sqref="A22">
    <cfRule type="expression" dxfId="1440" priority="2157">
      <formula>IF($Y25&gt;$Y22,AND(MID($A22,5,1)=" "))</formula>
    </cfRule>
    <cfRule type="expression" dxfId="1439" priority="2158">
      <formula>IF($Y25&gt;$Y22,AND(MID($A22,5,1)="C"))</formula>
    </cfRule>
    <cfRule type="expression" dxfId="1438" priority="2159">
      <formula>IF($Y25&gt;$Y22,AND(MID($A22,5,1)="D"))</formula>
    </cfRule>
  </conditionalFormatting>
  <conditionalFormatting sqref="Y17">
    <cfRule type="cellIs" dxfId="1437" priority="2150" operator="equal">
      <formula>0</formula>
    </cfRule>
    <cfRule type="expression" dxfId="1436" priority="2154">
      <formula>IF($Y17&gt;$Y14,AND(MID($A17,5,1)=" "))</formula>
    </cfRule>
    <cfRule type="expression" dxfId="1435" priority="2155">
      <formula>IF($Y17&gt;$Y14,AND(MID($A17,5,1)="C"))</formula>
    </cfRule>
    <cfRule type="expression" dxfId="1434" priority="2156">
      <formula>IF($Y17&gt;$Y14,AND(MID($A17,5,1)="D"))</formula>
    </cfRule>
  </conditionalFormatting>
  <conditionalFormatting sqref="Y21">
    <cfRule type="cellIs" dxfId="1433" priority="2149" operator="equal">
      <formula>0</formula>
    </cfRule>
  </conditionalFormatting>
  <conditionalFormatting sqref="Y25">
    <cfRule type="cellIs" dxfId="1432" priority="2148" operator="equal">
      <formula>0</formula>
    </cfRule>
  </conditionalFormatting>
  <conditionalFormatting sqref="D61">
    <cfRule type="expression" dxfId="1431" priority="2147">
      <formula>E61&gt;B61</formula>
    </cfRule>
  </conditionalFormatting>
  <conditionalFormatting sqref="C61">
    <cfRule type="expression" dxfId="1430" priority="2146">
      <formula>B61&gt;E61</formula>
    </cfRule>
  </conditionalFormatting>
  <conditionalFormatting sqref="D60">
    <cfRule type="expression" dxfId="1429" priority="2145">
      <formula>E60&gt;B60</formula>
    </cfRule>
  </conditionalFormatting>
  <conditionalFormatting sqref="C60">
    <cfRule type="expression" dxfId="1428" priority="2144">
      <formula>B60&gt;E60</formula>
    </cfRule>
  </conditionalFormatting>
  <conditionalFormatting sqref="B61">
    <cfRule type="cellIs" dxfId="1427" priority="2143" operator="greaterThan">
      <formula>E61</formula>
    </cfRule>
  </conditionalFormatting>
  <conditionalFormatting sqref="B60">
    <cfRule type="cellIs" dxfId="1426" priority="2142" operator="greaterThan">
      <formula>E60</formula>
    </cfRule>
  </conditionalFormatting>
  <conditionalFormatting sqref="E61">
    <cfRule type="cellIs" dxfId="1425" priority="2141" operator="greaterThan">
      <formula>B61</formula>
    </cfRule>
  </conditionalFormatting>
  <conditionalFormatting sqref="E60">
    <cfRule type="cellIs" dxfId="1424" priority="2140" operator="greaterThan">
      <formula>B60</formula>
    </cfRule>
  </conditionalFormatting>
  <conditionalFormatting sqref="Z40:Z44 Z47:Z49">
    <cfRule type="cellIs" dxfId="1423" priority="2139" operator="equal">
      <formula>0</formula>
    </cfRule>
  </conditionalFormatting>
  <conditionalFormatting sqref="Y40:Y44 Y47:Y49">
    <cfRule type="cellIs" dxfId="1422" priority="2138" operator="equal">
      <formula>0</formula>
    </cfRule>
  </conditionalFormatting>
  <conditionalFormatting sqref="Y45:Z45">
    <cfRule type="cellIs" dxfId="1421" priority="2137" operator="equal">
      <formula>0</formula>
    </cfRule>
  </conditionalFormatting>
  <conditionalFormatting sqref="Y46:Z46">
    <cfRule type="cellIs" dxfId="1420" priority="2136" operator="equal">
      <formula>0</formula>
    </cfRule>
  </conditionalFormatting>
  <conditionalFormatting sqref="Z50:Z54 Z57:Z59">
    <cfRule type="cellIs" dxfId="1419" priority="2135" operator="equal">
      <formula>0</formula>
    </cfRule>
  </conditionalFormatting>
  <conditionalFormatting sqref="Y50:Y54 Y57:Y59">
    <cfRule type="cellIs" dxfId="1418" priority="2134" operator="equal">
      <formula>0</formula>
    </cfRule>
  </conditionalFormatting>
  <conditionalFormatting sqref="Y55:Z55">
    <cfRule type="cellIs" dxfId="1417" priority="2133" operator="equal">
      <formula>0</formula>
    </cfRule>
  </conditionalFormatting>
  <conditionalFormatting sqref="Y56:Z56">
    <cfRule type="cellIs" dxfId="1416" priority="2132" operator="equal">
      <formula>0</formula>
    </cfRule>
  </conditionalFormatting>
  <conditionalFormatting sqref="Y70">
    <cfRule type="cellIs" dxfId="1415" priority="2117" operator="lessThanOrEqual">
      <formula>0</formula>
    </cfRule>
    <cfRule type="expression" dxfId="1414" priority="2118">
      <formula>(C71)-(D70)&gt;(C71/100)*(1+$AD$1*$AE$1)</formula>
    </cfRule>
  </conditionalFormatting>
  <conditionalFormatting sqref="Y76">
    <cfRule type="cellIs" dxfId="1413" priority="2115" operator="lessThanOrEqual">
      <formula>0</formula>
    </cfRule>
    <cfRule type="expression" dxfId="1412" priority="2116">
      <formula>(C77)-(D76)&gt;(C77/100)*(1+$AD$1*$AE$1)</formula>
    </cfRule>
  </conditionalFormatting>
  <conditionalFormatting sqref="Y82">
    <cfRule type="cellIs" dxfId="1411" priority="2113" operator="lessThanOrEqual">
      <formula>0</formula>
    </cfRule>
    <cfRule type="expression" dxfId="1410" priority="2114">
      <formula>(C83)-(D82)&gt;(C83/100)*(1+$AD$1*$AE$1)</formula>
    </cfRule>
  </conditionalFormatting>
  <conditionalFormatting sqref="Y88">
    <cfRule type="cellIs" dxfId="1409" priority="2111" operator="lessThanOrEqual">
      <formula>0</formula>
    </cfRule>
    <cfRule type="expression" dxfId="1408" priority="2112">
      <formula>(C89)-(D88)&gt;(C89/100)*(1+$AD$1*$AE$1)</formula>
    </cfRule>
  </conditionalFormatting>
  <conditionalFormatting sqref="Y94">
    <cfRule type="cellIs" dxfId="1407" priority="2109" operator="lessThanOrEqual">
      <formula>0</formula>
    </cfRule>
    <cfRule type="expression" dxfId="1406" priority="2110">
      <formula>(C95)-(D94)&gt;(C95/100)*(1+$AD$1*$AE$1)</formula>
    </cfRule>
  </conditionalFormatting>
  <conditionalFormatting sqref="Y100">
    <cfRule type="cellIs" dxfId="1405" priority="2107" operator="lessThanOrEqual">
      <formula>0</formula>
    </cfRule>
    <cfRule type="expression" dxfId="1404" priority="2108">
      <formula>(C101)-(D100)&gt;(C101/100)*(1+$AD$1*$AE$1)</formula>
    </cfRule>
  </conditionalFormatting>
  <conditionalFormatting sqref="Y106">
    <cfRule type="cellIs" dxfId="1403" priority="2105" operator="lessThanOrEqual">
      <formula>0</formula>
    </cfRule>
    <cfRule type="expression" dxfId="1402" priority="2106">
      <formula>(C107)-(D106)&gt;(C107/100)*(1+$AD$1*$AE$1)</formula>
    </cfRule>
  </conditionalFormatting>
  <conditionalFormatting sqref="Y112">
    <cfRule type="cellIs" dxfId="1401" priority="2103" operator="lessThanOrEqual">
      <formula>0</formula>
    </cfRule>
    <cfRule type="expression" dxfId="1400" priority="2104">
      <formula>(C113)-(D112)&gt;(C113/100)*(1+$AD$1*$AE$1)</formula>
    </cfRule>
  </conditionalFormatting>
  <conditionalFormatting sqref="Y118">
    <cfRule type="cellIs" dxfId="1399" priority="2101" operator="lessThanOrEqual">
      <formula>0</formula>
    </cfRule>
    <cfRule type="expression" dxfId="1398" priority="2102">
      <formula>(C119)-(D118)&gt;(C119/100)*(1+$AD$1*$AE$1)</formula>
    </cfRule>
  </conditionalFormatting>
  <conditionalFormatting sqref="Y124">
    <cfRule type="cellIs" dxfId="1397" priority="2099" operator="lessThanOrEqual">
      <formula>0</formula>
    </cfRule>
    <cfRule type="expression" dxfId="1396" priority="2100">
      <formula>(C125)-(D124)&gt;(C125/100)*(1+$AD$1*$AE$1)</formula>
    </cfRule>
  </conditionalFormatting>
  <conditionalFormatting sqref="Y130">
    <cfRule type="cellIs" dxfId="1395" priority="2097" operator="lessThanOrEqual">
      <formula>0</formula>
    </cfRule>
    <cfRule type="expression" dxfId="1394" priority="2098">
      <formula>(C131)-(D130)&gt;(C131/100)*(1+$AD$1*$AE$1)</formula>
    </cfRule>
  </conditionalFormatting>
  <conditionalFormatting sqref="Y136">
    <cfRule type="cellIs" dxfId="1393" priority="2095" operator="lessThanOrEqual">
      <formula>0</formula>
    </cfRule>
    <cfRule type="expression" dxfId="1392" priority="2096">
      <formula>(C137)-(D136)&gt;(C137/100)*(1+$AD$1*$AE$1)</formula>
    </cfRule>
  </conditionalFormatting>
  <conditionalFormatting sqref="Y142">
    <cfRule type="cellIs" dxfId="1391" priority="2093" operator="lessThanOrEqual">
      <formula>0</formula>
    </cfRule>
    <cfRule type="expression" dxfId="1390" priority="2094">
      <formula>(C143)-(D142)&gt;(C143/100)*(1+$AD$1*$AE$1)</formula>
    </cfRule>
  </conditionalFormatting>
  <conditionalFormatting sqref="Y148">
    <cfRule type="cellIs" dxfId="1389" priority="2091" operator="lessThanOrEqual">
      <formula>0</formula>
    </cfRule>
    <cfRule type="expression" dxfId="1388" priority="2092">
      <formula>(C149)-(D148)&gt;(C149/100)*(1+$AD$1*$AE$1)</formula>
    </cfRule>
  </conditionalFormatting>
  <conditionalFormatting sqref="Y154">
    <cfRule type="cellIs" dxfId="1387" priority="2089" operator="lessThanOrEqual">
      <formula>0</formula>
    </cfRule>
    <cfRule type="expression" dxfId="1386" priority="2090">
      <formula>(C155)-(D154)&gt;(C155/100)*(1+$AD$1*$AE$1)</formula>
    </cfRule>
  </conditionalFormatting>
  <conditionalFormatting sqref="Y160">
    <cfRule type="cellIs" dxfId="1385" priority="2087" operator="lessThanOrEqual">
      <formula>0</formula>
    </cfRule>
    <cfRule type="expression" dxfId="1384" priority="2088">
      <formula>(C161)-(D160)&gt;(C161/100)*(1+$AD$1*$AE$1)</formula>
    </cfRule>
  </conditionalFormatting>
  <conditionalFormatting sqref="Y166">
    <cfRule type="cellIs" dxfId="1383" priority="2085" operator="lessThanOrEqual">
      <formula>0</formula>
    </cfRule>
    <cfRule type="expression" dxfId="1382" priority="2086">
      <formula>(C167)-(D166)&gt;(C167/100)*(1+$AD$1*$AE$1)</formula>
    </cfRule>
  </conditionalFormatting>
  <conditionalFormatting sqref="Y172">
    <cfRule type="cellIs" dxfId="1381" priority="2083" operator="lessThanOrEqual">
      <formula>0</formula>
    </cfRule>
    <cfRule type="expression" dxfId="1380" priority="2084">
      <formula>(C173)-(D172)&gt;(C173/100)*(1+$AD$1*$AE$1)</formula>
    </cfRule>
  </conditionalFormatting>
  <conditionalFormatting sqref="Y178">
    <cfRule type="cellIs" dxfId="1379" priority="2081" operator="lessThanOrEqual">
      <formula>0</formula>
    </cfRule>
    <cfRule type="expression" dxfId="1378" priority="2082">
      <formula>(C179)-(D178)&gt;(C179/100)*(1+$AD$1*$AE$1)</formula>
    </cfRule>
  </conditionalFormatting>
  <conditionalFormatting sqref="Y184">
    <cfRule type="cellIs" dxfId="1377" priority="2079" operator="lessThanOrEqual">
      <formula>0</formula>
    </cfRule>
    <cfRule type="expression" dxfId="1376" priority="2080">
      <formula>(C185)-(D184)&gt;(C185/100)*(1+$AD$1*$AE$1)</formula>
    </cfRule>
  </conditionalFormatting>
  <conditionalFormatting sqref="Y190">
    <cfRule type="cellIs" dxfId="1375" priority="2077" operator="lessThanOrEqual">
      <formula>0</formula>
    </cfRule>
    <cfRule type="expression" dxfId="1374" priority="2078">
      <formula>(C191)-(D190)&gt;(C191/100)*(1+$AD$1*$AE$1)</formula>
    </cfRule>
  </conditionalFormatting>
  <conditionalFormatting sqref="Y196">
    <cfRule type="cellIs" dxfId="1373" priority="2075" operator="lessThanOrEqual">
      <formula>0</formula>
    </cfRule>
    <cfRule type="expression" dxfId="1372" priority="2076">
      <formula>(C197)-(D196)&gt;(C197/100)*(1+$AD$1*$AE$1)</formula>
    </cfRule>
  </conditionalFormatting>
  <conditionalFormatting sqref="X10">
    <cfRule type="expression" dxfId="1371" priority="2033">
      <formula>X10*100&gt;C10</formula>
    </cfRule>
    <cfRule type="cellIs" dxfId="1370" priority="2034" operator="equal">
      <formula>0</formula>
    </cfRule>
  </conditionalFormatting>
  <conditionalFormatting sqref="X11">
    <cfRule type="expression" dxfId="1369" priority="2031">
      <formula>X11*100&gt;C11</formula>
    </cfRule>
    <cfRule type="cellIs" dxfId="1368" priority="2032" operator="equal">
      <formula>0</formula>
    </cfRule>
  </conditionalFormatting>
  <conditionalFormatting sqref="X12">
    <cfRule type="expression" dxfId="1367" priority="2029">
      <formula>X12*100&gt;C12</formula>
    </cfRule>
    <cfRule type="cellIs" dxfId="1366" priority="2030" operator="equal">
      <formula>0</formula>
    </cfRule>
  </conditionalFormatting>
  <conditionalFormatting sqref="X13">
    <cfRule type="expression" dxfId="1365" priority="2027">
      <formula>X13*100&gt;C13</formula>
    </cfRule>
    <cfRule type="cellIs" dxfId="1364" priority="2028" operator="equal">
      <formula>0</formula>
    </cfRule>
  </conditionalFormatting>
  <conditionalFormatting sqref="X14">
    <cfRule type="expression" dxfId="1363" priority="2025">
      <formula>X14*100&gt;C14</formula>
    </cfRule>
    <cfRule type="cellIs" dxfId="1362" priority="2026" operator="equal">
      <formula>0</formula>
    </cfRule>
  </conditionalFormatting>
  <conditionalFormatting sqref="X15">
    <cfRule type="expression" dxfId="1361" priority="2023">
      <formula>X15*100&gt;C15</formula>
    </cfRule>
    <cfRule type="cellIs" dxfId="1360" priority="2024" operator="equal">
      <formula>0</formula>
    </cfRule>
  </conditionalFormatting>
  <conditionalFormatting sqref="X16">
    <cfRule type="expression" dxfId="1359" priority="2021">
      <formula>X16*100&gt;C16</formula>
    </cfRule>
    <cfRule type="cellIs" dxfId="1358" priority="2022" operator="equal">
      <formula>0</formula>
    </cfRule>
  </conditionalFormatting>
  <conditionalFormatting sqref="X17">
    <cfRule type="expression" dxfId="1357" priority="2019">
      <formula>X17*100&gt;C17</formula>
    </cfRule>
    <cfRule type="cellIs" dxfId="1356" priority="2020" operator="equal">
      <formula>0</formula>
    </cfRule>
  </conditionalFormatting>
  <conditionalFormatting sqref="X18">
    <cfRule type="expression" dxfId="1355" priority="2017">
      <formula>X18*100&gt;C18</formula>
    </cfRule>
    <cfRule type="cellIs" dxfId="1354" priority="2018" operator="equal">
      <formula>0</formula>
    </cfRule>
  </conditionalFormatting>
  <conditionalFormatting sqref="X19">
    <cfRule type="expression" dxfId="1353" priority="2015">
      <formula>X19*100&gt;C19</formula>
    </cfRule>
    <cfRule type="cellIs" dxfId="1352" priority="2016" operator="equal">
      <formula>0</formula>
    </cfRule>
  </conditionalFormatting>
  <conditionalFormatting sqref="X20">
    <cfRule type="expression" dxfId="1351" priority="2013">
      <formula>X20*100&gt;C20</formula>
    </cfRule>
    <cfRule type="cellIs" dxfId="1350" priority="2014" operator="equal">
      <formula>0</formula>
    </cfRule>
  </conditionalFormatting>
  <conditionalFormatting sqref="X21">
    <cfRule type="expression" dxfId="1349" priority="2011">
      <formula>X21*100&gt;C21</formula>
    </cfRule>
    <cfRule type="cellIs" dxfId="1348" priority="2012" operator="equal">
      <formula>0</formula>
    </cfRule>
  </conditionalFormatting>
  <conditionalFormatting sqref="X22">
    <cfRule type="expression" dxfId="1347" priority="2009">
      <formula>X22*100&gt;C22</formula>
    </cfRule>
    <cfRule type="cellIs" dxfId="1346" priority="2010" operator="equal">
      <formula>0</formula>
    </cfRule>
  </conditionalFormatting>
  <conditionalFormatting sqref="X23">
    <cfRule type="expression" dxfId="1345" priority="2007">
      <formula>X23*100&gt;C23</formula>
    </cfRule>
    <cfRule type="cellIs" dxfId="1344" priority="2008" operator="equal">
      <formula>0</formula>
    </cfRule>
  </conditionalFormatting>
  <conditionalFormatting sqref="X24">
    <cfRule type="expression" dxfId="1343" priority="2005">
      <formula>X24*100&gt;C24</formula>
    </cfRule>
    <cfRule type="cellIs" dxfId="1342" priority="2006" operator="equal">
      <formula>0</formula>
    </cfRule>
  </conditionalFormatting>
  <conditionalFormatting sqref="X25">
    <cfRule type="expression" dxfId="1341" priority="2003">
      <formula>X25*100&gt;C25</formula>
    </cfRule>
    <cfRule type="cellIs" dxfId="1340" priority="2004" operator="equal">
      <formula>0</formula>
    </cfRule>
  </conditionalFormatting>
  <conditionalFormatting sqref="X30">
    <cfRule type="expression" dxfId="1339" priority="1854">
      <formula>C30*100&gt;=X30</formula>
    </cfRule>
    <cfRule type="cellIs" dxfId="1338" priority="1855" operator="equal">
      <formula>0</formula>
    </cfRule>
  </conditionalFormatting>
  <conditionalFormatting sqref="X31">
    <cfRule type="expression" dxfId="1337" priority="1852">
      <formula>C31*100&gt;=X31</formula>
    </cfRule>
    <cfRule type="cellIs" dxfId="1336" priority="1853" operator="equal">
      <formula>0</formula>
    </cfRule>
  </conditionalFormatting>
  <conditionalFormatting sqref="X32">
    <cfRule type="expression" dxfId="1335" priority="1850">
      <formula>C32*100&gt;=X32</formula>
    </cfRule>
    <cfRule type="cellIs" dxfId="1334" priority="1851" operator="equal">
      <formula>0</formula>
    </cfRule>
  </conditionalFormatting>
  <conditionalFormatting sqref="X33">
    <cfRule type="expression" dxfId="1333" priority="1848">
      <formula>C33*100&gt;=X33</formula>
    </cfRule>
    <cfRule type="cellIs" dxfId="1332" priority="1849" operator="equal">
      <formula>0</formula>
    </cfRule>
  </conditionalFormatting>
  <conditionalFormatting sqref="X34">
    <cfRule type="expression" dxfId="1331" priority="1846">
      <formula>C34*100&gt;=X34</formula>
    </cfRule>
    <cfRule type="cellIs" dxfId="1330" priority="1847" operator="equal">
      <formula>0</formula>
    </cfRule>
  </conditionalFormatting>
  <conditionalFormatting sqref="X35">
    <cfRule type="expression" dxfId="1329" priority="1844">
      <formula>C35*100&gt;=X35</formula>
    </cfRule>
    <cfRule type="cellIs" dxfId="1328" priority="1845" operator="equal">
      <formula>0</formula>
    </cfRule>
  </conditionalFormatting>
  <conditionalFormatting sqref="X36">
    <cfRule type="expression" dxfId="1327" priority="1842">
      <formula>C36*100&gt;=X36</formula>
    </cfRule>
    <cfRule type="cellIs" dxfId="1326" priority="1843" operator="equal">
      <formula>0</formula>
    </cfRule>
  </conditionalFormatting>
  <conditionalFormatting sqref="X37">
    <cfRule type="expression" dxfId="1325" priority="1840">
      <formula>C37*100&gt;=X37</formula>
    </cfRule>
    <cfRule type="cellIs" dxfId="1324" priority="1841" operator="equal">
      <formula>0</formula>
    </cfRule>
  </conditionalFormatting>
  <conditionalFormatting sqref="X38">
    <cfRule type="expression" dxfId="1323" priority="1838">
      <formula>C38*100&gt;=X38</formula>
    </cfRule>
    <cfRule type="cellIs" dxfId="1322" priority="1839" operator="equal">
      <formula>0</formula>
    </cfRule>
  </conditionalFormatting>
  <conditionalFormatting sqref="X39">
    <cfRule type="expression" dxfId="1321" priority="1836">
      <formula>C39*100&gt;=X39</formula>
    </cfRule>
    <cfRule type="cellIs" dxfId="1320" priority="1837" operator="equal">
      <formula>0</formula>
    </cfRule>
  </conditionalFormatting>
  <conditionalFormatting sqref="X40">
    <cfRule type="expression" dxfId="1319" priority="1834">
      <formula>C40*100&gt;=X40</formula>
    </cfRule>
    <cfRule type="cellIs" dxfId="1318" priority="1835" operator="equal">
      <formula>0</formula>
    </cfRule>
  </conditionalFormatting>
  <conditionalFormatting sqref="X41">
    <cfRule type="expression" dxfId="1317" priority="1832">
      <formula>C41*100&gt;=X41</formula>
    </cfRule>
    <cfRule type="cellIs" dxfId="1316" priority="1833" operator="equal">
      <formula>0</formula>
    </cfRule>
  </conditionalFormatting>
  <conditionalFormatting sqref="X42">
    <cfRule type="expression" dxfId="1315" priority="1830">
      <formula>C42*100&gt;=X42</formula>
    </cfRule>
    <cfRule type="cellIs" dxfId="1314" priority="1831" operator="equal">
      <formula>0</formula>
    </cfRule>
  </conditionalFormatting>
  <conditionalFormatting sqref="X43">
    <cfRule type="expression" dxfId="1313" priority="1828">
      <formula>C43*100&gt;=X43</formula>
    </cfRule>
    <cfRule type="cellIs" dxfId="1312" priority="1829" operator="equal">
      <formula>0</formula>
    </cfRule>
  </conditionalFormatting>
  <conditionalFormatting sqref="X44">
    <cfRule type="expression" dxfId="1311" priority="1826">
      <formula>C44*100&gt;=X44</formula>
    </cfRule>
    <cfRule type="cellIs" dxfId="1310" priority="1827" operator="equal">
      <formula>0</formula>
    </cfRule>
  </conditionalFormatting>
  <conditionalFormatting sqref="X45">
    <cfRule type="expression" dxfId="1309" priority="1824">
      <formula>C45*100&gt;=X45</formula>
    </cfRule>
    <cfRule type="cellIs" dxfId="1308" priority="1825" operator="equal">
      <formula>0</formula>
    </cfRule>
  </conditionalFormatting>
  <conditionalFormatting sqref="X46">
    <cfRule type="expression" dxfId="1307" priority="1822">
      <formula>C46*100&gt;=X46</formula>
    </cfRule>
    <cfRule type="cellIs" dxfId="1306" priority="1823" operator="equal">
      <formula>0</formula>
    </cfRule>
  </conditionalFormatting>
  <conditionalFormatting sqref="X47">
    <cfRule type="expression" dxfId="1305" priority="1820">
      <formula>C47*100&gt;=X47</formula>
    </cfRule>
    <cfRule type="cellIs" dxfId="1304" priority="1821" operator="equal">
      <formula>0</formula>
    </cfRule>
  </conditionalFormatting>
  <conditionalFormatting sqref="X48">
    <cfRule type="expression" dxfId="1303" priority="1818">
      <formula>C48*100&gt;=X48</formula>
    </cfRule>
    <cfRule type="cellIs" dxfId="1302" priority="1819" operator="equal">
      <formula>0</formula>
    </cfRule>
  </conditionalFormatting>
  <conditionalFormatting sqref="X49">
    <cfRule type="expression" dxfId="1301" priority="1816">
      <formula>C49*100&gt;=X49</formula>
    </cfRule>
    <cfRule type="cellIs" dxfId="1300" priority="1817" operator="equal">
      <formula>0</formula>
    </cfRule>
  </conditionalFormatting>
  <conditionalFormatting sqref="X50">
    <cfRule type="expression" dxfId="1299" priority="1814">
      <formula>C50*100&gt;=X50</formula>
    </cfRule>
    <cfRule type="cellIs" dxfId="1298" priority="1815" operator="equal">
      <formula>0</formula>
    </cfRule>
  </conditionalFormatting>
  <conditionalFormatting sqref="X51">
    <cfRule type="expression" dxfId="1297" priority="1812">
      <formula>C51*100&gt;=X51</formula>
    </cfRule>
    <cfRule type="cellIs" dxfId="1296" priority="1813" operator="equal">
      <formula>0</formula>
    </cfRule>
  </conditionalFormatting>
  <conditionalFormatting sqref="X52">
    <cfRule type="expression" dxfId="1295" priority="1810">
      <formula>C52*100&gt;=X52</formula>
    </cfRule>
    <cfRule type="cellIs" dxfId="1294" priority="1811" operator="equal">
      <formula>0</formula>
    </cfRule>
  </conditionalFormatting>
  <conditionalFormatting sqref="X53">
    <cfRule type="expression" dxfId="1293" priority="1808">
      <formula>C53*100&gt;=X53</formula>
    </cfRule>
    <cfRule type="cellIs" dxfId="1292" priority="1809" operator="equal">
      <formula>0</formula>
    </cfRule>
  </conditionalFormatting>
  <conditionalFormatting sqref="X54">
    <cfRule type="expression" dxfId="1291" priority="1806">
      <formula>C54*100&gt;=X54</formula>
    </cfRule>
    <cfRule type="cellIs" dxfId="1290" priority="1807" operator="equal">
      <formula>0</formula>
    </cfRule>
  </conditionalFormatting>
  <conditionalFormatting sqref="X55">
    <cfRule type="expression" dxfId="1289" priority="1804">
      <formula>C55*100&gt;=X55</formula>
    </cfRule>
    <cfRule type="cellIs" dxfId="1288" priority="1805" operator="equal">
      <formula>0</formula>
    </cfRule>
  </conditionalFormatting>
  <conditionalFormatting sqref="X56">
    <cfRule type="expression" dxfId="1287" priority="1802">
      <formula>C56*100&gt;=X56</formula>
    </cfRule>
    <cfRule type="cellIs" dxfId="1286" priority="1803" operator="equal">
      <formula>0</formula>
    </cfRule>
  </conditionalFormatting>
  <conditionalFormatting sqref="X57">
    <cfRule type="expression" dxfId="1285" priority="1800">
      <formula>C57*100&gt;=X57</formula>
    </cfRule>
    <cfRule type="cellIs" dxfId="1284" priority="1801" operator="equal">
      <formula>0</formula>
    </cfRule>
  </conditionalFormatting>
  <conditionalFormatting sqref="X58">
    <cfRule type="expression" dxfId="1283" priority="1798">
      <formula>C58*100&gt;=X58</formula>
    </cfRule>
    <cfRule type="cellIs" dxfId="1282" priority="1799" operator="equal">
      <formula>0</formula>
    </cfRule>
  </conditionalFormatting>
  <conditionalFormatting sqref="X59">
    <cfRule type="expression" dxfId="1281" priority="1796">
      <formula>C59*100&gt;=X59</formula>
    </cfRule>
    <cfRule type="cellIs" dxfId="1280" priority="1797" operator="equal">
      <formula>0</formula>
    </cfRule>
  </conditionalFormatting>
  <conditionalFormatting sqref="M50:M54">
    <cfRule type="dataBar" priority="1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7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7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25">
    <cfRule type="cellIs" dxfId="1279" priority="1381" operator="greaterThan">
      <formula>D25</formula>
    </cfRule>
    <cfRule type="cellIs" dxfId="1278" priority="1382" operator="lessThan">
      <formula>C25</formula>
    </cfRule>
  </conditionalFormatting>
  <conditionalFormatting sqref="F24">
    <cfRule type="cellIs" dxfId="1277" priority="1379" operator="greaterThan">
      <formula>D24</formula>
    </cfRule>
    <cfRule type="cellIs" dxfId="1276" priority="1380" operator="lessThan">
      <formula>C24</formula>
    </cfRule>
  </conditionalFormatting>
  <conditionalFormatting sqref="F23">
    <cfRule type="cellIs" dxfId="1275" priority="1377" operator="greaterThan">
      <formula>D23</formula>
    </cfRule>
    <cfRule type="cellIs" dxfId="1274" priority="1378" operator="lessThan">
      <formula>C23</formula>
    </cfRule>
  </conditionalFormatting>
  <conditionalFormatting sqref="F22">
    <cfRule type="cellIs" dxfId="1273" priority="1375" operator="greaterThan">
      <formula>D22</formula>
    </cfRule>
    <cfRule type="cellIs" dxfId="1272" priority="1376" operator="lessThan">
      <formula>C22</formula>
    </cfRule>
  </conditionalFormatting>
  <conditionalFormatting sqref="F21">
    <cfRule type="cellIs" dxfId="1271" priority="1373" operator="greaterThan">
      <formula>D21</formula>
    </cfRule>
    <cfRule type="cellIs" dxfId="1270" priority="1374" operator="lessThan">
      <formula>C21</formula>
    </cfRule>
  </conditionalFormatting>
  <conditionalFormatting sqref="F20">
    <cfRule type="cellIs" dxfId="1269" priority="1371" operator="greaterThan">
      <formula>D20</formula>
    </cfRule>
    <cfRule type="cellIs" dxfId="1268" priority="1372" operator="lessThan">
      <formula>C20</formula>
    </cfRule>
  </conditionalFormatting>
  <conditionalFormatting sqref="F19">
    <cfRule type="cellIs" dxfId="1267" priority="1369" operator="greaterThan">
      <formula>D19</formula>
    </cfRule>
    <cfRule type="cellIs" dxfId="1266" priority="1370" operator="lessThan">
      <formula>C19</formula>
    </cfRule>
  </conditionalFormatting>
  <conditionalFormatting sqref="F18">
    <cfRule type="cellIs" dxfId="1265" priority="1367" operator="greaterThan">
      <formula>D18</formula>
    </cfRule>
    <cfRule type="cellIs" dxfId="1264" priority="1368" operator="lessThan">
      <formula>C18</formula>
    </cfRule>
  </conditionalFormatting>
  <conditionalFormatting sqref="F17">
    <cfRule type="cellIs" dxfId="1263" priority="1365" operator="greaterThan">
      <formula>D17</formula>
    </cfRule>
    <cfRule type="cellIs" dxfId="1262" priority="1366" operator="lessThan">
      <formula>C17</formula>
    </cfRule>
  </conditionalFormatting>
  <conditionalFormatting sqref="F16">
    <cfRule type="cellIs" dxfId="1261" priority="1363" operator="greaterThan">
      <formula>D16</formula>
    </cfRule>
    <cfRule type="cellIs" dxfId="1260" priority="1364" operator="lessThan">
      <formula>C16</formula>
    </cfRule>
  </conditionalFormatting>
  <conditionalFormatting sqref="F15">
    <cfRule type="cellIs" dxfId="1259" priority="1361" operator="greaterThan">
      <formula>D15</formula>
    </cfRule>
    <cfRule type="cellIs" dxfId="1258" priority="1362" operator="lessThan">
      <formula>C15</formula>
    </cfRule>
  </conditionalFormatting>
  <conditionalFormatting sqref="F14">
    <cfRule type="cellIs" dxfId="1257" priority="1359" operator="greaterThan">
      <formula>D14</formula>
    </cfRule>
    <cfRule type="cellIs" dxfId="1256" priority="1360" operator="lessThan">
      <formula>C14</formula>
    </cfRule>
  </conditionalFormatting>
  <conditionalFormatting sqref="F13">
    <cfRule type="cellIs" dxfId="1255" priority="1357" operator="greaterThan">
      <formula>D13</formula>
    </cfRule>
    <cfRule type="cellIs" dxfId="1254" priority="1358" operator="lessThan">
      <formula>C13</formula>
    </cfRule>
  </conditionalFormatting>
  <conditionalFormatting sqref="F12">
    <cfRule type="cellIs" dxfId="1253" priority="1355" operator="greaterThan">
      <formula>D12</formula>
    </cfRule>
    <cfRule type="cellIs" dxfId="1252" priority="1356" operator="lessThan">
      <formula>C12</formula>
    </cfRule>
  </conditionalFormatting>
  <conditionalFormatting sqref="F11">
    <cfRule type="cellIs" dxfId="1251" priority="1353" operator="greaterThan">
      <formula>D11</formula>
    </cfRule>
    <cfRule type="cellIs" dxfId="1250" priority="1354" operator="lessThan">
      <formula>C11</formula>
    </cfRule>
  </conditionalFormatting>
  <conditionalFormatting sqref="F10">
    <cfRule type="cellIs" dxfId="1249" priority="1351" operator="greaterThan">
      <formula>D10</formula>
    </cfRule>
    <cfRule type="cellIs" dxfId="1248" priority="1352" operator="lessThan">
      <formula>C10</formula>
    </cfRule>
  </conditionalFormatting>
  <conditionalFormatting sqref="F9">
    <cfRule type="cellIs" dxfId="1247" priority="1349" operator="greaterThan">
      <formula>D9</formula>
    </cfRule>
    <cfRule type="cellIs" dxfId="1246" priority="1350" operator="lessThan">
      <formula>C9</formula>
    </cfRule>
  </conditionalFormatting>
  <conditionalFormatting sqref="F8">
    <cfRule type="cellIs" dxfId="1245" priority="1347" operator="greaterThan">
      <formula>D8</formula>
    </cfRule>
    <cfRule type="cellIs" dxfId="1244" priority="1348" operator="lessThan">
      <formula>C8</formula>
    </cfRule>
  </conditionalFormatting>
  <conditionalFormatting sqref="F7">
    <cfRule type="cellIs" dxfId="1243" priority="1345" operator="greaterThan">
      <formula>D7</formula>
    </cfRule>
    <cfRule type="cellIs" dxfId="1242" priority="1346" operator="lessThan">
      <formula>C7</formula>
    </cfRule>
  </conditionalFormatting>
  <conditionalFormatting sqref="F6">
    <cfRule type="cellIs" dxfId="1241" priority="1343" operator="greaterThan">
      <formula>D6</formula>
    </cfRule>
    <cfRule type="cellIs" dxfId="1240" priority="1344" operator="lessThan">
      <formula>C6</formula>
    </cfRule>
  </conditionalFormatting>
  <conditionalFormatting sqref="F5">
    <cfRule type="cellIs" dxfId="1239" priority="1341" operator="greaterThan">
      <formula>D5</formula>
    </cfRule>
    <cfRule type="cellIs" dxfId="1238" priority="1342" operator="lessThan">
      <formula>C5</formula>
    </cfRule>
  </conditionalFormatting>
  <conditionalFormatting sqref="F4">
    <cfRule type="cellIs" dxfId="1237" priority="1339" operator="greaterThan">
      <formula>D4</formula>
    </cfRule>
    <cfRule type="cellIs" dxfId="1236" priority="1340" operator="lessThan">
      <formula>C4</formula>
    </cfRule>
  </conditionalFormatting>
  <conditionalFormatting sqref="F3">
    <cfRule type="cellIs" dxfId="1235" priority="1337" operator="greaterThan">
      <formula>D3</formula>
    </cfRule>
    <cfRule type="cellIs" dxfId="1234" priority="1338" operator="lessThan">
      <formula>C3</formula>
    </cfRule>
  </conditionalFormatting>
  <conditionalFormatting sqref="F2">
    <cfRule type="cellIs" dxfId="1233" priority="1335" operator="greaterThan">
      <formula>D2</formula>
    </cfRule>
    <cfRule type="cellIs" dxfId="1232" priority="1336" operator="lessThan">
      <formula>C2</formula>
    </cfRule>
  </conditionalFormatting>
  <conditionalFormatting sqref="A38">
    <cfRule type="expression" dxfId="1231" priority="1054">
      <formula>D38&lt;F38</formula>
    </cfRule>
    <cfRule type="expression" dxfId="1230" priority="1055">
      <formula>C38&gt;F38</formula>
    </cfRule>
  </conditionalFormatting>
  <conditionalFormatting sqref="A37">
    <cfRule type="expression" dxfId="1229" priority="1052">
      <formula>D37&lt;F37</formula>
    </cfRule>
    <cfRule type="expression" dxfId="1228" priority="1053">
      <formula>C37&gt;F37</formula>
    </cfRule>
  </conditionalFormatting>
  <conditionalFormatting sqref="A36">
    <cfRule type="expression" dxfId="1227" priority="1050">
      <formula>D36&lt;F36</formula>
    </cfRule>
    <cfRule type="expression" dxfId="1226" priority="1051">
      <formula>C36&gt;F36</formula>
    </cfRule>
  </conditionalFormatting>
  <conditionalFormatting sqref="A35">
    <cfRule type="expression" dxfId="1225" priority="1048">
      <formula>D35&lt;F35</formula>
    </cfRule>
    <cfRule type="expression" dxfId="1224" priority="1049">
      <formula>C35&gt;F35</formula>
    </cfRule>
  </conditionalFormatting>
  <conditionalFormatting sqref="A34">
    <cfRule type="expression" dxfId="1223" priority="1046">
      <formula>D34&lt;F34</formula>
    </cfRule>
    <cfRule type="expression" dxfId="1222" priority="1047">
      <formula>C34&gt;F34</formula>
    </cfRule>
  </conditionalFormatting>
  <conditionalFormatting sqref="A33">
    <cfRule type="expression" dxfId="1221" priority="1044">
      <formula>D33&lt;F33</formula>
    </cfRule>
    <cfRule type="expression" dxfId="1220" priority="1045">
      <formula>C33&gt;F33</formula>
    </cfRule>
  </conditionalFormatting>
  <conditionalFormatting sqref="A32">
    <cfRule type="expression" dxfId="1219" priority="1042">
      <formula>D32&lt;F32</formula>
    </cfRule>
    <cfRule type="expression" dxfId="1218" priority="1043">
      <formula>C32&gt;F32</formula>
    </cfRule>
  </conditionalFormatting>
  <conditionalFormatting sqref="A31">
    <cfRule type="expression" dxfId="1217" priority="1040">
      <formula>D31&lt;F31</formula>
    </cfRule>
    <cfRule type="expression" dxfId="1216" priority="1041">
      <formula>C31&gt;F31</formula>
    </cfRule>
  </conditionalFormatting>
  <conditionalFormatting sqref="A30">
    <cfRule type="expression" dxfId="1215" priority="1038">
      <formula>D30&lt;F30</formula>
    </cfRule>
    <cfRule type="expression" dxfId="1214" priority="1039">
      <formula>C30&gt;F30</formula>
    </cfRule>
  </conditionalFormatting>
  <conditionalFormatting sqref="A49">
    <cfRule type="expression" dxfId="1213" priority="1036">
      <formula>D49&lt;F49</formula>
    </cfRule>
    <cfRule type="expression" dxfId="1212" priority="1037">
      <formula>C49&gt;F49</formula>
    </cfRule>
  </conditionalFormatting>
  <conditionalFormatting sqref="A48">
    <cfRule type="expression" dxfId="1211" priority="1034">
      <formula>D48&lt;F48</formula>
    </cfRule>
    <cfRule type="expression" dxfId="1210" priority="1035">
      <formula>C48&gt;F48</formula>
    </cfRule>
  </conditionalFormatting>
  <conditionalFormatting sqref="A47">
    <cfRule type="expression" dxfId="1209" priority="1032">
      <formula>D47&lt;F47</formula>
    </cfRule>
    <cfRule type="expression" dxfId="1208" priority="1033">
      <formula>C47&gt;F47</formula>
    </cfRule>
  </conditionalFormatting>
  <conditionalFormatting sqref="A46">
    <cfRule type="expression" dxfId="1207" priority="1030">
      <formula>D46&lt;F46</formula>
    </cfRule>
    <cfRule type="expression" dxfId="1206" priority="1031">
      <formula>C46&gt;F46</formula>
    </cfRule>
  </conditionalFormatting>
  <conditionalFormatting sqref="A45">
    <cfRule type="expression" dxfId="1205" priority="1028">
      <formula>D45&lt;F45</formula>
    </cfRule>
    <cfRule type="expression" dxfId="1204" priority="1029">
      <formula>C45&gt;F45</formula>
    </cfRule>
  </conditionalFormatting>
  <conditionalFormatting sqref="A44">
    <cfRule type="expression" dxfId="1203" priority="1026">
      <formula>D44&lt;F44</formula>
    </cfRule>
    <cfRule type="expression" dxfId="1202" priority="1027">
      <formula>C44&gt;F44</formula>
    </cfRule>
  </conditionalFormatting>
  <conditionalFormatting sqref="A43">
    <cfRule type="expression" dxfId="1201" priority="1024">
      <formula>D43&lt;F43</formula>
    </cfRule>
    <cfRule type="expression" dxfId="1200" priority="1025">
      <formula>C43&gt;F43</formula>
    </cfRule>
  </conditionalFormatting>
  <conditionalFormatting sqref="A42">
    <cfRule type="expression" dxfId="1199" priority="1022">
      <formula>D42&lt;F42</formula>
    </cfRule>
    <cfRule type="expression" dxfId="1198" priority="1023">
      <formula>C42&gt;F42</formula>
    </cfRule>
  </conditionalFormatting>
  <conditionalFormatting sqref="A41">
    <cfRule type="expression" dxfId="1197" priority="1020">
      <formula>D41&lt;F41</formula>
    </cfRule>
    <cfRule type="expression" dxfId="1196" priority="1021">
      <formula>C41&gt;F41</formula>
    </cfRule>
  </conditionalFormatting>
  <conditionalFormatting sqref="A40">
    <cfRule type="expression" dxfId="1195" priority="1018">
      <formula>D40&lt;F40</formula>
    </cfRule>
    <cfRule type="expression" dxfId="1194" priority="1019">
      <formula>C40&gt;F40</formula>
    </cfRule>
  </conditionalFormatting>
  <conditionalFormatting sqref="A59">
    <cfRule type="expression" dxfId="1193" priority="1002">
      <formula>D59&lt;F59</formula>
    </cfRule>
    <cfRule type="expression" dxfId="1192" priority="1003">
      <formula>C59&gt;F59</formula>
    </cfRule>
  </conditionalFormatting>
  <conditionalFormatting sqref="A58">
    <cfRule type="expression" dxfId="1191" priority="1000">
      <formula>D58&lt;F58</formula>
    </cfRule>
    <cfRule type="expression" dxfId="1190" priority="1001">
      <formula>C58&gt;F58</formula>
    </cfRule>
  </conditionalFormatting>
  <conditionalFormatting sqref="A57">
    <cfRule type="expression" dxfId="1189" priority="998">
      <formula>D57&lt;F57</formula>
    </cfRule>
    <cfRule type="expression" dxfId="1188" priority="999">
      <formula>C57&gt;F57</formula>
    </cfRule>
  </conditionalFormatting>
  <conditionalFormatting sqref="A56">
    <cfRule type="expression" dxfId="1187" priority="996">
      <formula>D56&lt;F56</formula>
    </cfRule>
    <cfRule type="expression" dxfId="1186" priority="997">
      <formula>C56&gt;F56</formula>
    </cfRule>
  </conditionalFormatting>
  <conditionalFormatting sqref="A55">
    <cfRule type="expression" dxfId="1185" priority="994">
      <formula>D55&lt;F55</formula>
    </cfRule>
    <cfRule type="expression" dxfId="1184" priority="995">
      <formula>C55&gt;F55</formula>
    </cfRule>
  </conditionalFormatting>
  <conditionalFormatting sqref="A54">
    <cfRule type="expression" dxfId="1183" priority="992">
      <formula>D54&lt;F54</formula>
    </cfRule>
    <cfRule type="expression" dxfId="1182" priority="993">
      <formula>C54&gt;F54</formula>
    </cfRule>
  </conditionalFormatting>
  <conditionalFormatting sqref="A53">
    <cfRule type="expression" dxfId="1181" priority="990">
      <formula>D53&lt;F53</formula>
    </cfRule>
    <cfRule type="expression" dxfId="1180" priority="991">
      <formula>C53&gt;F53</formula>
    </cfRule>
  </conditionalFormatting>
  <conditionalFormatting sqref="A52">
    <cfRule type="expression" dxfId="1179" priority="988">
      <formula>D52&lt;F52</formula>
    </cfRule>
    <cfRule type="expression" dxfId="1178" priority="989">
      <formula>C52&gt;F52</formula>
    </cfRule>
  </conditionalFormatting>
  <conditionalFormatting sqref="A51">
    <cfRule type="expression" dxfId="1177" priority="986">
      <formula>D51&lt;F51</formula>
    </cfRule>
    <cfRule type="expression" dxfId="1176" priority="987">
      <formula>C51&gt;F51</formula>
    </cfRule>
  </conditionalFormatting>
  <conditionalFormatting sqref="A50">
    <cfRule type="expression" dxfId="1175" priority="984">
      <formula>D50&lt;F50</formula>
    </cfRule>
    <cfRule type="expression" dxfId="1174" priority="985">
      <formula>C50&gt;F50</formula>
    </cfRule>
  </conditionalFormatting>
  <conditionalFormatting sqref="A69">
    <cfRule type="expression" dxfId="1173" priority="982">
      <formula>D69&lt;F69</formula>
    </cfRule>
    <cfRule type="expression" dxfId="1172" priority="983">
      <formula>C69&gt;F69</formula>
    </cfRule>
  </conditionalFormatting>
  <conditionalFormatting sqref="A68">
    <cfRule type="expression" dxfId="1171" priority="980">
      <formula>D68&lt;F68</formula>
    </cfRule>
    <cfRule type="expression" dxfId="1170" priority="981">
      <formula>C68&gt;F68</formula>
    </cfRule>
  </conditionalFormatting>
  <conditionalFormatting sqref="A67">
    <cfRule type="expression" dxfId="1169" priority="978">
      <formula>D67&lt;F67</formula>
    </cfRule>
    <cfRule type="expression" dxfId="1168" priority="979">
      <formula>C67&gt;F67</formula>
    </cfRule>
  </conditionalFormatting>
  <conditionalFormatting sqref="A66">
    <cfRule type="expression" dxfId="1167" priority="976">
      <formula>D66&lt;F66</formula>
    </cfRule>
    <cfRule type="expression" dxfId="1166" priority="977">
      <formula>C66&gt;F66</formula>
    </cfRule>
  </conditionalFormatting>
  <conditionalFormatting sqref="A65">
    <cfRule type="expression" dxfId="1165" priority="974">
      <formula>D65&lt;F65</formula>
    </cfRule>
    <cfRule type="expression" dxfId="1164" priority="975">
      <formula>C65&gt;F65</formula>
    </cfRule>
  </conditionalFormatting>
  <conditionalFormatting sqref="A64">
    <cfRule type="expression" dxfId="1163" priority="972">
      <formula>D64&lt;F64</formula>
    </cfRule>
    <cfRule type="expression" dxfId="1162" priority="973">
      <formula>C64&gt;F64</formula>
    </cfRule>
  </conditionalFormatting>
  <conditionalFormatting sqref="A61 A63">
    <cfRule type="expression" dxfId="1161" priority="706">
      <formula>D61&lt;F61</formula>
    </cfRule>
    <cfRule type="expression" dxfId="1160" priority="707">
      <formula>C61&gt;F61</formula>
    </cfRule>
  </conditionalFormatting>
  <conditionalFormatting sqref="A60 A62">
    <cfRule type="expression" dxfId="1159" priority="704">
      <formula>D60&lt;F60</formula>
    </cfRule>
    <cfRule type="expression" dxfId="1158" priority="705">
      <formula>C60&gt;F60</formula>
    </cfRule>
  </conditionalFormatting>
  <conditionalFormatting sqref="A27 A29">
    <cfRule type="expression" dxfId="1157" priority="702">
      <formula>D27&lt;F27</formula>
    </cfRule>
    <cfRule type="expression" dxfId="1156" priority="703">
      <formula>C27&gt;F27</formula>
    </cfRule>
  </conditionalFormatting>
  <conditionalFormatting sqref="A26 A28">
    <cfRule type="expression" dxfId="1155" priority="700">
      <formula>D26&lt;F26</formula>
    </cfRule>
    <cfRule type="expression" dxfId="1154" priority="701">
      <formula>C26&gt;F26</formula>
    </cfRule>
  </conditionalFormatting>
  <conditionalFormatting sqref="A75">
    <cfRule type="expression" dxfId="1153" priority="698">
      <formula>D75&lt;F75</formula>
    </cfRule>
    <cfRule type="expression" dxfId="1152" priority="699">
      <formula>C75&gt;F75</formula>
    </cfRule>
  </conditionalFormatting>
  <conditionalFormatting sqref="A74">
    <cfRule type="expression" dxfId="1151" priority="696">
      <formula>D74&lt;F74</formula>
    </cfRule>
    <cfRule type="expression" dxfId="1150" priority="697">
      <formula>C74&gt;F74</formula>
    </cfRule>
  </conditionalFormatting>
  <conditionalFormatting sqref="A73">
    <cfRule type="expression" dxfId="1149" priority="694">
      <formula>D73&lt;F73</formula>
    </cfRule>
    <cfRule type="expression" dxfId="1148" priority="695">
      <formula>C73&gt;F73</formula>
    </cfRule>
  </conditionalFormatting>
  <conditionalFormatting sqref="A72">
    <cfRule type="expression" dxfId="1147" priority="692">
      <formula>D72&lt;F72</formula>
    </cfRule>
    <cfRule type="expression" dxfId="1146" priority="693">
      <formula>C72&gt;F72</formula>
    </cfRule>
  </conditionalFormatting>
  <conditionalFormatting sqref="A71">
    <cfRule type="expression" dxfId="1145" priority="690">
      <formula>D71&lt;F71</formula>
    </cfRule>
    <cfRule type="expression" dxfId="1144" priority="691">
      <formula>C71&gt;F71</formula>
    </cfRule>
  </conditionalFormatting>
  <conditionalFormatting sqref="A70">
    <cfRule type="expression" dxfId="1143" priority="688">
      <formula>D70&lt;F70</formula>
    </cfRule>
    <cfRule type="expression" dxfId="1142" priority="689">
      <formula>C70&gt;F70</formula>
    </cfRule>
  </conditionalFormatting>
  <conditionalFormatting sqref="A81">
    <cfRule type="expression" dxfId="1141" priority="686">
      <formula>D81&lt;F81</formula>
    </cfRule>
    <cfRule type="expression" dxfId="1140" priority="687">
      <formula>C81&gt;F81</formula>
    </cfRule>
  </conditionalFormatting>
  <conditionalFormatting sqref="A80">
    <cfRule type="expression" dxfId="1139" priority="684">
      <formula>D80&lt;F80</formula>
    </cfRule>
    <cfRule type="expression" dxfId="1138" priority="685">
      <formula>C80&gt;F80</formula>
    </cfRule>
  </conditionalFormatting>
  <conditionalFormatting sqref="A79">
    <cfRule type="expression" dxfId="1137" priority="682">
      <formula>D79&lt;F79</formula>
    </cfRule>
    <cfRule type="expression" dxfId="1136" priority="683">
      <formula>C79&gt;F79</formula>
    </cfRule>
  </conditionalFormatting>
  <conditionalFormatting sqref="A78">
    <cfRule type="expression" dxfId="1135" priority="680">
      <formula>D78&lt;F78</formula>
    </cfRule>
    <cfRule type="expression" dxfId="1134" priority="681">
      <formula>C78&gt;F78</formula>
    </cfRule>
  </conditionalFormatting>
  <conditionalFormatting sqref="A77">
    <cfRule type="expression" dxfId="1133" priority="678">
      <formula>D77&lt;F77</formula>
    </cfRule>
    <cfRule type="expression" dxfId="1132" priority="679">
      <formula>C77&gt;F77</formula>
    </cfRule>
  </conditionalFormatting>
  <conditionalFormatting sqref="A76">
    <cfRule type="expression" dxfId="1131" priority="676">
      <formula>D76&lt;F76</formula>
    </cfRule>
    <cfRule type="expression" dxfId="1130" priority="677">
      <formula>C76&gt;F76</formula>
    </cfRule>
  </conditionalFormatting>
  <conditionalFormatting sqref="A87">
    <cfRule type="expression" dxfId="1129" priority="674">
      <formula>D87&lt;F87</formula>
    </cfRule>
    <cfRule type="expression" dxfId="1128" priority="675">
      <formula>C87&gt;F87</formula>
    </cfRule>
  </conditionalFormatting>
  <conditionalFormatting sqref="A86">
    <cfRule type="expression" dxfId="1127" priority="672">
      <formula>D86&lt;F86</formula>
    </cfRule>
    <cfRule type="expression" dxfId="1126" priority="673">
      <formula>C86&gt;F86</formula>
    </cfRule>
  </conditionalFormatting>
  <conditionalFormatting sqref="A85">
    <cfRule type="expression" dxfId="1125" priority="670">
      <formula>D85&lt;F85</formula>
    </cfRule>
    <cfRule type="expression" dxfId="1124" priority="671">
      <formula>C85&gt;F85</formula>
    </cfRule>
  </conditionalFormatting>
  <conditionalFormatting sqref="A84">
    <cfRule type="expression" dxfId="1123" priority="668">
      <formula>D84&lt;F84</formula>
    </cfRule>
    <cfRule type="expression" dxfId="1122" priority="669">
      <formula>C84&gt;F84</formula>
    </cfRule>
  </conditionalFormatting>
  <conditionalFormatting sqref="A83">
    <cfRule type="expression" dxfId="1121" priority="666">
      <formula>D83&lt;F83</formula>
    </cfRule>
    <cfRule type="expression" dxfId="1120" priority="667">
      <formula>C83&gt;F83</formula>
    </cfRule>
  </conditionalFormatting>
  <conditionalFormatting sqref="A82">
    <cfRule type="expression" dxfId="1119" priority="664">
      <formula>D82&lt;F82</formula>
    </cfRule>
    <cfRule type="expression" dxfId="1118" priority="665">
      <formula>C82&gt;F82</formula>
    </cfRule>
  </conditionalFormatting>
  <conditionalFormatting sqref="A93">
    <cfRule type="expression" dxfId="1117" priority="662">
      <formula>D93&lt;F93</formula>
    </cfRule>
    <cfRule type="expression" dxfId="1116" priority="663">
      <formula>C93&gt;F93</formula>
    </cfRule>
  </conditionalFormatting>
  <conditionalFormatting sqref="A92">
    <cfRule type="expression" dxfId="1115" priority="660">
      <formula>D92&lt;F92</formula>
    </cfRule>
    <cfRule type="expression" dxfId="1114" priority="661">
      <formula>C92&gt;F92</formula>
    </cfRule>
  </conditionalFormatting>
  <conditionalFormatting sqref="A91">
    <cfRule type="expression" dxfId="1113" priority="658">
      <formula>D91&lt;F91</formula>
    </cfRule>
    <cfRule type="expression" dxfId="1112" priority="659">
      <formula>C91&gt;F91</formula>
    </cfRule>
  </conditionalFormatting>
  <conditionalFormatting sqref="A90">
    <cfRule type="expression" dxfId="1111" priority="656">
      <formula>D90&lt;F90</formula>
    </cfRule>
    <cfRule type="expression" dxfId="1110" priority="657">
      <formula>C90&gt;F90</formula>
    </cfRule>
  </conditionalFormatting>
  <conditionalFormatting sqref="A89">
    <cfRule type="expression" dxfId="1109" priority="654">
      <formula>D89&lt;F89</formula>
    </cfRule>
    <cfRule type="expression" dxfId="1108" priority="655">
      <formula>C89&gt;F89</formula>
    </cfRule>
  </conditionalFormatting>
  <conditionalFormatting sqref="A88">
    <cfRule type="expression" dxfId="1107" priority="652">
      <formula>D88&lt;F88</formula>
    </cfRule>
    <cfRule type="expression" dxfId="1106" priority="653">
      <formula>C88&gt;F88</formula>
    </cfRule>
  </conditionalFormatting>
  <conditionalFormatting sqref="A99">
    <cfRule type="expression" dxfId="1105" priority="650">
      <formula>D99&lt;F99</formula>
    </cfRule>
    <cfRule type="expression" dxfId="1104" priority="651">
      <formula>C99&gt;F99</formula>
    </cfRule>
  </conditionalFormatting>
  <conditionalFormatting sqref="A98">
    <cfRule type="expression" dxfId="1103" priority="648">
      <formula>D98&lt;F98</formula>
    </cfRule>
    <cfRule type="expression" dxfId="1102" priority="649">
      <formula>C98&gt;F98</formula>
    </cfRule>
  </conditionalFormatting>
  <conditionalFormatting sqref="A97">
    <cfRule type="expression" dxfId="1101" priority="646">
      <formula>D97&lt;F97</formula>
    </cfRule>
    <cfRule type="expression" dxfId="1100" priority="647">
      <formula>C97&gt;F97</formula>
    </cfRule>
  </conditionalFormatting>
  <conditionalFormatting sqref="A96">
    <cfRule type="expression" dxfId="1099" priority="644">
      <formula>D96&lt;F96</formula>
    </cfRule>
    <cfRule type="expression" dxfId="1098" priority="645">
      <formula>C96&gt;F96</formula>
    </cfRule>
  </conditionalFormatting>
  <conditionalFormatting sqref="A95">
    <cfRule type="expression" dxfId="1097" priority="642">
      <formula>D95&lt;F95</formula>
    </cfRule>
    <cfRule type="expression" dxfId="1096" priority="643">
      <formula>C95&gt;F95</formula>
    </cfRule>
  </conditionalFormatting>
  <conditionalFormatting sqref="A94">
    <cfRule type="expression" dxfId="1095" priority="640">
      <formula>D94&lt;F94</formula>
    </cfRule>
    <cfRule type="expression" dxfId="1094" priority="641">
      <formula>C94&gt;F94</formula>
    </cfRule>
  </conditionalFormatting>
  <conditionalFormatting sqref="A105">
    <cfRule type="expression" dxfId="1093" priority="638">
      <formula>D105&lt;F105</formula>
    </cfRule>
    <cfRule type="expression" dxfId="1092" priority="639">
      <formula>C105&gt;F105</formula>
    </cfRule>
  </conditionalFormatting>
  <conditionalFormatting sqref="A104">
    <cfRule type="expression" dxfId="1091" priority="636">
      <formula>D104&lt;F104</formula>
    </cfRule>
    <cfRule type="expression" dxfId="1090" priority="637">
      <formula>C104&gt;F104</formula>
    </cfRule>
  </conditionalFormatting>
  <conditionalFormatting sqref="A103">
    <cfRule type="expression" dxfId="1089" priority="634">
      <formula>D103&lt;F103</formula>
    </cfRule>
    <cfRule type="expression" dxfId="1088" priority="635">
      <formula>C103&gt;F103</formula>
    </cfRule>
  </conditionalFormatting>
  <conditionalFormatting sqref="A102">
    <cfRule type="expression" dxfId="1087" priority="632">
      <formula>D102&lt;F102</formula>
    </cfRule>
    <cfRule type="expression" dxfId="1086" priority="633">
      <formula>C102&gt;F102</formula>
    </cfRule>
  </conditionalFormatting>
  <conditionalFormatting sqref="A101">
    <cfRule type="expression" dxfId="1085" priority="630">
      <formula>D101&lt;F101</formula>
    </cfRule>
    <cfRule type="expression" dxfId="1084" priority="631">
      <formula>C101&gt;F101</formula>
    </cfRule>
  </conditionalFormatting>
  <conditionalFormatting sqref="A100">
    <cfRule type="expression" dxfId="1083" priority="628">
      <formula>D100&lt;F100</formula>
    </cfRule>
    <cfRule type="expression" dxfId="1082" priority="629">
      <formula>C100&gt;F100</formula>
    </cfRule>
  </conditionalFormatting>
  <conditionalFormatting sqref="A111">
    <cfRule type="expression" dxfId="1081" priority="626">
      <formula>D111&lt;F111</formula>
    </cfRule>
    <cfRule type="expression" dxfId="1080" priority="627">
      <formula>C111&gt;F111</formula>
    </cfRule>
  </conditionalFormatting>
  <conditionalFormatting sqref="A110">
    <cfRule type="expression" dxfId="1079" priority="624">
      <formula>D110&lt;F110</formula>
    </cfRule>
    <cfRule type="expression" dxfId="1078" priority="625">
      <formula>C110&gt;F110</formula>
    </cfRule>
  </conditionalFormatting>
  <conditionalFormatting sqref="A109">
    <cfRule type="expression" dxfId="1077" priority="622">
      <formula>D109&lt;F109</formula>
    </cfRule>
    <cfRule type="expression" dxfId="1076" priority="623">
      <formula>C109&gt;F109</formula>
    </cfRule>
  </conditionalFormatting>
  <conditionalFormatting sqref="A108">
    <cfRule type="expression" dxfId="1075" priority="620">
      <formula>D108&lt;F108</formula>
    </cfRule>
    <cfRule type="expression" dxfId="1074" priority="621">
      <formula>C108&gt;F108</formula>
    </cfRule>
  </conditionalFormatting>
  <conditionalFormatting sqref="A107">
    <cfRule type="expression" dxfId="1073" priority="618">
      <formula>D107&lt;F107</formula>
    </cfRule>
    <cfRule type="expression" dxfId="1072" priority="619">
      <formula>C107&gt;F107</formula>
    </cfRule>
  </conditionalFormatting>
  <conditionalFormatting sqref="A106">
    <cfRule type="expression" dxfId="1071" priority="616">
      <formula>D106&lt;F106</formula>
    </cfRule>
    <cfRule type="expression" dxfId="1070" priority="617">
      <formula>C106&gt;F106</formula>
    </cfRule>
  </conditionalFormatting>
  <conditionalFormatting sqref="A117">
    <cfRule type="expression" dxfId="1069" priority="614">
      <formula>D117&lt;F117</formula>
    </cfRule>
    <cfRule type="expression" dxfId="1068" priority="615">
      <formula>C117&gt;F117</formula>
    </cfRule>
  </conditionalFormatting>
  <conditionalFormatting sqref="A116">
    <cfRule type="expression" dxfId="1067" priority="612">
      <formula>D116&lt;F116</formula>
    </cfRule>
    <cfRule type="expression" dxfId="1066" priority="613">
      <formula>C116&gt;F116</formula>
    </cfRule>
  </conditionalFormatting>
  <conditionalFormatting sqref="A115">
    <cfRule type="expression" dxfId="1065" priority="610">
      <formula>D115&lt;F115</formula>
    </cfRule>
    <cfRule type="expression" dxfId="1064" priority="611">
      <formula>C115&gt;F115</formula>
    </cfRule>
  </conditionalFormatting>
  <conditionalFormatting sqref="A114">
    <cfRule type="expression" dxfId="1063" priority="608">
      <formula>D114&lt;F114</formula>
    </cfRule>
    <cfRule type="expression" dxfId="1062" priority="609">
      <formula>C114&gt;F114</formula>
    </cfRule>
  </conditionalFormatting>
  <conditionalFormatting sqref="A113">
    <cfRule type="expression" dxfId="1061" priority="606">
      <formula>D113&lt;F113</formula>
    </cfRule>
    <cfRule type="expression" dxfId="1060" priority="607">
      <formula>C113&gt;F113</formula>
    </cfRule>
  </conditionalFormatting>
  <conditionalFormatting sqref="A112">
    <cfRule type="expression" dxfId="1059" priority="604">
      <formula>D112&lt;F112</formula>
    </cfRule>
    <cfRule type="expression" dxfId="1058" priority="605">
      <formula>C112&gt;F112</formula>
    </cfRule>
  </conditionalFormatting>
  <conditionalFormatting sqref="A123">
    <cfRule type="expression" dxfId="1057" priority="602">
      <formula>D123&lt;F123</formula>
    </cfRule>
    <cfRule type="expression" dxfId="1056" priority="603">
      <formula>C123&gt;F123</formula>
    </cfRule>
  </conditionalFormatting>
  <conditionalFormatting sqref="A122">
    <cfRule type="expression" dxfId="1055" priority="600">
      <formula>D122&lt;F122</formula>
    </cfRule>
    <cfRule type="expression" dxfId="1054" priority="601">
      <formula>C122&gt;F122</formula>
    </cfRule>
  </conditionalFormatting>
  <conditionalFormatting sqref="A121">
    <cfRule type="expression" dxfId="1053" priority="598">
      <formula>D121&lt;F121</formula>
    </cfRule>
    <cfRule type="expression" dxfId="1052" priority="599">
      <formula>C121&gt;F121</formula>
    </cfRule>
  </conditionalFormatting>
  <conditionalFormatting sqref="A120">
    <cfRule type="expression" dxfId="1051" priority="596">
      <formula>D120&lt;F120</formula>
    </cfRule>
    <cfRule type="expression" dxfId="1050" priority="597">
      <formula>C120&gt;F120</formula>
    </cfRule>
  </conditionalFormatting>
  <conditionalFormatting sqref="A119">
    <cfRule type="expression" dxfId="1049" priority="594">
      <formula>D119&lt;F119</formula>
    </cfRule>
    <cfRule type="expression" dxfId="1048" priority="595">
      <formula>C119&gt;F119</formula>
    </cfRule>
  </conditionalFormatting>
  <conditionalFormatting sqref="A118">
    <cfRule type="expression" dxfId="1047" priority="592">
      <formula>D118&lt;F118</formula>
    </cfRule>
    <cfRule type="expression" dxfId="1046" priority="593">
      <formula>C118&gt;F118</formula>
    </cfRule>
  </conditionalFormatting>
  <conditionalFormatting sqref="A129">
    <cfRule type="expression" dxfId="1045" priority="590">
      <formula>D129&lt;F129</formula>
    </cfRule>
    <cfRule type="expression" dxfId="1044" priority="591">
      <formula>C129&gt;F129</formula>
    </cfRule>
  </conditionalFormatting>
  <conditionalFormatting sqref="A128">
    <cfRule type="expression" dxfId="1043" priority="588">
      <formula>D128&lt;F128</formula>
    </cfRule>
    <cfRule type="expression" dxfId="1042" priority="589">
      <formula>C128&gt;F128</formula>
    </cfRule>
  </conditionalFormatting>
  <conditionalFormatting sqref="A127">
    <cfRule type="expression" dxfId="1041" priority="586">
      <formula>D127&lt;F127</formula>
    </cfRule>
    <cfRule type="expression" dxfId="1040" priority="587">
      <formula>C127&gt;F127</formula>
    </cfRule>
  </conditionalFormatting>
  <conditionalFormatting sqref="A126">
    <cfRule type="expression" dxfId="1039" priority="584">
      <formula>D126&lt;F126</formula>
    </cfRule>
    <cfRule type="expression" dxfId="1038" priority="585">
      <formula>C126&gt;F126</formula>
    </cfRule>
  </conditionalFormatting>
  <conditionalFormatting sqref="A125">
    <cfRule type="expression" dxfId="1037" priority="582">
      <formula>D125&lt;F125</formula>
    </cfRule>
    <cfRule type="expression" dxfId="1036" priority="583">
      <formula>C125&gt;F125</formula>
    </cfRule>
  </conditionalFormatting>
  <conditionalFormatting sqref="A124">
    <cfRule type="expression" dxfId="1035" priority="580">
      <formula>D124&lt;F124</formula>
    </cfRule>
    <cfRule type="expression" dxfId="1034" priority="581">
      <formula>C124&gt;F124</formula>
    </cfRule>
  </conditionalFormatting>
  <conditionalFormatting sqref="A135">
    <cfRule type="expression" dxfId="1033" priority="578">
      <formula>D135&lt;F135</formula>
    </cfRule>
    <cfRule type="expression" dxfId="1032" priority="579">
      <formula>C135&gt;F135</formula>
    </cfRule>
  </conditionalFormatting>
  <conditionalFormatting sqref="A134">
    <cfRule type="expression" dxfId="1031" priority="576">
      <formula>D134&lt;F134</formula>
    </cfRule>
    <cfRule type="expression" dxfId="1030" priority="577">
      <formula>C134&gt;F134</formula>
    </cfRule>
  </conditionalFormatting>
  <conditionalFormatting sqref="A133">
    <cfRule type="expression" dxfId="1029" priority="574">
      <formula>D133&lt;F133</formula>
    </cfRule>
    <cfRule type="expression" dxfId="1028" priority="575">
      <formula>C133&gt;F133</formula>
    </cfRule>
  </conditionalFormatting>
  <conditionalFormatting sqref="A132">
    <cfRule type="expression" dxfId="1027" priority="572">
      <formula>D132&lt;F132</formula>
    </cfRule>
    <cfRule type="expression" dxfId="1026" priority="573">
      <formula>C132&gt;F132</formula>
    </cfRule>
  </conditionalFormatting>
  <conditionalFormatting sqref="A131">
    <cfRule type="expression" dxfId="1025" priority="570">
      <formula>D131&lt;F131</formula>
    </cfRule>
    <cfRule type="expression" dxfId="1024" priority="571">
      <formula>C131&gt;F131</formula>
    </cfRule>
  </conditionalFormatting>
  <conditionalFormatting sqref="A130">
    <cfRule type="expression" dxfId="1023" priority="568">
      <formula>D130&lt;F130</formula>
    </cfRule>
    <cfRule type="expression" dxfId="1022" priority="569">
      <formula>C130&gt;F130</formula>
    </cfRule>
  </conditionalFormatting>
  <conditionalFormatting sqref="A141">
    <cfRule type="expression" dxfId="1021" priority="566">
      <formula>D141&lt;F141</formula>
    </cfRule>
    <cfRule type="expression" dxfId="1020" priority="567">
      <formula>C141&gt;F141</formula>
    </cfRule>
  </conditionalFormatting>
  <conditionalFormatting sqref="A140">
    <cfRule type="expression" dxfId="1019" priority="564">
      <formula>D140&lt;F140</formula>
    </cfRule>
    <cfRule type="expression" dxfId="1018" priority="565">
      <formula>C140&gt;F140</formula>
    </cfRule>
  </conditionalFormatting>
  <conditionalFormatting sqref="A139">
    <cfRule type="expression" dxfId="1017" priority="562">
      <formula>D139&lt;F139</formula>
    </cfRule>
    <cfRule type="expression" dxfId="1016" priority="563">
      <formula>C139&gt;F139</formula>
    </cfRule>
  </conditionalFormatting>
  <conditionalFormatting sqref="A138">
    <cfRule type="expression" dxfId="1015" priority="560">
      <formula>D138&lt;F138</formula>
    </cfRule>
    <cfRule type="expression" dxfId="1014" priority="561">
      <formula>C138&gt;F138</formula>
    </cfRule>
  </conditionalFormatting>
  <conditionalFormatting sqref="A137">
    <cfRule type="expression" dxfId="1013" priority="558">
      <formula>D137&lt;F137</formula>
    </cfRule>
    <cfRule type="expression" dxfId="1012" priority="559">
      <formula>C137&gt;F137</formula>
    </cfRule>
  </conditionalFormatting>
  <conditionalFormatting sqref="A136">
    <cfRule type="expression" dxfId="1011" priority="556">
      <formula>D136&lt;F136</formula>
    </cfRule>
    <cfRule type="expression" dxfId="1010" priority="557">
      <formula>C136&gt;F136</formula>
    </cfRule>
  </conditionalFormatting>
  <conditionalFormatting sqref="A147">
    <cfRule type="expression" dxfId="1009" priority="554">
      <formula>D147&lt;F147</formula>
    </cfRule>
    <cfRule type="expression" dxfId="1008" priority="555">
      <formula>C147&gt;F147</formula>
    </cfRule>
  </conditionalFormatting>
  <conditionalFormatting sqref="A146">
    <cfRule type="expression" dxfId="1007" priority="552">
      <formula>D146&lt;F146</formula>
    </cfRule>
    <cfRule type="expression" dxfId="1006" priority="553">
      <formula>C146&gt;F146</formula>
    </cfRule>
  </conditionalFormatting>
  <conditionalFormatting sqref="A145">
    <cfRule type="expression" dxfId="1005" priority="550">
      <formula>D145&lt;F145</formula>
    </cfRule>
    <cfRule type="expression" dxfId="1004" priority="551">
      <formula>C145&gt;F145</formula>
    </cfRule>
  </conditionalFormatting>
  <conditionalFormatting sqref="A144">
    <cfRule type="expression" dxfId="1003" priority="548">
      <formula>D144&lt;F144</formula>
    </cfRule>
    <cfRule type="expression" dxfId="1002" priority="549">
      <formula>C144&gt;F144</formula>
    </cfRule>
  </conditionalFormatting>
  <conditionalFormatting sqref="A143">
    <cfRule type="expression" dxfId="1001" priority="546">
      <formula>D143&lt;F143</formula>
    </cfRule>
    <cfRule type="expression" dxfId="1000" priority="547">
      <formula>C143&gt;F143</formula>
    </cfRule>
  </conditionalFormatting>
  <conditionalFormatting sqref="A142">
    <cfRule type="expression" dxfId="999" priority="544">
      <formula>D142&lt;F142</formula>
    </cfRule>
    <cfRule type="expression" dxfId="998" priority="545">
      <formula>C142&gt;F142</formula>
    </cfRule>
  </conditionalFormatting>
  <conditionalFormatting sqref="A153">
    <cfRule type="expression" dxfId="997" priority="542">
      <formula>D153&lt;F153</formula>
    </cfRule>
    <cfRule type="expression" dxfId="996" priority="543">
      <formula>C153&gt;F153</formula>
    </cfRule>
  </conditionalFormatting>
  <conditionalFormatting sqref="A152">
    <cfRule type="expression" dxfId="995" priority="540">
      <formula>D152&lt;F152</formula>
    </cfRule>
    <cfRule type="expression" dxfId="994" priority="541">
      <formula>C152&gt;F152</formula>
    </cfRule>
  </conditionalFormatting>
  <conditionalFormatting sqref="A151">
    <cfRule type="expression" dxfId="993" priority="538">
      <formula>D151&lt;F151</formula>
    </cfRule>
    <cfRule type="expression" dxfId="992" priority="539">
      <formula>C151&gt;F151</formula>
    </cfRule>
  </conditionalFormatting>
  <conditionalFormatting sqref="A150">
    <cfRule type="expression" dxfId="991" priority="536">
      <formula>D150&lt;F150</formula>
    </cfRule>
    <cfRule type="expression" dxfId="990" priority="537">
      <formula>C150&gt;F150</formula>
    </cfRule>
  </conditionalFormatting>
  <conditionalFormatting sqref="A149">
    <cfRule type="expression" dxfId="989" priority="534">
      <formula>D149&lt;F149</formula>
    </cfRule>
    <cfRule type="expression" dxfId="988" priority="535">
      <formula>C149&gt;F149</formula>
    </cfRule>
  </conditionalFormatting>
  <conditionalFormatting sqref="A148">
    <cfRule type="expression" dxfId="987" priority="532">
      <formula>D148&lt;F148</formula>
    </cfRule>
    <cfRule type="expression" dxfId="986" priority="533">
      <formula>C148&gt;F148</formula>
    </cfRule>
  </conditionalFormatting>
  <conditionalFormatting sqref="A159">
    <cfRule type="expression" dxfId="985" priority="530">
      <formula>D159&lt;F159</formula>
    </cfRule>
    <cfRule type="expression" dxfId="984" priority="531">
      <formula>C159&gt;F159</formula>
    </cfRule>
  </conditionalFormatting>
  <conditionalFormatting sqref="A158">
    <cfRule type="expression" dxfId="983" priority="528">
      <formula>D158&lt;F158</formula>
    </cfRule>
    <cfRule type="expression" dxfId="982" priority="529">
      <formula>C158&gt;F158</formula>
    </cfRule>
  </conditionalFormatting>
  <conditionalFormatting sqref="A157">
    <cfRule type="expression" dxfId="981" priority="526">
      <formula>D157&lt;F157</formula>
    </cfRule>
    <cfRule type="expression" dxfId="980" priority="527">
      <formula>C157&gt;F157</formula>
    </cfRule>
  </conditionalFormatting>
  <conditionalFormatting sqref="A156">
    <cfRule type="expression" dxfId="979" priority="524">
      <formula>D156&lt;F156</formula>
    </cfRule>
    <cfRule type="expression" dxfId="978" priority="525">
      <formula>C156&gt;F156</formula>
    </cfRule>
  </conditionalFormatting>
  <conditionalFormatting sqref="A155">
    <cfRule type="expression" dxfId="977" priority="522">
      <formula>D155&lt;F155</formula>
    </cfRule>
    <cfRule type="expression" dxfId="976" priority="523">
      <formula>C155&gt;F155</formula>
    </cfRule>
  </conditionalFormatting>
  <conditionalFormatting sqref="A154">
    <cfRule type="expression" dxfId="975" priority="520">
      <formula>D154&lt;F154</formula>
    </cfRule>
    <cfRule type="expression" dxfId="974" priority="521">
      <formula>C154&gt;F154</formula>
    </cfRule>
  </conditionalFormatting>
  <conditionalFormatting sqref="A165">
    <cfRule type="expression" dxfId="973" priority="518">
      <formula>D165&lt;F165</formula>
    </cfRule>
    <cfRule type="expression" dxfId="972" priority="519">
      <formula>C165&gt;F165</formula>
    </cfRule>
  </conditionalFormatting>
  <conditionalFormatting sqref="A164">
    <cfRule type="expression" dxfId="971" priority="516">
      <formula>D164&lt;F164</formula>
    </cfRule>
    <cfRule type="expression" dxfId="970" priority="517">
      <formula>C164&gt;F164</formula>
    </cfRule>
  </conditionalFormatting>
  <conditionalFormatting sqref="A163">
    <cfRule type="expression" dxfId="969" priority="514">
      <formula>D163&lt;F163</formula>
    </cfRule>
    <cfRule type="expression" dxfId="968" priority="515">
      <formula>C163&gt;F163</formula>
    </cfRule>
  </conditionalFormatting>
  <conditionalFormatting sqref="A162">
    <cfRule type="expression" dxfId="967" priority="512">
      <formula>D162&lt;F162</formula>
    </cfRule>
    <cfRule type="expression" dxfId="966" priority="513">
      <formula>C162&gt;F162</formula>
    </cfRule>
  </conditionalFormatting>
  <conditionalFormatting sqref="A161">
    <cfRule type="expression" dxfId="965" priority="510">
      <formula>D161&lt;F161</formula>
    </cfRule>
    <cfRule type="expression" dxfId="964" priority="511">
      <formula>C161&gt;F161</formula>
    </cfRule>
  </conditionalFormatting>
  <conditionalFormatting sqref="A160">
    <cfRule type="expression" dxfId="963" priority="508">
      <formula>D160&lt;F160</formula>
    </cfRule>
    <cfRule type="expression" dxfId="962" priority="509">
      <formula>C160&gt;F160</formula>
    </cfRule>
  </conditionalFormatting>
  <conditionalFormatting sqref="A171">
    <cfRule type="expression" dxfId="961" priority="506">
      <formula>D171&lt;F171</formula>
    </cfRule>
    <cfRule type="expression" dxfId="960" priority="507">
      <formula>C171&gt;F171</formula>
    </cfRule>
  </conditionalFormatting>
  <conditionalFormatting sqref="A170">
    <cfRule type="expression" dxfId="959" priority="504">
      <formula>D170&lt;F170</formula>
    </cfRule>
    <cfRule type="expression" dxfId="958" priority="505">
      <formula>C170&gt;F170</formula>
    </cfRule>
  </conditionalFormatting>
  <conditionalFormatting sqref="A169">
    <cfRule type="expression" dxfId="957" priority="502">
      <formula>D169&lt;F169</formula>
    </cfRule>
    <cfRule type="expression" dxfId="956" priority="503">
      <formula>C169&gt;F169</formula>
    </cfRule>
  </conditionalFormatting>
  <conditionalFormatting sqref="A168">
    <cfRule type="expression" dxfId="955" priority="500">
      <formula>D168&lt;F168</formula>
    </cfRule>
    <cfRule type="expression" dxfId="954" priority="501">
      <formula>C168&gt;F168</formula>
    </cfRule>
  </conditionalFormatting>
  <conditionalFormatting sqref="A167">
    <cfRule type="expression" dxfId="953" priority="498">
      <formula>D167&lt;F167</formula>
    </cfRule>
    <cfRule type="expression" dxfId="952" priority="499">
      <formula>C167&gt;F167</formula>
    </cfRule>
  </conditionalFormatting>
  <conditionalFormatting sqref="A166">
    <cfRule type="expression" dxfId="951" priority="496">
      <formula>D166&lt;F166</formula>
    </cfRule>
    <cfRule type="expression" dxfId="950" priority="497">
      <formula>C166&gt;F166</formula>
    </cfRule>
  </conditionalFormatting>
  <conditionalFormatting sqref="A177">
    <cfRule type="expression" dxfId="949" priority="494">
      <formula>D177&lt;F177</formula>
    </cfRule>
    <cfRule type="expression" dxfId="948" priority="495">
      <formula>C177&gt;F177</formula>
    </cfRule>
  </conditionalFormatting>
  <conditionalFormatting sqref="A176">
    <cfRule type="expression" dxfId="947" priority="492">
      <formula>D176&lt;F176</formula>
    </cfRule>
    <cfRule type="expression" dxfId="946" priority="493">
      <formula>C176&gt;F176</formula>
    </cfRule>
  </conditionalFormatting>
  <conditionalFormatting sqref="A175">
    <cfRule type="expression" dxfId="945" priority="490">
      <formula>D175&lt;F175</formula>
    </cfRule>
    <cfRule type="expression" dxfId="944" priority="491">
      <formula>C175&gt;F175</formula>
    </cfRule>
  </conditionalFormatting>
  <conditionalFormatting sqref="A174">
    <cfRule type="expression" dxfId="943" priority="488">
      <formula>D174&lt;F174</formula>
    </cfRule>
    <cfRule type="expression" dxfId="942" priority="489">
      <formula>C174&gt;F174</formula>
    </cfRule>
  </conditionalFormatting>
  <conditionalFormatting sqref="A173">
    <cfRule type="expression" dxfId="941" priority="486">
      <formula>D173&lt;F173</formula>
    </cfRule>
    <cfRule type="expression" dxfId="940" priority="487">
      <formula>C173&gt;F173</formula>
    </cfRule>
  </conditionalFormatting>
  <conditionalFormatting sqref="A172">
    <cfRule type="expression" dxfId="939" priority="484">
      <formula>D172&lt;F172</formula>
    </cfRule>
    <cfRule type="expression" dxfId="938" priority="485">
      <formula>C172&gt;F172</formula>
    </cfRule>
  </conditionalFormatting>
  <conditionalFormatting sqref="A183">
    <cfRule type="expression" dxfId="937" priority="482">
      <formula>D183&lt;F183</formula>
    </cfRule>
    <cfRule type="expression" dxfId="936" priority="483">
      <formula>C183&gt;F183</formula>
    </cfRule>
  </conditionalFormatting>
  <conditionalFormatting sqref="A182">
    <cfRule type="expression" dxfId="935" priority="480">
      <formula>D182&lt;F182</formula>
    </cfRule>
    <cfRule type="expression" dxfId="934" priority="481">
      <formula>C182&gt;F182</formula>
    </cfRule>
  </conditionalFormatting>
  <conditionalFormatting sqref="A181">
    <cfRule type="expression" dxfId="933" priority="478">
      <formula>D181&lt;F181</formula>
    </cfRule>
    <cfRule type="expression" dxfId="932" priority="479">
      <formula>C181&gt;F181</formula>
    </cfRule>
  </conditionalFormatting>
  <conditionalFormatting sqref="A180">
    <cfRule type="expression" dxfId="931" priority="476">
      <formula>D180&lt;F180</formula>
    </cfRule>
    <cfRule type="expression" dxfId="930" priority="477">
      <formula>C180&gt;F180</formula>
    </cfRule>
  </conditionalFormatting>
  <conditionalFormatting sqref="A179">
    <cfRule type="expression" dxfId="929" priority="474">
      <formula>D179&lt;F179</formula>
    </cfRule>
    <cfRule type="expression" dxfId="928" priority="475">
      <formula>C179&gt;F179</formula>
    </cfRule>
  </conditionalFormatting>
  <conditionalFormatting sqref="A178">
    <cfRule type="expression" dxfId="927" priority="472">
      <formula>D178&lt;F178</formula>
    </cfRule>
    <cfRule type="expression" dxfId="926" priority="473">
      <formula>C178&gt;F178</formula>
    </cfRule>
  </conditionalFormatting>
  <conditionalFormatting sqref="A189">
    <cfRule type="expression" dxfId="925" priority="470">
      <formula>D189&lt;F189</formula>
    </cfRule>
    <cfRule type="expression" dxfId="924" priority="471">
      <formula>C189&gt;F189</formula>
    </cfRule>
  </conditionalFormatting>
  <conditionalFormatting sqref="A188">
    <cfRule type="expression" dxfId="923" priority="468">
      <formula>D188&lt;F188</formula>
    </cfRule>
    <cfRule type="expression" dxfId="922" priority="469">
      <formula>C188&gt;F188</formula>
    </cfRule>
  </conditionalFormatting>
  <conditionalFormatting sqref="A187">
    <cfRule type="expression" dxfId="921" priority="466">
      <formula>D187&lt;F187</formula>
    </cfRule>
    <cfRule type="expression" dxfId="920" priority="467">
      <formula>C187&gt;F187</formula>
    </cfRule>
  </conditionalFormatting>
  <conditionalFormatting sqref="A186">
    <cfRule type="expression" dxfId="919" priority="464">
      <formula>D186&lt;F186</formula>
    </cfRule>
    <cfRule type="expression" dxfId="918" priority="465">
      <formula>C186&gt;F186</formula>
    </cfRule>
  </conditionalFormatting>
  <conditionalFormatting sqref="A185">
    <cfRule type="expression" dxfId="917" priority="462">
      <formula>D185&lt;F185</formula>
    </cfRule>
    <cfRule type="expression" dxfId="916" priority="463">
      <formula>C185&gt;F185</formula>
    </cfRule>
  </conditionalFormatting>
  <conditionalFormatting sqref="A184">
    <cfRule type="expression" dxfId="915" priority="460">
      <formula>D184&lt;F184</formula>
    </cfRule>
    <cfRule type="expression" dxfId="914" priority="461">
      <formula>C184&gt;F184</formula>
    </cfRule>
  </conditionalFormatting>
  <conditionalFormatting sqref="A195">
    <cfRule type="expression" dxfId="913" priority="458">
      <formula>D195&lt;F195</formula>
    </cfRule>
    <cfRule type="expression" dxfId="912" priority="459">
      <formula>C195&gt;F195</formula>
    </cfRule>
  </conditionalFormatting>
  <conditionalFormatting sqref="A194">
    <cfRule type="expression" dxfId="911" priority="456">
      <formula>D194&lt;F194</formula>
    </cfRule>
    <cfRule type="expression" dxfId="910" priority="457">
      <formula>C194&gt;F194</formula>
    </cfRule>
  </conditionalFormatting>
  <conditionalFormatting sqref="A193">
    <cfRule type="expression" dxfId="909" priority="454">
      <formula>D193&lt;F193</formula>
    </cfRule>
    <cfRule type="expression" dxfId="908" priority="455">
      <formula>C193&gt;F193</formula>
    </cfRule>
  </conditionalFormatting>
  <conditionalFormatting sqref="A192">
    <cfRule type="expression" dxfId="907" priority="452">
      <formula>D192&lt;F192</formula>
    </cfRule>
    <cfRule type="expression" dxfId="906" priority="453">
      <formula>C192&gt;F192</formula>
    </cfRule>
  </conditionalFormatting>
  <conditionalFormatting sqref="A191">
    <cfRule type="expression" dxfId="905" priority="450">
      <formula>D191&lt;F191</formula>
    </cfRule>
    <cfRule type="expression" dxfId="904" priority="451">
      <formula>C191&gt;F191</formula>
    </cfRule>
  </conditionalFormatting>
  <conditionalFormatting sqref="A190">
    <cfRule type="expression" dxfId="903" priority="448">
      <formula>D190&lt;F190</formula>
    </cfRule>
    <cfRule type="expression" dxfId="902" priority="449">
      <formula>C190&gt;F190</formula>
    </cfRule>
  </conditionalFormatting>
  <conditionalFormatting sqref="A201">
    <cfRule type="expression" dxfId="901" priority="446">
      <formula>D201&lt;F201</formula>
    </cfRule>
    <cfRule type="expression" dxfId="900" priority="447">
      <formula>C201&gt;F201</formula>
    </cfRule>
  </conditionalFormatting>
  <conditionalFormatting sqref="A200">
    <cfRule type="expression" dxfId="899" priority="444">
      <formula>D200&lt;F200</formula>
    </cfRule>
    <cfRule type="expression" dxfId="898" priority="445">
      <formula>C200&gt;F200</formula>
    </cfRule>
  </conditionalFormatting>
  <conditionalFormatting sqref="A199">
    <cfRule type="expression" dxfId="897" priority="442">
      <formula>D199&lt;F199</formula>
    </cfRule>
    <cfRule type="expression" dxfId="896" priority="443">
      <formula>C199&gt;F199</formula>
    </cfRule>
  </conditionalFormatting>
  <conditionalFormatting sqref="A198">
    <cfRule type="expression" dxfId="895" priority="440">
      <formula>D198&lt;F198</formula>
    </cfRule>
    <cfRule type="expression" dxfId="894" priority="441">
      <formula>C198&gt;F198</formula>
    </cfRule>
  </conditionalFormatting>
  <conditionalFormatting sqref="A197">
    <cfRule type="expression" dxfId="893" priority="438">
      <formula>D197&lt;F197</formula>
    </cfRule>
    <cfRule type="expression" dxfId="892" priority="439">
      <formula>C197&gt;F197</formula>
    </cfRule>
  </conditionalFormatting>
  <conditionalFormatting sqref="A196">
    <cfRule type="expression" dxfId="891" priority="436">
      <formula>D196&lt;F196</formula>
    </cfRule>
    <cfRule type="expression" dxfId="890" priority="437">
      <formula>C196&gt;F196</formula>
    </cfRule>
  </conditionalFormatting>
  <conditionalFormatting sqref="G30:G59">
    <cfRule type="cellIs" dxfId="889" priority="432" operator="greaterThan">
      <formula>0</formula>
    </cfRule>
    <cfRule type="cellIs" dxfId="888" priority="431" operator="lessThan">
      <formula>0</formula>
    </cfRule>
  </conditionalFormatting>
  <conditionalFormatting sqref="G26:G27">
    <cfRule type="cellIs" dxfId="887" priority="429" operator="lessThan">
      <formula>0</formula>
    </cfRule>
    <cfRule type="cellIs" dxfId="886" priority="430" operator="greaterThan">
      <formula>0</formula>
    </cfRule>
  </conditionalFormatting>
  <conditionalFormatting sqref="G28:G29">
    <cfRule type="cellIs" dxfId="885" priority="427" operator="lessThan">
      <formula>0</formula>
    </cfRule>
    <cfRule type="cellIs" dxfId="884" priority="428" operator="greaterThan">
      <formula>0</formula>
    </cfRule>
  </conditionalFormatting>
  <conditionalFormatting sqref="G60:G61">
    <cfRule type="cellIs" dxfId="883" priority="425" operator="lessThan">
      <formula>0</formula>
    </cfRule>
    <cfRule type="cellIs" dxfId="882" priority="426" operator="greaterThan">
      <formula>0</formula>
    </cfRule>
  </conditionalFormatting>
  <conditionalFormatting sqref="G62:G63">
    <cfRule type="cellIs" dxfId="881" priority="423" operator="lessThan">
      <formula>0</formula>
    </cfRule>
    <cfRule type="cellIs" dxfId="880" priority="424" operator="greaterThan">
      <formula>0</formula>
    </cfRule>
  </conditionalFormatting>
  <conditionalFormatting sqref="G64:G65">
    <cfRule type="cellIs" dxfId="879" priority="421" operator="lessThan">
      <formula>0</formula>
    </cfRule>
    <cfRule type="cellIs" dxfId="878" priority="422" operator="greaterThan">
      <formula>0</formula>
    </cfRule>
  </conditionalFormatting>
  <conditionalFormatting sqref="G66:G67">
    <cfRule type="cellIs" dxfId="877" priority="419" operator="lessThan">
      <formula>0</formula>
    </cfRule>
    <cfRule type="cellIs" dxfId="876" priority="420" operator="greaterThan">
      <formula>0</formula>
    </cfRule>
  </conditionalFormatting>
  <conditionalFormatting sqref="G68:G69">
    <cfRule type="cellIs" dxfId="875" priority="417" operator="lessThan">
      <formula>0</formula>
    </cfRule>
    <cfRule type="cellIs" dxfId="874" priority="418" operator="greaterThan">
      <formula>0</formula>
    </cfRule>
  </conditionalFormatting>
  <conditionalFormatting sqref="G70:G71">
    <cfRule type="cellIs" dxfId="873" priority="415" operator="lessThan">
      <formula>0</formula>
    </cfRule>
    <cfRule type="cellIs" dxfId="872" priority="416" operator="greaterThan">
      <formula>0</formula>
    </cfRule>
  </conditionalFormatting>
  <conditionalFormatting sqref="G72:G73">
    <cfRule type="cellIs" dxfId="871" priority="413" operator="lessThan">
      <formula>0</formula>
    </cfRule>
    <cfRule type="cellIs" dxfId="870" priority="414" operator="greaterThan">
      <formula>0</formula>
    </cfRule>
  </conditionalFormatting>
  <conditionalFormatting sqref="G74:G75">
    <cfRule type="cellIs" dxfId="869" priority="411" operator="lessThan">
      <formula>0</formula>
    </cfRule>
    <cfRule type="cellIs" dxfId="868" priority="412" operator="greaterThan">
      <formula>0</formula>
    </cfRule>
  </conditionalFormatting>
  <conditionalFormatting sqref="G76:G77">
    <cfRule type="cellIs" dxfId="867" priority="409" operator="lessThan">
      <formula>0</formula>
    </cfRule>
    <cfRule type="cellIs" dxfId="866" priority="410" operator="greaterThan">
      <formula>0</formula>
    </cfRule>
  </conditionalFormatting>
  <conditionalFormatting sqref="G78:G79">
    <cfRule type="cellIs" dxfId="865" priority="407" operator="lessThan">
      <formula>0</formula>
    </cfRule>
    <cfRule type="cellIs" dxfId="864" priority="408" operator="greaterThan">
      <formula>0</formula>
    </cfRule>
  </conditionalFormatting>
  <conditionalFormatting sqref="G80:G81">
    <cfRule type="cellIs" dxfId="863" priority="405" operator="lessThan">
      <formula>0</formula>
    </cfRule>
    <cfRule type="cellIs" dxfId="862" priority="406" operator="greaterThan">
      <formula>0</formula>
    </cfRule>
  </conditionalFormatting>
  <conditionalFormatting sqref="G82:G83">
    <cfRule type="cellIs" dxfId="861" priority="403" operator="lessThan">
      <formula>0</formula>
    </cfRule>
    <cfRule type="cellIs" dxfId="860" priority="404" operator="greaterThan">
      <formula>0</formula>
    </cfRule>
  </conditionalFormatting>
  <conditionalFormatting sqref="G84:G85">
    <cfRule type="cellIs" dxfId="859" priority="401" operator="lessThan">
      <formula>0</formula>
    </cfRule>
    <cfRule type="cellIs" dxfId="858" priority="402" operator="greaterThan">
      <formula>0</formula>
    </cfRule>
  </conditionalFormatting>
  <conditionalFormatting sqref="G86:G87">
    <cfRule type="cellIs" dxfId="857" priority="399" operator="lessThan">
      <formula>0</formula>
    </cfRule>
    <cfRule type="cellIs" dxfId="856" priority="400" operator="greaterThan">
      <formula>0</formula>
    </cfRule>
  </conditionalFormatting>
  <conditionalFormatting sqref="G88:G89">
    <cfRule type="cellIs" dxfId="855" priority="397" operator="lessThan">
      <formula>0</formula>
    </cfRule>
    <cfRule type="cellIs" dxfId="854" priority="398" operator="greaterThan">
      <formula>0</formula>
    </cfRule>
  </conditionalFormatting>
  <conditionalFormatting sqref="G90:G91">
    <cfRule type="cellIs" dxfId="853" priority="395" operator="lessThan">
      <formula>0</formula>
    </cfRule>
    <cfRule type="cellIs" dxfId="852" priority="396" operator="greaterThan">
      <formula>0</formula>
    </cfRule>
  </conditionalFormatting>
  <conditionalFormatting sqref="G92:G93">
    <cfRule type="cellIs" dxfId="851" priority="393" operator="lessThan">
      <formula>0</formula>
    </cfRule>
    <cfRule type="cellIs" dxfId="850" priority="394" operator="greaterThan">
      <formula>0</formula>
    </cfRule>
  </conditionalFormatting>
  <conditionalFormatting sqref="G94:G95">
    <cfRule type="cellIs" dxfId="849" priority="391" operator="lessThan">
      <formula>0</formula>
    </cfRule>
    <cfRule type="cellIs" dxfId="848" priority="392" operator="greaterThan">
      <formula>0</formula>
    </cfRule>
  </conditionalFormatting>
  <conditionalFormatting sqref="G96:G97">
    <cfRule type="cellIs" dxfId="847" priority="389" operator="lessThan">
      <formula>0</formula>
    </cfRule>
    <cfRule type="cellIs" dxfId="846" priority="390" operator="greaterThan">
      <formula>0</formula>
    </cfRule>
  </conditionalFormatting>
  <conditionalFormatting sqref="G98:G99">
    <cfRule type="cellIs" dxfId="845" priority="387" operator="lessThan">
      <formula>0</formula>
    </cfRule>
    <cfRule type="cellIs" dxfId="844" priority="388" operator="greaterThan">
      <formula>0</formula>
    </cfRule>
  </conditionalFormatting>
  <conditionalFormatting sqref="G100:G101">
    <cfRule type="cellIs" dxfId="843" priority="385" operator="lessThan">
      <formula>0</formula>
    </cfRule>
    <cfRule type="cellIs" dxfId="842" priority="386" operator="greaterThan">
      <formula>0</formula>
    </cfRule>
  </conditionalFormatting>
  <conditionalFormatting sqref="G102:G103">
    <cfRule type="cellIs" dxfId="841" priority="383" operator="lessThan">
      <formula>0</formula>
    </cfRule>
    <cfRule type="cellIs" dxfId="840" priority="384" operator="greaterThan">
      <formula>0</formula>
    </cfRule>
  </conditionalFormatting>
  <conditionalFormatting sqref="G104:G105">
    <cfRule type="cellIs" dxfId="839" priority="381" operator="lessThan">
      <formula>0</formula>
    </cfRule>
    <cfRule type="cellIs" dxfId="838" priority="382" operator="greaterThan">
      <formula>0</formula>
    </cfRule>
  </conditionalFormatting>
  <conditionalFormatting sqref="G106:G107">
    <cfRule type="cellIs" dxfId="837" priority="379" operator="lessThan">
      <formula>0</formula>
    </cfRule>
    <cfRule type="cellIs" dxfId="836" priority="380" operator="greaterThan">
      <formula>0</formula>
    </cfRule>
  </conditionalFormatting>
  <conditionalFormatting sqref="G108:G109">
    <cfRule type="cellIs" dxfId="835" priority="377" operator="lessThan">
      <formula>0</formula>
    </cfRule>
    <cfRule type="cellIs" dxfId="834" priority="378" operator="greaterThan">
      <formula>0</formula>
    </cfRule>
  </conditionalFormatting>
  <conditionalFormatting sqref="G110:G111">
    <cfRule type="cellIs" dxfId="833" priority="375" operator="lessThan">
      <formula>0</formula>
    </cfRule>
    <cfRule type="cellIs" dxfId="832" priority="376" operator="greaterThan">
      <formula>0</formula>
    </cfRule>
  </conditionalFormatting>
  <conditionalFormatting sqref="G112:G113">
    <cfRule type="cellIs" dxfId="831" priority="373" operator="lessThan">
      <formula>0</formula>
    </cfRule>
    <cfRule type="cellIs" dxfId="830" priority="374" operator="greaterThan">
      <formula>0</formula>
    </cfRule>
  </conditionalFormatting>
  <conditionalFormatting sqref="G114:G115">
    <cfRule type="cellIs" dxfId="829" priority="371" operator="lessThan">
      <formula>0</formula>
    </cfRule>
    <cfRule type="cellIs" dxfId="828" priority="372" operator="greaterThan">
      <formula>0</formula>
    </cfRule>
  </conditionalFormatting>
  <conditionalFormatting sqref="G116:G117">
    <cfRule type="cellIs" dxfId="827" priority="369" operator="lessThan">
      <formula>0</formula>
    </cfRule>
    <cfRule type="cellIs" dxfId="826" priority="370" operator="greaterThan">
      <formula>0</formula>
    </cfRule>
  </conditionalFormatting>
  <conditionalFormatting sqref="G118:G119">
    <cfRule type="cellIs" dxfId="825" priority="367" operator="lessThan">
      <formula>0</formula>
    </cfRule>
    <cfRule type="cellIs" dxfId="824" priority="368" operator="greaterThan">
      <formula>0</formula>
    </cfRule>
  </conditionalFormatting>
  <conditionalFormatting sqref="G120:G121">
    <cfRule type="cellIs" dxfId="823" priority="365" operator="lessThan">
      <formula>0</formula>
    </cfRule>
    <cfRule type="cellIs" dxfId="822" priority="366" operator="greaterThan">
      <formula>0</formula>
    </cfRule>
  </conditionalFormatting>
  <conditionalFormatting sqref="G122:G123">
    <cfRule type="cellIs" dxfId="821" priority="363" operator="lessThan">
      <formula>0</formula>
    </cfRule>
    <cfRule type="cellIs" dxfId="820" priority="364" operator="greaterThan">
      <formula>0</formula>
    </cfRule>
  </conditionalFormatting>
  <conditionalFormatting sqref="G124:G125">
    <cfRule type="cellIs" dxfId="819" priority="361" operator="lessThan">
      <formula>0</formula>
    </cfRule>
    <cfRule type="cellIs" dxfId="818" priority="362" operator="greaterThan">
      <formula>0</formula>
    </cfRule>
  </conditionalFormatting>
  <conditionalFormatting sqref="G126:G127">
    <cfRule type="cellIs" dxfId="817" priority="359" operator="lessThan">
      <formula>0</formula>
    </cfRule>
    <cfRule type="cellIs" dxfId="816" priority="360" operator="greaterThan">
      <formula>0</formula>
    </cfRule>
  </conditionalFormatting>
  <conditionalFormatting sqref="G128:G129">
    <cfRule type="cellIs" dxfId="815" priority="357" operator="lessThan">
      <formula>0</formula>
    </cfRule>
    <cfRule type="cellIs" dxfId="814" priority="358" operator="greaterThan">
      <formula>0</formula>
    </cfRule>
  </conditionalFormatting>
  <conditionalFormatting sqref="G130:G131">
    <cfRule type="cellIs" dxfId="813" priority="355" operator="lessThan">
      <formula>0</formula>
    </cfRule>
    <cfRule type="cellIs" dxfId="812" priority="356" operator="greaterThan">
      <formula>0</formula>
    </cfRule>
  </conditionalFormatting>
  <conditionalFormatting sqref="G132:G133">
    <cfRule type="cellIs" dxfId="811" priority="353" operator="lessThan">
      <formula>0</formula>
    </cfRule>
    <cfRule type="cellIs" dxfId="810" priority="354" operator="greaterThan">
      <formula>0</formula>
    </cfRule>
  </conditionalFormatting>
  <conditionalFormatting sqref="G134:G135">
    <cfRule type="cellIs" dxfId="809" priority="351" operator="lessThan">
      <formula>0</formula>
    </cfRule>
    <cfRule type="cellIs" dxfId="808" priority="352" operator="greaterThan">
      <formula>0</formula>
    </cfRule>
  </conditionalFormatting>
  <conditionalFormatting sqref="G136:G137">
    <cfRule type="cellIs" dxfId="807" priority="349" operator="lessThan">
      <formula>0</formula>
    </cfRule>
    <cfRule type="cellIs" dxfId="806" priority="350" operator="greaterThan">
      <formula>0</formula>
    </cfRule>
  </conditionalFormatting>
  <conditionalFormatting sqref="G138:G139">
    <cfRule type="cellIs" dxfId="805" priority="347" operator="lessThan">
      <formula>0</formula>
    </cfRule>
    <cfRule type="cellIs" dxfId="804" priority="348" operator="greaterThan">
      <formula>0</formula>
    </cfRule>
  </conditionalFormatting>
  <conditionalFormatting sqref="G140:G141">
    <cfRule type="cellIs" dxfId="803" priority="345" operator="lessThan">
      <formula>0</formula>
    </cfRule>
    <cfRule type="cellIs" dxfId="802" priority="346" operator="greaterThan">
      <formula>0</formula>
    </cfRule>
  </conditionalFormatting>
  <conditionalFormatting sqref="G142:G143">
    <cfRule type="cellIs" dxfId="801" priority="343" operator="lessThan">
      <formula>0</formula>
    </cfRule>
    <cfRule type="cellIs" dxfId="800" priority="344" operator="greaterThan">
      <formula>0</formula>
    </cfRule>
  </conditionalFormatting>
  <conditionalFormatting sqref="G144:G145">
    <cfRule type="cellIs" dxfId="799" priority="341" operator="lessThan">
      <formula>0</formula>
    </cfRule>
    <cfRule type="cellIs" dxfId="798" priority="342" operator="greaterThan">
      <formula>0</formula>
    </cfRule>
  </conditionalFormatting>
  <conditionalFormatting sqref="G146:G147">
    <cfRule type="cellIs" dxfId="797" priority="339" operator="lessThan">
      <formula>0</formula>
    </cfRule>
    <cfRule type="cellIs" dxfId="796" priority="340" operator="greaterThan">
      <formula>0</formula>
    </cfRule>
  </conditionalFormatting>
  <conditionalFormatting sqref="G148:G149">
    <cfRule type="cellIs" dxfId="795" priority="337" operator="lessThan">
      <formula>0</formula>
    </cfRule>
    <cfRule type="cellIs" dxfId="794" priority="338" operator="greaterThan">
      <formula>0</formula>
    </cfRule>
  </conditionalFormatting>
  <conditionalFormatting sqref="G150:G151">
    <cfRule type="cellIs" dxfId="793" priority="335" operator="lessThan">
      <formula>0</formula>
    </cfRule>
    <cfRule type="cellIs" dxfId="792" priority="336" operator="greaterThan">
      <formula>0</formula>
    </cfRule>
  </conditionalFormatting>
  <conditionalFormatting sqref="G152:G153">
    <cfRule type="cellIs" dxfId="791" priority="333" operator="lessThan">
      <formula>0</formula>
    </cfRule>
    <cfRule type="cellIs" dxfId="790" priority="334" operator="greaterThan">
      <formula>0</formula>
    </cfRule>
  </conditionalFormatting>
  <conditionalFormatting sqref="G154:G155">
    <cfRule type="cellIs" dxfId="789" priority="331" operator="lessThan">
      <formula>0</formula>
    </cfRule>
    <cfRule type="cellIs" dxfId="788" priority="332" operator="greaterThan">
      <formula>0</formula>
    </cfRule>
  </conditionalFormatting>
  <conditionalFormatting sqref="G156:G157">
    <cfRule type="cellIs" dxfId="787" priority="329" operator="lessThan">
      <formula>0</formula>
    </cfRule>
    <cfRule type="cellIs" dxfId="786" priority="330" operator="greaterThan">
      <formula>0</formula>
    </cfRule>
  </conditionalFormatting>
  <conditionalFormatting sqref="G158:G159">
    <cfRule type="cellIs" dxfId="785" priority="327" operator="lessThan">
      <formula>0</formula>
    </cfRule>
    <cfRule type="cellIs" dxfId="784" priority="328" operator="greaterThan">
      <formula>0</formula>
    </cfRule>
  </conditionalFormatting>
  <conditionalFormatting sqref="G160:G161">
    <cfRule type="cellIs" dxfId="783" priority="325" operator="lessThan">
      <formula>0</formula>
    </cfRule>
    <cfRule type="cellIs" dxfId="782" priority="326" operator="greaterThan">
      <formula>0</formula>
    </cfRule>
  </conditionalFormatting>
  <conditionalFormatting sqref="G162:G163">
    <cfRule type="cellIs" dxfId="781" priority="323" operator="lessThan">
      <formula>0</formula>
    </cfRule>
    <cfRule type="cellIs" dxfId="780" priority="324" operator="greaterThan">
      <formula>0</formula>
    </cfRule>
  </conditionalFormatting>
  <conditionalFormatting sqref="G164:G165">
    <cfRule type="cellIs" dxfId="779" priority="321" operator="lessThan">
      <formula>0</formula>
    </cfRule>
    <cfRule type="cellIs" dxfId="778" priority="322" operator="greaterThan">
      <formula>0</formula>
    </cfRule>
  </conditionalFormatting>
  <conditionalFormatting sqref="G166:G167">
    <cfRule type="cellIs" dxfId="777" priority="319" operator="lessThan">
      <formula>0</formula>
    </cfRule>
    <cfRule type="cellIs" dxfId="776" priority="320" operator="greaterThan">
      <formula>0</formula>
    </cfRule>
  </conditionalFormatting>
  <conditionalFormatting sqref="G168:G169">
    <cfRule type="cellIs" dxfId="775" priority="317" operator="lessThan">
      <formula>0</formula>
    </cfRule>
    <cfRule type="cellIs" dxfId="774" priority="318" operator="greaterThan">
      <formula>0</formula>
    </cfRule>
  </conditionalFormatting>
  <conditionalFormatting sqref="G170:G171">
    <cfRule type="cellIs" dxfId="773" priority="315" operator="lessThan">
      <formula>0</formula>
    </cfRule>
    <cfRule type="cellIs" dxfId="772" priority="316" operator="greaterThan">
      <formula>0</formula>
    </cfRule>
  </conditionalFormatting>
  <conditionalFormatting sqref="G172:G173">
    <cfRule type="cellIs" dxfId="771" priority="313" operator="lessThan">
      <formula>0</formula>
    </cfRule>
    <cfRule type="cellIs" dxfId="770" priority="314" operator="greaterThan">
      <formula>0</formula>
    </cfRule>
  </conditionalFormatting>
  <conditionalFormatting sqref="G174:G175">
    <cfRule type="cellIs" dxfId="769" priority="311" operator="lessThan">
      <formula>0</formula>
    </cfRule>
    <cfRule type="cellIs" dxfId="768" priority="312" operator="greaterThan">
      <formula>0</formula>
    </cfRule>
  </conditionalFormatting>
  <conditionalFormatting sqref="G176:G177">
    <cfRule type="cellIs" dxfId="767" priority="309" operator="lessThan">
      <formula>0</formula>
    </cfRule>
    <cfRule type="cellIs" dxfId="766" priority="310" operator="greaterThan">
      <formula>0</formula>
    </cfRule>
  </conditionalFormatting>
  <conditionalFormatting sqref="G178:G179">
    <cfRule type="cellIs" dxfId="765" priority="307" operator="lessThan">
      <formula>0</formula>
    </cfRule>
    <cfRule type="cellIs" dxfId="764" priority="308" operator="greaterThan">
      <formula>0</formula>
    </cfRule>
  </conditionalFormatting>
  <conditionalFormatting sqref="G180:G181">
    <cfRule type="cellIs" dxfId="763" priority="305" operator="lessThan">
      <formula>0</formula>
    </cfRule>
    <cfRule type="cellIs" dxfId="762" priority="306" operator="greaterThan">
      <formula>0</formula>
    </cfRule>
  </conditionalFormatting>
  <conditionalFormatting sqref="G182:G183">
    <cfRule type="cellIs" dxfId="761" priority="303" operator="lessThan">
      <formula>0</formula>
    </cfRule>
    <cfRule type="cellIs" dxfId="760" priority="304" operator="greaterThan">
      <formula>0</formula>
    </cfRule>
  </conditionalFormatting>
  <conditionalFormatting sqref="G184:G185">
    <cfRule type="cellIs" dxfId="759" priority="301" operator="lessThan">
      <formula>0</formula>
    </cfRule>
    <cfRule type="cellIs" dxfId="758" priority="302" operator="greaterThan">
      <formula>0</formula>
    </cfRule>
  </conditionalFormatting>
  <conditionalFormatting sqref="G186:G187">
    <cfRule type="cellIs" dxfId="757" priority="299" operator="lessThan">
      <formula>0</formula>
    </cfRule>
    <cfRule type="cellIs" dxfId="756" priority="300" operator="greaterThan">
      <formula>0</formula>
    </cfRule>
  </conditionalFormatting>
  <conditionalFormatting sqref="G188:G189">
    <cfRule type="cellIs" dxfId="755" priority="297" operator="lessThan">
      <formula>0</formula>
    </cfRule>
    <cfRule type="cellIs" dxfId="754" priority="298" operator="greaterThan">
      <formula>0</formula>
    </cfRule>
  </conditionalFormatting>
  <conditionalFormatting sqref="G190:G191">
    <cfRule type="cellIs" dxfId="753" priority="295" operator="lessThan">
      <formula>0</formula>
    </cfRule>
    <cfRule type="cellIs" dxfId="752" priority="296" operator="greaterThan">
      <formula>0</formula>
    </cfRule>
  </conditionalFormatting>
  <conditionalFormatting sqref="G192:G193">
    <cfRule type="cellIs" dxfId="751" priority="293" operator="lessThan">
      <formula>0</formula>
    </cfRule>
    <cfRule type="cellIs" dxfId="750" priority="294" operator="greaterThan">
      <formula>0</formula>
    </cfRule>
  </conditionalFormatting>
  <conditionalFormatting sqref="G194:G195">
    <cfRule type="cellIs" dxfId="749" priority="291" operator="lessThan">
      <formula>0</formula>
    </cfRule>
    <cfRule type="cellIs" dxfId="748" priority="292" operator="greaterThan">
      <formula>0</formula>
    </cfRule>
  </conditionalFormatting>
  <conditionalFormatting sqref="G196:G197">
    <cfRule type="cellIs" dxfId="747" priority="289" operator="lessThan">
      <formula>0</formula>
    </cfRule>
    <cfRule type="cellIs" dxfId="746" priority="290" operator="greaterThan">
      <formula>0</formula>
    </cfRule>
  </conditionalFormatting>
  <conditionalFormatting sqref="G198:G199">
    <cfRule type="cellIs" dxfId="745" priority="287" operator="lessThan">
      <formula>0</formula>
    </cfRule>
    <cfRule type="cellIs" dxfId="744" priority="288" operator="greaterThan">
      <formula>0</formula>
    </cfRule>
  </conditionalFormatting>
  <conditionalFormatting sqref="G200:G201">
    <cfRule type="cellIs" dxfId="743" priority="285" operator="lessThan">
      <formula>0</formula>
    </cfRule>
    <cfRule type="cellIs" dxfId="742" priority="286" operator="greaterThan">
      <formula>0</formula>
    </cfRule>
  </conditionalFormatting>
  <conditionalFormatting sqref="V2:V59">
    <cfRule type="cellIs" dxfId="741" priority="283" operator="lessThan">
      <formula>0</formula>
    </cfRule>
    <cfRule type="cellIs" dxfId="740" priority="284" operator="equal">
      <formula>0</formula>
    </cfRule>
  </conditionalFormatting>
  <conditionalFormatting sqref="G2:G3">
    <cfRule type="cellIs" dxfId="739" priority="281" operator="lessThan">
      <formula>0</formula>
    </cfRule>
    <cfRule type="cellIs" dxfId="738" priority="282" operator="greaterThan">
      <formula>0</formula>
    </cfRule>
  </conditionalFormatting>
  <conditionalFormatting sqref="G4:G5">
    <cfRule type="cellIs" dxfId="737" priority="279" operator="lessThan">
      <formula>0</formula>
    </cfRule>
    <cfRule type="cellIs" dxfId="736" priority="280" operator="greaterThan">
      <formula>0</formula>
    </cfRule>
  </conditionalFormatting>
  <conditionalFormatting sqref="G6:G7">
    <cfRule type="cellIs" dxfId="735" priority="277" operator="lessThan">
      <formula>0</formula>
    </cfRule>
    <cfRule type="cellIs" dxfId="734" priority="278" operator="greaterThan">
      <formula>0</formula>
    </cfRule>
  </conditionalFormatting>
  <conditionalFormatting sqref="G8:G9">
    <cfRule type="cellIs" dxfId="733" priority="275" operator="lessThan">
      <formula>0</formula>
    </cfRule>
    <cfRule type="cellIs" dxfId="732" priority="276" operator="greaterThan">
      <formula>0</formula>
    </cfRule>
  </conditionalFormatting>
  <conditionalFormatting sqref="G10:G11">
    <cfRule type="cellIs" dxfId="731" priority="273" operator="lessThan">
      <formula>0</formula>
    </cfRule>
    <cfRule type="cellIs" dxfId="730" priority="274" operator="greaterThan">
      <formula>0</formula>
    </cfRule>
  </conditionalFormatting>
  <conditionalFormatting sqref="G12:G13">
    <cfRule type="cellIs" dxfId="729" priority="271" operator="lessThan">
      <formula>0</formula>
    </cfRule>
    <cfRule type="cellIs" dxfId="728" priority="272" operator="greaterThan">
      <formula>0</formula>
    </cfRule>
  </conditionalFormatting>
  <conditionalFormatting sqref="G14:G15">
    <cfRule type="cellIs" dxfId="727" priority="269" operator="lessThan">
      <formula>0</formula>
    </cfRule>
    <cfRule type="cellIs" dxfId="726" priority="270" operator="greaterThan">
      <formula>0</formula>
    </cfRule>
  </conditionalFormatting>
  <conditionalFormatting sqref="G16:G17">
    <cfRule type="cellIs" dxfId="725" priority="267" operator="lessThan">
      <formula>0</formula>
    </cfRule>
    <cfRule type="cellIs" dxfId="724" priority="268" operator="greaterThan">
      <formula>0</formula>
    </cfRule>
  </conditionalFormatting>
  <conditionalFormatting sqref="G18:G19">
    <cfRule type="cellIs" dxfId="723" priority="265" operator="lessThan">
      <formula>0</formula>
    </cfRule>
    <cfRule type="cellIs" dxfId="722" priority="266" operator="greaterThan">
      <formula>0</formula>
    </cfRule>
  </conditionalFormatting>
  <conditionalFormatting sqref="G20:G21">
    <cfRule type="cellIs" dxfId="721" priority="263" operator="lessThan">
      <formula>0</formula>
    </cfRule>
    <cfRule type="cellIs" dxfId="720" priority="264" operator="greaterThan">
      <formula>0</formula>
    </cfRule>
  </conditionalFormatting>
  <conditionalFormatting sqref="G22:G23">
    <cfRule type="cellIs" dxfId="719" priority="261" operator="lessThan">
      <formula>0</formula>
    </cfRule>
    <cfRule type="cellIs" dxfId="718" priority="262" operator="greaterThan">
      <formula>0</formula>
    </cfRule>
  </conditionalFormatting>
  <conditionalFormatting sqref="G24:G25">
    <cfRule type="cellIs" dxfId="717" priority="259" operator="lessThan">
      <formula>0</formula>
    </cfRule>
    <cfRule type="cellIs" dxfId="716" priority="260" operator="greaterThan">
      <formula>0</formula>
    </cfRule>
  </conditionalFormatting>
  <conditionalFormatting sqref="W33">
    <cfRule type="cellIs" dxfId="715" priority="233" operator="equal">
      <formula>"STOP"</formula>
    </cfRule>
    <cfRule type="expression" dxfId="714" priority="234">
      <formula>X33&gt;F33*100</formula>
    </cfRule>
    <cfRule type="cellIs" dxfId="713" priority="236" operator="equal">
      <formula>0</formula>
    </cfRule>
  </conditionalFormatting>
  <conditionalFormatting sqref="W33">
    <cfRule type="cellIs" dxfId="712" priority="235" operator="equal">
      <formula>"TRAILING"</formula>
    </cfRule>
  </conditionalFormatting>
  <conditionalFormatting sqref="W32">
    <cfRule type="cellIs" dxfId="711" priority="229" operator="equal">
      <formula>"STOP"</formula>
    </cfRule>
    <cfRule type="expression" dxfId="710" priority="230">
      <formula>X32&gt;F32*100</formula>
    </cfRule>
    <cfRule type="cellIs" dxfId="709" priority="232" operator="equal">
      <formula>0</formula>
    </cfRule>
  </conditionalFormatting>
  <conditionalFormatting sqref="W32">
    <cfRule type="cellIs" dxfId="708" priority="231" operator="equal">
      <formula>"TRAILING"</formula>
    </cfRule>
  </conditionalFormatting>
  <conditionalFormatting sqref="W31">
    <cfRule type="cellIs" dxfId="707" priority="225" operator="equal">
      <formula>"STOP"</formula>
    </cfRule>
    <cfRule type="expression" dxfId="706" priority="226">
      <formula>X31&gt;F31*100</formula>
    </cfRule>
    <cfRule type="cellIs" dxfId="705" priority="228" operator="equal">
      <formula>0</formula>
    </cfRule>
  </conditionalFormatting>
  <conditionalFormatting sqref="W31">
    <cfRule type="cellIs" dxfId="704" priority="227" operator="equal">
      <formula>"TRAILING"</formula>
    </cfRule>
  </conditionalFormatting>
  <conditionalFormatting sqref="W30">
    <cfRule type="cellIs" dxfId="703" priority="221" operator="equal">
      <formula>"STOP"</formula>
    </cfRule>
    <cfRule type="expression" dxfId="702" priority="222">
      <formula>X30&gt;F30*100</formula>
    </cfRule>
    <cfRule type="cellIs" dxfId="701" priority="224" operator="equal">
      <formula>0</formula>
    </cfRule>
  </conditionalFormatting>
  <conditionalFormatting sqref="W30">
    <cfRule type="cellIs" dxfId="700" priority="223" operator="equal">
      <formula>"TRAILING"</formula>
    </cfRule>
  </conditionalFormatting>
  <conditionalFormatting sqref="W35">
    <cfRule type="cellIs" dxfId="699" priority="213" operator="equal">
      <formula>"STOP"</formula>
    </cfRule>
    <cfRule type="expression" dxfId="698" priority="214">
      <formula>X35&gt;F35*100</formula>
    </cfRule>
    <cfRule type="cellIs" dxfId="697" priority="216" operator="equal">
      <formula>0</formula>
    </cfRule>
  </conditionalFormatting>
  <conditionalFormatting sqref="W35">
    <cfRule type="cellIs" dxfId="696" priority="215" operator="equal">
      <formula>"TRAILING"</formula>
    </cfRule>
  </conditionalFormatting>
  <conditionalFormatting sqref="W34">
    <cfRule type="cellIs" dxfId="695" priority="209" operator="equal">
      <formula>"STOP"</formula>
    </cfRule>
    <cfRule type="expression" dxfId="694" priority="210">
      <formula>X34&gt;F34*100</formula>
    </cfRule>
    <cfRule type="cellIs" dxfId="693" priority="212" operator="equal">
      <formula>0</formula>
    </cfRule>
  </conditionalFormatting>
  <conditionalFormatting sqref="W34">
    <cfRule type="cellIs" dxfId="692" priority="211" operator="equal">
      <formula>"TRAILING"</formula>
    </cfRule>
  </conditionalFormatting>
  <conditionalFormatting sqref="W37">
    <cfRule type="cellIs" dxfId="691" priority="205" operator="equal">
      <formula>"STOP"</formula>
    </cfRule>
    <cfRule type="expression" dxfId="690" priority="206">
      <formula>X37&gt;F37*100</formula>
    </cfRule>
    <cfRule type="cellIs" dxfId="689" priority="208" operator="equal">
      <formula>0</formula>
    </cfRule>
  </conditionalFormatting>
  <conditionalFormatting sqref="W37">
    <cfRule type="cellIs" dxfId="688" priority="207" operator="equal">
      <formula>"TRAILING"</formula>
    </cfRule>
  </conditionalFormatting>
  <conditionalFormatting sqref="W36">
    <cfRule type="cellIs" dxfId="687" priority="201" operator="equal">
      <formula>"STOP"</formula>
    </cfRule>
    <cfRule type="expression" dxfId="686" priority="202">
      <formula>X36&gt;F36*100</formula>
    </cfRule>
    <cfRule type="cellIs" dxfId="685" priority="204" operator="equal">
      <formula>0</formula>
    </cfRule>
  </conditionalFormatting>
  <conditionalFormatting sqref="W36">
    <cfRule type="cellIs" dxfId="684" priority="203" operator="equal">
      <formula>"TRAILING"</formula>
    </cfRule>
  </conditionalFormatting>
  <conditionalFormatting sqref="W39">
    <cfRule type="cellIs" dxfId="683" priority="197" operator="equal">
      <formula>"STOP"</formula>
    </cfRule>
    <cfRule type="expression" dxfId="682" priority="198">
      <formula>X39&gt;F39*100</formula>
    </cfRule>
    <cfRule type="cellIs" dxfId="681" priority="200" operator="equal">
      <formula>0</formula>
    </cfRule>
  </conditionalFormatting>
  <conditionalFormatting sqref="W39">
    <cfRule type="cellIs" dxfId="680" priority="199" operator="equal">
      <formula>"TRAILING"</formula>
    </cfRule>
  </conditionalFormatting>
  <conditionalFormatting sqref="W38">
    <cfRule type="cellIs" dxfId="679" priority="193" operator="equal">
      <formula>"STOP"</formula>
    </cfRule>
    <cfRule type="expression" dxfId="678" priority="194">
      <formula>X38&gt;F38*100</formula>
    </cfRule>
    <cfRule type="cellIs" dxfId="677" priority="196" operator="equal">
      <formula>0</formula>
    </cfRule>
  </conditionalFormatting>
  <conditionalFormatting sqref="W38">
    <cfRule type="cellIs" dxfId="676" priority="195" operator="equal">
      <formula>"TRAILING"</formula>
    </cfRule>
  </conditionalFormatting>
  <conditionalFormatting sqref="W43">
    <cfRule type="cellIs" dxfId="675" priority="189" operator="equal">
      <formula>"STOP"</formula>
    </cfRule>
    <cfRule type="expression" dxfId="674" priority="190">
      <formula>X43&gt;F43*100</formula>
    </cfRule>
    <cfRule type="cellIs" dxfId="673" priority="192" operator="equal">
      <formula>0</formula>
    </cfRule>
  </conditionalFormatting>
  <conditionalFormatting sqref="W43">
    <cfRule type="cellIs" dxfId="672" priority="191" operator="equal">
      <formula>"TRAILING"</formula>
    </cfRule>
  </conditionalFormatting>
  <conditionalFormatting sqref="W42">
    <cfRule type="cellIs" dxfId="671" priority="185" operator="equal">
      <formula>"STOP"</formula>
    </cfRule>
    <cfRule type="expression" dxfId="670" priority="186">
      <formula>X42&gt;F42*100</formula>
    </cfRule>
    <cfRule type="cellIs" dxfId="669" priority="188" operator="equal">
      <formula>0</formula>
    </cfRule>
  </conditionalFormatting>
  <conditionalFormatting sqref="W42">
    <cfRule type="cellIs" dxfId="668" priority="187" operator="equal">
      <formula>"TRAILING"</formula>
    </cfRule>
  </conditionalFormatting>
  <conditionalFormatting sqref="W41">
    <cfRule type="cellIs" dxfId="667" priority="181" operator="equal">
      <formula>"STOP"</formula>
    </cfRule>
    <cfRule type="expression" dxfId="666" priority="182">
      <formula>X41&gt;F41*100</formula>
    </cfRule>
    <cfRule type="cellIs" dxfId="665" priority="184" operator="equal">
      <formula>0</formula>
    </cfRule>
  </conditionalFormatting>
  <conditionalFormatting sqref="W41">
    <cfRule type="cellIs" dxfId="664" priority="183" operator="equal">
      <formula>"TRAILING"</formula>
    </cfRule>
  </conditionalFormatting>
  <conditionalFormatting sqref="W40">
    <cfRule type="cellIs" dxfId="663" priority="177" operator="equal">
      <formula>"STOP"</formula>
    </cfRule>
    <cfRule type="expression" dxfId="662" priority="178">
      <formula>X40&gt;F40*100</formula>
    </cfRule>
    <cfRule type="cellIs" dxfId="661" priority="180" operator="equal">
      <formula>0</formula>
    </cfRule>
  </conditionalFormatting>
  <conditionalFormatting sqref="W40">
    <cfRule type="cellIs" dxfId="660" priority="179" operator="equal">
      <formula>"TRAILING"</formula>
    </cfRule>
  </conditionalFormatting>
  <conditionalFormatting sqref="W45">
    <cfRule type="cellIs" dxfId="659" priority="173" operator="equal">
      <formula>"STOP"</formula>
    </cfRule>
    <cfRule type="expression" dxfId="658" priority="174">
      <formula>X45&gt;F45*100</formula>
    </cfRule>
    <cfRule type="cellIs" dxfId="657" priority="176" operator="equal">
      <formula>0</formula>
    </cfRule>
  </conditionalFormatting>
  <conditionalFormatting sqref="W45">
    <cfRule type="cellIs" dxfId="656" priority="175" operator="equal">
      <formula>"TRAILING"</formula>
    </cfRule>
  </conditionalFormatting>
  <conditionalFormatting sqref="W44">
    <cfRule type="cellIs" dxfId="655" priority="169" operator="equal">
      <formula>"STOP"</formula>
    </cfRule>
    <cfRule type="expression" dxfId="654" priority="170">
      <formula>X44&gt;F44*100</formula>
    </cfRule>
    <cfRule type="cellIs" dxfId="653" priority="172" operator="equal">
      <formula>0</formula>
    </cfRule>
  </conditionalFormatting>
  <conditionalFormatting sqref="W44">
    <cfRule type="cellIs" dxfId="652" priority="171" operator="equal">
      <formula>"TRAILING"</formula>
    </cfRule>
  </conditionalFormatting>
  <conditionalFormatting sqref="W47">
    <cfRule type="cellIs" dxfId="651" priority="165" operator="equal">
      <formula>"STOP"</formula>
    </cfRule>
    <cfRule type="expression" dxfId="650" priority="166">
      <formula>X47&gt;F47*100</formula>
    </cfRule>
    <cfRule type="cellIs" dxfId="649" priority="168" operator="equal">
      <formula>0</formula>
    </cfRule>
  </conditionalFormatting>
  <conditionalFormatting sqref="W47">
    <cfRule type="cellIs" dxfId="648" priority="167" operator="equal">
      <formula>"TRAILING"</formula>
    </cfRule>
  </conditionalFormatting>
  <conditionalFormatting sqref="W46">
    <cfRule type="cellIs" dxfId="647" priority="161" operator="equal">
      <formula>"STOP"</formula>
    </cfRule>
    <cfRule type="expression" dxfId="646" priority="162">
      <formula>X46&gt;F46*100</formula>
    </cfRule>
    <cfRule type="cellIs" dxfId="645" priority="164" operator="equal">
      <formula>0</formula>
    </cfRule>
  </conditionalFormatting>
  <conditionalFormatting sqref="W46">
    <cfRule type="cellIs" dxfId="644" priority="163" operator="equal">
      <formula>"TRAILING"</formula>
    </cfRule>
  </conditionalFormatting>
  <conditionalFormatting sqref="W49">
    <cfRule type="cellIs" dxfId="643" priority="157" operator="equal">
      <formula>"STOP"</formula>
    </cfRule>
    <cfRule type="expression" dxfId="642" priority="158">
      <formula>X49&gt;F49*100</formula>
    </cfRule>
    <cfRule type="cellIs" dxfId="641" priority="160" operator="equal">
      <formula>0</formula>
    </cfRule>
  </conditionalFormatting>
  <conditionalFormatting sqref="W49">
    <cfRule type="cellIs" dxfId="640" priority="159" operator="equal">
      <formula>"TRAILING"</formula>
    </cfRule>
  </conditionalFormatting>
  <conditionalFormatting sqref="W48">
    <cfRule type="cellIs" dxfId="639" priority="153" operator="equal">
      <formula>"STOP"</formula>
    </cfRule>
    <cfRule type="expression" dxfId="638" priority="154">
      <formula>X48&gt;F48*100</formula>
    </cfRule>
    <cfRule type="cellIs" dxfId="637" priority="156" operator="equal">
      <formula>0</formula>
    </cfRule>
  </conditionalFormatting>
  <conditionalFormatting sqref="W48">
    <cfRule type="cellIs" dxfId="636" priority="155" operator="equal">
      <formula>"TRAILING"</formula>
    </cfRule>
  </conditionalFormatting>
  <conditionalFormatting sqref="W53">
    <cfRule type="cellIs" dxfId="635" priority="149" operator="equal">
      <formula>"STOP"</formula>
    </cfRule>
    <cfRule type="expression" dxfId="634" priority="150">
      <formula>X53&gt;F53*100</formula>
    </cfRule>
    <cfRule type="cellIs" dxfId="633" priority="152" operator="equal">
      <formula>0</formula>
    </cfRule>
  </conditionalFormatting>
  <conditionalFormatting sqref="W53">
    <cfRule type="cellIs" dxfId="632" priority="151" operator="equal">
      <formula>"TRAILING"</formula>
    </cfRule>
  </conditionalFormatting>
  <conditionalFormatting sqref="W52">
    <cfRule type="cellIs" dxfId="631" priority="145" operator="equal">
      <formula>"STOP"</formula>
    </cfRule>
    <cfRule type="expression" dxfId="630" priority="146">
      <formula>X52&gt;F52*100</formula>
    </cfRule>
    <cfRule type="cellIs" dxfId="629" priority="148" operator="equal">
      <formula>0</formula>
    </cfRule>
  </conditionalFormatting>
  <conditionalFormatting sqref="W52">
    <cfRule type="cellIs" dxfId="628" priority="147" operator="equal">
      <formula>"TRAILING"</formula>
    </cfRule>
  </conditionalFormatting>
  <conditionalFormatting sqref="W51">
    <cfRule type="cellIs" dxfId="627" priority="141" operator="equal">
      <formula>"STOP"</formula>
    </cfRule>
    <cfRule type="expression" dxfId="626" priority="142">
      <formula>X51&gt;F51*100</formula>
    </cfRule>
    <cfRule type="cellIs" dxfId="625" priority="144" operator="equal">
      <formula>0</formula>
    </cfRule>
  </conditionalFormatting>
  <conditionalFormatting sqref="W51">
    <cfRule type="cellIs" dxfId="624" priority="143" operator="equal">
      <formula>"TRAILING"</formula>
    </cfRule>
  </conditionalFormatting>
  <conditionalFormatting sqref="W50">
    <cfRule type="cellIs" dxfId="623" priority="137" operator="equal">
      <formula>"STOP"</formula>
    </cfRule>
    <cfRule type="expression" dxfId="622" priority="138">
      <formula>X50&gt;F50*100</formula>
    </cfRule>
    <cfRule type="cellIs" dxfId="621" priority="140" operator="equal">
      <formula>0</formula>
    </cfRule>
  </conditionalFormatting>
  <conditionalFormatting sqref="W50">
    <cfRule type="cellIs" dxfId="620" priority="139" operator="equal">
      <formula>"TRAILING"</formula>
    </cfRule>
  </conditionalFormatting>
  <conditionalFormatting sqref="W55">
    <cfRule type="cellIs" dxfId="619" priority="133" operator="equal">
      <formula>"STOP"</formula>
    </cfRule>
    <cfRule type="expression" dxfId="618" priority="134">
      <formula>X55&gt;F55*100</formula>
    </cfRule>
    <cfRule type="cellIs" dxfId="617" priority="136" operator="equal">
      <formula>0</formula>
    </cfRule>
  </conditionalFormatting>
  <conditionalFormatting sqref="W55">
    <cfRule type="cellIs" dxfId="616" priority="135" operator="equal">
      <formula>"TRAILING"</formula>
    </cfRule>
  </conditionalFormatting>
  <conditionalFormatting sqref="W54">
    <cfRule type="cellIs" dxfId="615" priority="129" operator="equal">
      <formula>"STOP"</formula>
    </cfRule>
    <cfRule type="expression" dxfId="614" priority="130">
      <formula>X54&gt;F54*100</formula>
    </cfRule>
    <cfRule type="cellIs" dxfId="613" priority="132" operator="equal">
      <formula>0</formula>
    </cfRule>
  </conditionalFormatting>
  <conditionalFormatting sqref="W54">
    <cfRule type="cellIs" dxfId="612" priority="131" operator="equal">
      <formula>"TRAILING"</formula>
    </cfRule>
  </conditionalFormatting>
  <conditionalFormatting sqref="W57">
    <cfRule type="cellIs" dxfId="611" priority="125" operator="equal">
      <formula>"STOP"</formula>
    </cfRule>
    <cfRule type="expression" dxfId="610" priority="126">
      <formula>X57&gt;F57*100</formula>
    </cfRule>
    <cfRule type="cellIs" dxfId="609" priority="128" operator="equal">
      <formula>0</formula>
    </cfRule>
  </conditionalFormatting>
  <conditionalFormatting sqref="W57">
    <cfRule type="cellIs" dxfId="608" priority="127" operator="equal">
      <formula>"TRAILING"</formula>
    </cfRule>
  </conditionalFormatting>
  <conditionalFormatting sqref="W56">
    <cfRule type="cellIs" dxfId="607" priority="121" operator="equal">
      <formula>"STOP"</formula>
    </cfRule>
    <cfRule type="expression" dxfId="606" priority="122">
      <formula>X56&gt;F56*100</formula>
    </cfRule>
    <cfRule type="cellIs" dxfId="605" priority="124" operator="equal">
      <formula>0</formula>
    </cfRule>
  </conditionalFormatting>
  <conditionalFormatting sqref="W56">
    <cfRule type="cellIs" dxfId="604" priority="123" operator="equal">
      <formula>"TRAILING"</formula>
    </cfRule>
  </conditionalFormatting>
  <conditionalFormatting sqref="W59">
    <cfRule type="cellIs" dxfId="603" priority="117" operator="equal">
      <formula>"STOP"</formula>
    </cfRule>
    <cfRule type="expression" dxfId="602" priority="118">
      <formula>X59&gt;F59*100</formula>
    </cfRule>
    <cfRule type="cellIs" dxfId="601" priority="120" operator="equal">
      <formula>0</formula>
    </cfRule>
  </conditionalFormatting>
  <conditionalFormatting sqref="W59">
    <cfRule type="cellIs" dxfId="600" priority="119" operator="equal">
      <formula>"TRAILING"</formula>
    </cfRule>
  </conditionalFormatting>
  <conditionalFormatting sqref="W58">
    <cfRule type="cellIs" dxfId="599" priority="113" operator="equal">
      <formula>"STOP"</formula>
    </cfRule>
    <cfRule type="expression" dxfId="598" priority="114">
      <formula>X58&gt;F58*100</formula>
    </cfRule>
    <cfRule type="cellIs" dxfId="597" priority="116" operator="equal">
      <formula>0</formula>
    </cfRule>
  </conditionalFormatting>
  <conditionalFormatting sqref="W58">
    <cfRule type="cellIs" dxfId="596" priority="115" operator="equal">
      <formula>"TRAILING"</formula>
    </cfRule>
  </conditionalFormatting>
  <conditionalFormatting sqref="W29">
    <cfRule type="cellIs" dxfId="595" priority="109" operator="equal">
      <formula>"STOP"</formula>
    </cfRule>
    <cfRule type="expression" dxfId="594" priority="110">
      <formula>X29&gt;F29*100</formula>
    </cfRule>
    <cfRule type="cellIs" dxfId="593" priority="112" operator="equal">
      <formula>0</formula>
    </cfRule>
  </conditionalFormatting>
  <conditionalFormatting sqref="W29">
    <cfRule type="cellIs" dxfId="592" priority="111" operator="equal">
      <formula>"TRAILING"</formula>
    </cfRule>
  </conditionalFormatting>
  <conditionalFormatting sqref="W28">
    <cfRule type="cellIs" dxfId="591" priority="105" operator="equal">
      <formula>"STOP"</formula>
    </cfRule>
    <cfRule type="expression" dxfId="590" priority="106">
      <formula>X28&gt;F28*100</formula>
    </cfRule>
    <cfRule type="cellIs" dxfId="589" priority="108" operator="equal">
      <formula>0</formula>
    </cfRule>
  </conditionalFormatting>
  <conditionalFormatting sqref="W28">
    <cfRule type="cellIs" dxfId="588" priority="107" operator="equal">
      <formula>"TRAILING"</formula>
    </cfRule>
  </conditionalFormatting>
  <conditionalFormatting sqref="W27">
    <cfRule type="cellIs" dxfId="587" priority="101" operator="equal">
      <formula>"STOP"</formula>
    </cfRule>
    <cfRule type="expression" dxfId="586" priority="102">
      <formula>X27&gt;F27*100</formula>
    </cfRule>
    <cfRule type="cellIs" dxfId="585" priority="104" operator="equal">
      <formula>0</formula>
    </cfRule>
  </conditionalFormatting>
  <conditionalFormatting sqref="W27">
    <cfRule type="cellIs" dxfId="584" priority="103" operator="equal">
      <formula>"TRAILING"</formula>
    </cfRule>
  </conditionalFormatting>
  <conditionalFormatting sqref="W26">
    <cfRule type="cellIs" dxfId="583" priority="97" operator="equal">
      <formula>"STOP"</formula>
    </cfRule>
    <cfRule type="expression" dxfId="582" priority="98">
      <formula>X26&gt;F26*100</formula>
    </cfRule>
    <cfRule type="cellIs" dxfId="581" priority="100" operator="equal">
      <formula>0</formula>
    </cfRule>
  </conditionalFormatting>
  <conditionalFormatting sqref="W26">
    <cfRule type="cellIs" dxfId="580" priority="99" operator="equal">
      <formula>"TRAILING"</formula>
    </cfRule>
  </conditionalFormatting>
  <conditionalFormatting sqref="W5">
    <cfRule type="cellIs" dxfId="579" priority="93" operator="equal">
      <formula>"STOP"</formula>
    </cfRule>
    <cfRule type="expression" dxfId="578" priority="94">
      <formula>X5&gt;F5*100</formula>
    </cfRule>
    <cfRule type="cellIs" dxfId="577" priority="96" operator="equal">
      <formula>0</formula>
    </cfRule>
  </conditionalFormatting>
  <conditionalFormatting sqref="W5">
    <cfRule type="cellIs" dxfId="576" priority="95" operator="equal">
      <formula>"TRAILING"</formula>
    </cfRule>
  </conditionalFormatting>
  <conditionalFormatting sqref="W4">
    <cfRule type="cellIs" dxfId="575" priority="89" operator="equal">
      <formula>"STOP"</formula>
    </cfRule>
    <cfRule type="expression" dxfId="574" priority="90">
      <formula>X4&gt;F4*100</formula>
    </cfRule>
    <cfRule type="cellIs" dxfId="573" priority="92" operator="equal">
      <formula>0</formula>
    </cfRule>
  </conditionalFormatting>
  <conditionalFormatting sqref="W4">
    <cfRule type="cellIs" dxfId="572" priority="91" operator="equal">
      <formula>"TRAILING"</formula>
    </cfRule>
  </conditionalFormatting>
  <conditionalFormatting sqref="W3">
    <cfRule type="cellIs" dxfId="571" priority="85" operator="equal">
      <formula>"STOP"</formula>
    </cfRule>
    <cfRule type="expression" dxfId="570" priority="86">
      <formula>X3&gt;F3*100</formula>
    </cfRule>
    <cfRule type="cellIs" dxfId="569" priority="88" operator="equal">
      <formula>0</formula>
    </cfRule>
  </conditionalFormatting>
  <conditionalFormatting sqref="W3">
    <cfRule type="cellIs" dxfId="568" priority="87" operator="equal">
      <formula>"TRAILING"</formula>
    </cfRule>
  </conditionalFormatting>
  <conditionalFormatting sqref="W2">
    <cfRule type="cellIs" dxfId="567" priority="81" operator="equal">
      <formula>"STOP"</formula>
    </cfRule>
    <cfRule type="expression" dxfId="566" priority="82">
      <formula>X2&gt;F2*100</formula>
    </cfRule>
    <cfRule type="cellIs" dxfId="565" priority="84" operator="equal">
      <formula>0</formula>
    </cfRule>
  </conditionalFormatting>
  <conditionalFormatting sqref="W2">
    <cfRule type="cellIs" dxfId="564" priority="83" operator="equal">
      <formula>"TRAILING"</formula>
    </cfRule>
  </conditionalFormatting>
  <conditionalFormatting sqref="W9">
    <cfRule type="cellIs" dxfId="563" priority="77" operator="equal">
      <formula>"STOP"</formula>
    </cfRule>
    <cfRule type="expression" dxfId="562" priority="78">
      <formula>X9&gt;F9*100</formula>
    </cfRule>
    <cfRule type="cellIs" dxfId="561" priority="80" operator="equal">
      <formula>0</formula>
    </cfRule>
  </conditionalFormatting>
  <conditionalFormatting sqref="W9">
    <cfRule type="cellIs" dxfId="560" priority="79" operator="equal">
      <formula>"TRAILING"</formula>
    </cfRule>
  </conditionalFormatting>
  <conditionalFormatting sqref="W8">
    <cfRule type="cellIs" dxfId="559" priority="73" operator="equal">
      <formula>"STOP"</formula>
    </cfRule>
    <cfRule type="expression" dxfId="558" priority="74">
      <formula>X8&gt;F8*100</formula>
    </cfRule>
    <cfRule type="cellIs" dxfId="557" priority="76" operator="equal">
      <formula>0</formula>
    </cfRule>
  </conditionalFormatting>
  <conditionalFormatting sqref="W8">
    <cfRule type="cellIs" dxfId="556" priority="75" operator="equal">
      <formula>"TRAILING"</formula>
    </cfRule>
  </conditionalFormatting>
  <conditionalFormatting sqref="W7">
    <cfRule type="cellIs" dxfId="555" priority="69" operator="equal">
      <formula>"STOP"</formula>
    </cfRule>
    <cfRule type="expression" dxfId="554" priority="70">
      <formula>X7&gt;F7*100</formula>
    </cfRule>
    <cfRule type="cellIs" dxfId="553" priority="72" operator="equal">
      <formula>0</formula>
    </cfRule>
  </conditionalFormatting>
  <conditionalFormatting sqref="W7">
    <cfRule type="cellIs" dxfId="552" priority="71" operator="equal">
      <formula>"TRAILING"</formula>
    </cfRule>
  </conditionalFormatting>
  <conditionalFormatting sqref="W6">
    <cfRule type="cellIs" dxfId="551" priority="65" operator="equal">
      <formula>"STOP"</formula>
    </cfRule>
    <cfRule type="expression" dxfId="550" priority="66">
      <formula>X6&gt;F6*100</formula>
    </cfRule>
    <cfRule type="cellIs" dxfId="549" priority="68" operator="equal">
      <formula>0</formula>
    </cfRule>
  </conditionalFormatting>
  <conditionalFormatting sqref="W6">
    <cfRule type="cellIs" dxfId="548" priority="67" operator="equal">
      <formula>"TRAILING"</formula>
    </cfRule>
  </conditionalFormatting>
  <conditionalFormatting sqref="W13">
    <cfRule type="cellIs" dxfId="547" priority="61" operator="equal">
      <formula>"STOP"</formula>
    </cfRule>
    <cfRule type="expression" dxfId="546" priority="62">
      <formula>X13&gt;F13*100</formula>
    </cfRule>
    <cfRule type="cellIs" dxfId="545" priority="64" operator="equal">
      <formula>0</formula>
    </cfRule>
  </conditionalFormatting>
  <conditionalFormatting sqref="W13">
    <cfRule type="cellIs" dxfId="544" priority="63" operator="equal">
      <formula>"TRAILING"</formula>
    </cfRule>
  </conditionalFormatting>
  <conditionalFormatting sqref="W12">
    <cfRule type="cellIs" dxfId="543" priority="57" operator="equal">
      <formula>"STOP"</formula>
    </cfRule>
    <cfRule type="expression" dxfId="542" priority="58">
      <formula>X12&gt;F12*100</formula>
    </cfRule>
    <cfRule type="cellIs" dxfId="541" priority="60" operator="equal">
      <formula>0</formula>
    </cfRule>
  </conditionalFormatting>
  <conditionalFormatting sqref="W12">
    <cfRule type="cellIs" dxfId="540" priority="59" operator="equal">
      <formula>"TRAILING"</formula>
    </cfRule>
  </conditionalFormatting>
  <conditionalFormatting sqref="W11">
    <cfRule type="cellIs" dxfId="539" priority="53" operator="equal">
      <formula>"STOP"</formula>
    </cfRule>
    <cfRule type="expression" dxfId="538" priority="54">
      <formula>X11&gt;F11*100</formula>
    </cfRule>
    <cfRule type="cellIs" dxfId="537" priority="56" operator="equal">
      <formula>0</formula>
    </cfRule>
  </conditionalFormatting>
  <conditionalFormatting sqref="W11">
    <cfRule type="cellIs" dxfId="536" priority="55" operator="equal">
      <formula>"TRAILING"</formula>
    </cfRule>
  </conditionalFormatting>
  <conditionalFormatting sqref="W10">
    <cfRule type="cellIs" dxfId="535" priority="49" operator="equal">
      <formula>"STOP"</formula>
    </cfRule>
    <cfRule type="expression" dxfId="534" priority="50">
      <formula>X10&gt;F10*100</formula>
    </cfRule>
    <cfRule type="cellIs" dxfId="533" priority="52" operator="equal">
      <formula>0</formula>
    </cfRule>
  </conditionalFormatting>
  <conditionalFormatting sqref="W10">
    <cfRule type="cellIs" dxfId="532" priority="51" operator="equal">
      <formula>"TRAILING"</formula>
    </cfRule>
  </conditionalFormatting>
  <conditionalFormatting sqref="W17">
    <cfRule type="cellIs" dxfId="531" priority="45" operator="equal">
      <formula>"STOP"</formula>
    </cfRule>
    <cfRule type="expression" dxfId="530" priority="46">
      <formula>X17&gt;F17*100</formula>
    </cfRule>
    <cfRule type="cellIs" dxfId="529" priority="48" operator="equal">
      <formula>0</formula>
    </cfRule>
  </conditionalFormatting>
  <conditionalFormatting sqref="W17">
    <cfRule type="cellIs" dxfId="528" priority="47" operator="equal">
      <formula>"TRAILING"</formula>
    </cfRule>
  </conditionalFormatting>
  <conditionalFormatting sqref="W16">
    <cfRule type="cellIs" dxfId="527" priority="41" operator="equal">
      <formula>"STOP"</formula>
    </cfRule>
    <cfRule type="expression" dxfId="526" priority="42">
      <formula>X16&gt;F16*100</formula>
    </cfRule>
    <cfRule type="cellIs" dxfId="525" priority="44" operator="equal">
      <formula>0</formula>
    </cfRule>
  </conditionalFormatting>
  <conditionalFormatting sqref="W16">
    <cfRule type="cellIs" dxfId="524" priority="43" operator="equal">
      <formula>"TRAILING"</formula>
    </cfRule>
  </conditionalFormatting>
  <conditionalFormatting sqref="W15">
    <cfRule type="cellIs" dxfId="523" priority="37" operator="equal">
      <formula>"STOP"</formula>
    </cfRule>
    <cfRule type="expression" dxfId="522" priority="38">
      <formula>X15&gt;F15*100</formula>
    </cfRule>
    <cfRule type="cellIs" dxfId="521" priority="40" operator="equal">
      <formula>0</formula>
    </cfRule>
  </conditionalFormatting>
  <conditionalFormatting sqref="W15">
    <cfRule type="cellIs" dxfId="520" priority="39" operator="equal">
      <formula>"TRAILING"</formula>
    </cfRule>
  </conditionalFormatting>
  <conditionalFormatting sqref="W14">
    <cfRule type="cellIs" dxfId="519" priority="33" operator="equal">
      <formula>"STOP"</formula>
    </cfRule>
    <cfRule type="expression" dxfId="518" priority="34">
      <formula>X14&gt;F14*100</formula>
    </cfRule>
    <cfRule type="cellIs" dxfId="517" priority="36" operator="equal">
      <formula>0</formula>
    </cfRule>
  </conditionalFormatting>
  <conditionalFormatting sqref="W14">
    <cfRule type="cellIs" dxfId="516" priority="35" operator="equal">
      <formula>"TRAILING"</formula>
    </cfRule>
  </conditionalFormatting>
  <conditionalFormatting sqref="W21">
    <cfRule type="cellIs" dxfId="515" priority="29" operator="equal">
      <formula>"STOP"</formula>
    </cfRule>
    <cfRule type="expression" dxfId="514" priority="30">
      <formula>X21&gt;F21*100</formula>
    </cfRule>
    <cfRule type="cellIs" dxfId="513" priority="32" operator="equal">
      <formula>0</formula>
    </cfRule>
  </conditionalFormatting>
  <conditionalFormatting sqref="W21">
    <cfRule type="cellIs" dxfId="512" priority="31" operator="equal">
      <formula>"TRAILING"</formula>
    </cfRule>
  </conditionalFormatting>
  <conditionalFormatting sqref="W20">
    <cfRule type="cellIs" dxfId="511" priority="25" operator="equal">
      <formula>"STOP"</formula>
    </cfRule>
    <cfRule type="expression" dxfId="510" priority="26">
      <formula>X20&gt;F20*100</formula>
    </cfRule>
    <cfRule type="cellIs" dxfId="509" priority="28" operator="equal">
      <formula>0</formula>
    </cfRule>
  </conditionalFormatting>
  <conditionalFormatting sqref="W20">
    <cfRule type="cellIs" dxfId="508" priority="27" operator="equal">
      <formula>"TRAILING"</formula>
    </cfRule>
  </conditionalFormatting>
  <conditionalFormatting sqref="W19">
    <cfRule type="cellIs" dxfId="507" priority="21" operator="equal">
      <formula>"STOP"</formula>
    </cfRule>
    <cfRule type="expression" dxfId="506" priority="22">
      <formula>X19&gt;F19*100</formula>
    </cfRule>
    <cfRule type="cellIs" dxfId="505" priority="24" operator="equal">
      <formula>0</formula>
    </cfRule>
  </conditionalFormatting>
  <conditionalFormatting sqref="W19">
    <cfRule type="cellIs" dxfId="504" priority="23" operator="equal">
      <formula>"TRAILING"</formula>
    </cfRule>
  </conditionalFormatting>
  <conditionalFormatting sqref="W18">
    <cfRule type="cellIs" dxfId="503" priority="17" operator="equal">
      <formula>"STOP"</formula>
    </cfRule>
    <cfRule type="expression" dxfId="502" priority="18">
      <formula>X18&gt;F18*100</formula>
    </cfRule>
    <cfRule type="cellIs" dxfId="501" priority="20" operator="equal">
      <formula>0</formula>
    </cfRule>
  </conditionalFormatting>
  <conditionalFormatting sqref="W18">
    <cfRule type="cellIs" dxfId="500" priority="19" operator="equal">
      <formula>"TRAILING"</formula>
    </cfRule>
  </conditionalFormatting>
  <conditionalFormatting sqref="W25">
    <cfRule type="cellIs" dxfId="499" priority="13" operator="equal">
      <formula>"STOP"</formula>
    </cfRule>
    <cfRule type="expression" dxfId="498" priority="14">
      <formula>X25&gt;F25*100</formula>
    </cfRule>
    <cfRule type="cellIs" dxfId="497" priority="16" operator="equal">
      <formula>0</formula>
    </cfRule>
  </conditionalFormatting>
  <conditionalFormatting sqref="W25">
    <cfRule type="cellIs" dxfId="496" priority="15" operator="equal">
      <formula>"TRAILING"</formula>
    </cfRule>
  </conditionalFormatting>
  <conditionalFormatting sqref="W24">
    <cfRule type="cellIs" dxfId="495" priority="9" operator="equal">
      <formula>"STOP"</formula>
    </cfRule>
    <cfRule type="expression" dxfId="494" priority="10">
      <formula>X24&gt;F24*100</formula>
    </cfRule>
    <cfRule type="cellIs" dxfId="493" priority="12" operator="equal">
      <formula>0</formula>
    </cfRule>
  </conditionalFormatting>
  <conditionalFormatting sqref="W24">
    <cfRule type="cellIs" dxfId="492" priority="11" operator="equal">
      <formula>"TRAILING"</formula>
    </cfRule>
  </conditionalFormatting>
  <conditionalFormatting sqref="W23">
    <cfRule type="cellIs" dxfId="491" priority="5" operator="equal">
      <formula>"STOP"</formula>
    </cfRule>
    <cfRule type="expression" dxfId="490" priority="6">
      <formula>X23&gt;F23*100</formula>
    </cfRule>
    <cfRule type="cellIs" dxfId="489" priority="8" operator="equal">
      <formula>0</formula>
    </cfRule>
  </conditionalFormatting>
  <conditionalFormatting sqref="W23">
    <cfRule type="cellIs" dxfId="488" priority="7" operator="equal">
      <formula>"TRAILING"</formula>
    </cfRule>
  </conditionalFormatting>
  <conditionalFormatting sqref="W22">
    <cfRule type="cellIs" dxfId="487" priority="1" operator="equal">
      <formula>"STOP"</formula>
    </cfRule>
    <cfRule type="expression" dxfId="486" priority="2">
      <formula>X22&gt;F22*100</formula>
    </cfRule>
    <cfRule type="cellIs" dxfId="485" priority="4" operator="equal">
      <formula>0</formula>
    </cfRule>
  </conditionalFormatting>
  <conditionalFormatting sqref="W22">
    <cfRule type="cellIs" dxfId="484" priority="3" operator="equal">
      <formula>"TRAILING"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9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4"/>
      <c r="B1" s="55"/>
      <c r="C1" s="56"/>
      <c r="D1" s="57"/>
      <c r="E1" s="58"/>
      <c r="F1" s="58"/>
      <c r="G1" s="59"/>
      <c r="H1" s="57"/>
      <c r="I1" s="60"/>
      <c r="J1" s="61"/>
      <c r="K1" s="61"/>
      <c r="L1" s="61"/>
      <c r="M1" s="63"/>
      <c r="N1" s="61"/>
      <c r="O1" s="61"/>
      <c r="P1" s="64"/>
      <c r="Q1" s="65"/>
      <c r="R1" s="66"/>
      <c r="S1" s="61"/>
      <c r="T1" s="61"/>
      <c r="U1" s="61"/>
      <c r="V1" s="61"/>
      <c r="W1" s="61"/>
      <c r="X1" s="61"/>
      <c r="Y1" s="61"/>
      <c r="Z1" s="61"/>
      <c r="AA1" s="61"/>
      <c r="AB1" s="62"/>
      <c r="AC1" s="61"/>
      <c r="AD1" s="66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7"/>
      <c r="AT1" s="67"/>
      <c r="AU1" s="68"/>
      <c r="AV1" s="69"/>
      <c r="AW1" s="68"/>
      <c r="AX1" s="70"/>
      <c r="AY1" s="70"/>
      <c r="AZ1" s="68"/>
      <c r="BA1" s="68"/>
      <c r="BB1" s="68"/>
      <c r="BC1" s="68"/>
      <c r="BD1" s="70"/>
      <c r="BE1" s="70"/>
      <c r="BF1" s="68"/>
      <c r="BG1" s="68"/>
      <c r="BH1" s="68"/>
      <c r="BI1" s="70"/>
      <c r="BJ1" s="70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</row>
    <row r="2" spans="1:193" ht="13.5" thickBot="1">
      <c r="A2" s="72" t="s">
        <v>339</v>
      </c>
      <c r="B2" s="73" t="s">
        <v>340</v>
      </c>
      <c r="C2" s="74" t="s">
        <v>341</v>
      </c>
      <c r="D2" s="75" t="s">
        <v>342</v>
      </c>
      <c r="E2" s="76" t="s">
        <v>343</v>
      </c>
      <c r="F2" s="77" t="s">
        <v>344</v>
      </c>
      <c r="G2" s="78" t="s">
        <v>345</v>
      </c>
      <c r="H2" s="79" t="s">
        <v>346</v>
      </c>
      <c r="I2" s="80" t="s">
        <v>347</v>
      </c>
      <c r="J2" s="61"/>
      <c r="K2" s="81" t="s">
        <v>348</v>
      </c>
      <c r="L2" s="82" t="s">
        <v>349</v>
      </c>
      <c r="M2" s="83" t="s">
        <v>350</v>
      </c>
      <c r="N2" s="84" t="s">
        <v>351</v>
      </c>
      <c r="O2" s="85"/>
      <c r="P2" s="86" t="s">
        <v>352</v>
      </c>
      <c r="Q2" s="220" t="s">
        <v>340</v>
      </c>
      <c r="R2" s="220" t="s">
        <v>341</v>
      </c>
      <c r="S2" s="220" t="s">
        <v>353</v>
      </c>
      <c r="T2" s="220"/>
      <c r="U2" s="220" t="s">
        <v>354</v>
      </c>
      <c r="V2" s="246" t="s">
        <v>589</v>
      </c>
      <c r="W2" s="420" t="s">
        <v>355</v>
      </c>
      <c r="X2" s="421" t="s">
        <v>356</v>
      </c>
      <c r="Y2" s="420" t="s">
        <v>357</v>
      </c>
      <c r="Z2" s="246" t="s">
        <v>589</v>
      </c>
      <c r="AA2" s="428" t="s">
        <v>358</v>
      </c>
      <c r="AB2" s="427" t="s">
        <v>359</v>
      </c>
      <c r="AC2" s="221" t="s">
        <v>340</v>
      </c>
      <c r="AD2" s="222" t="s">
        <v>341</v>
      </c>
      <c r="AE2" s="221" t="s">
        <v>360</v>
      </c>
      <c r="AF2" s="221"/>
      <c r="AG2" s="221" t="s">
        <v>354</v>
      </c>
      <c r="AH2" s="246" t="s">
        <v>589</v>
      </c>
      <c r="AI2" s="420" t="s">
        <v>355</v>
      </c>
      <c r="AJ2" s="421" t="s">
        <v>356</v>
      </c>
      <c r="AK2" s="420" t="s">
        <v>357</v>
      </c>
      <c r="AL2" s="246" t="s">
        <v>589</v>
      </c>
      <c r="AM2" s="194" t="s">
        <v>358</v>
      </c>
      <c r="AN2" s="85"/>
      <c r="AO2" s="87" t="s">
        <v>361</v>
      </c>
      <c r="AP2" s="61"/>
      <c r="AQ2" s="61"/>
      <c r="AR2" s="85"/>
      <c r="AS2" s="88" t="s">
        <v>362</v>
      </c>
      <c r="AT2" s="89" t="s">
        <v>339</v>
      </c>
      <c r="AU2" s="90" t="s">
        <v>340</v>
      </c>
      <c r="AV2" s="91" t="s">
        <v>341</v>
      </c>
      <c r="AW2" s="75" t="s">
        <v>342</v>
      </c>
      <c r="AX2" s="92" t="s">
        <v>343</v>
      </c>
      <c r="AY2" s="93" t="s">
        <v>344</v>
      </c>
      <c r="AZ2" s="89" t="s">
        <v>339</v>
      </c>
      <c r="BA2" s="90" t="s">
        <v>340</v>
      </c>
      <c r="BB2" s="94" t="s">
        <v>341</v>
      </c>
      <c r="BC2" s="95" t="s">
        <v>342</v>
      </c>
      <c r="BD2" s="92" t="s">
        <v>343</v>
      </c>
      <c r="BE2" s="93" t="s">
        <v>344</v>
      </c>
      <c r="BF2" s="89" t="s">
        <v>339</v>
      </c>
      <c r="BG2" s="90" t="s">
        <v>340</v>
      </c>
      <c r="BH2" s="75" t="s">
        <v>363</v>
      </c>
      <c r="BI2" s="92" t="s">
        <v>343</v>
      </c>
      <c r="BJ2" s="93" t="s">
        <v>344</v>
      </c>
      <c r="DE2" s="96" t="s">
        <v>349</v>
      </c>
      <c r="DF2" s="97" t="s">
        <v>364</v>
      </c>
      <c r="DG2" s="97" t="s">
        <v>365</v>
      </c>
      <c r="DH2" s="97" t="s">
        <v>366</v>
      </c>
      <c r="DI2" s="97" t="s">
        <v>367</v>
      </c>
      <c r="DJ2" s="97" t="s">
        <v>368</v>
      </c>
      <c r="DK2" s="97" t="s">
        <v>369</v>
      </c>
      <c r="DL2" s="97" t="s">
        <v>370</v>
      </c>
      <c r="DM2" s="97" t="s">
        <v>371</v>
      </c>
      <c r="DN2" s="97" t="s">
        <v>372</v>
      </c>
      <c r="DO2" s="97" t="s">
        <v>373</v>
      </c>
      <c r="DP2" s="97" t="s">
        <v>374</v>
      </c>
      <c r="DQ2" s="97" t="s">
        <v>375</v>
      </c>
      <c r="DR2" s="97" t="s">
        <v>376</v>
      </c>
      <c r="DS2" s="97" t="s">
        <v>377</v>
      </c>
      <c r="DT2" s="97" t="s">
        <v>378</v>
      </c>
      <c r="DU2" s="97" t="s">
        <v>379</v>
      </c>
      <c r="DV2" s="97" t="s">
        <v>380</v>
      </c>
      <c r="DW2" s="97" t="s">
        <v>381</v>
      </c>
      <c r="DX2" s="97" t="s">
        <v>382</v>
      </c>
      <c r="DY2" s="97" t="s">
        <v>383</v>
      </c>
      <c r="DZ2" s="97" t="s">
        <v>384</v>
      </c>
      <c r="EA2" s="97" t="s">
        <v>385</v>
      </c>
      <c r="EB2" s="97" t="s">
        <v>386</v>
      </c>
      <c r="EC2" s="97" t="s">
        <v>387</v>
      </c>
      <c r="ED2" s="97" t="s">
        <v>388</v>
      </c>
      <c r="EE2" s="97" t="s">
        <v>389</v>
      </c>
      <c r="EF2" s="97" t="s">
        <v>390</v>
      </c>
      <c r="EG2" s="97" t="s">
        <v>391</v>
      </c>
      <c r="EH2" s="97" t="s">
        <v>392</v>
      </c>
      <c r="EI2" s="97" t="s">
        <v>393</v>
      </c>
      <c r="EJ2" s="97" t="s">
        <v>394</v>
      </c>
      <c r="EK2" s="97" t="s">
        <v>395</v>
      </c>
      <c r="EL2" s="97" t="s">
        <v>396</v>
      </c>
      <c r="EM2" s="97" t="s">
        <v>397</v>
      </c>
      <c r="EN2" s="97" t="s">
        <v>398</v>
      </c>
      <c r="EO2" s="98"/>
      <c r="EP2" s="98" t="s">
        <v>399</v>
      </c>
      <c r="EQ2" s="99"/>
      <c r="ER2" s="100" t="s">
        <v>400</v>
      </c>
      <c r="ES2" s="101"/>
      <c r="ET2" s="102" t="s">
        <v>399</v>
      </c>
      <c r="EU2" s="103"/>
      <c r="EV2" s="96" t="s">
        <v>349</v>
      </c>
      <c r="EW2" s="97" t="s">
        <v>364</v>
      </c>
      <c r="EX2" s="97" t="s">
        <v>365</v>
      </c>
      <c r="EY2" s="97" t="s">
        <v>366</v>
      </c>
      <c r="EZ2" s="97" t="s">
        <v>367</v>
      </c>
      <c r="FA2" s="97" t="s">
        <v>368</v>
      </c>
      <c r="FB2" s="97" t="s">
        <v>369</v>
      </c>
      <c r="FC2" s="97" t="s">
        <v>370</v>
      </c>
      <c r="FD2" s="97" t="s">
        <v>371</v>
      </c>
      <c r="FE2" s="97" t="s">
        <v>372</v>
      </c>
      <c r="FF2" s="97" t="s">
        <v>373</v>
      </c>
      <c r="FG2" s="97" t="s">
        <v>374</v>
      </c>
      <c r="FH2" s="97" t="s">
        <v>375</v>
      </c>
      <c r="FI2" s="97" t="s">
        <v>376</v>
      </c>
      <c r="FJ2" s="97" t="s">
        <v>377</v>
      </c>
      <c r="FK2" s="97" t="s">
        <v>378</v>
      </c>
      <c r="FL2" s="97" t="s">
        <v>379</v>
      </c>
      <c r="FM2" s="97" t="s">
        <v>380</v>
      </c>
      <c r="FN2" s="97" t="s">
        <v>381</v>
      </c>
      <c r="FO2" s="97" t="s">
        <v>382</v>
      </c>
      <c r="FP2" s="97" t="s">
        <v>383</v>
      </c>
      <c r="FQ2" s="97" t="s">
        <v>384</v>
      </c>
      <c r="FR2" s="97" t="s">
        <v>385</v>
      </c>
      <c r="FS2" s="97" t="s">
        <v>386</v>
      </c>
      <c r="FT2" s="97" t="s">
        <v>387</v>
      </c>
      <c r="FU2" s="97" t="s">
        <v>388</v>
      </c>
      <c r="FV2" s="97" t="s">
        <v>389</v>
      </c>
      <c r="FW2" s="97" t="s">
        <v>390</v>
      </c>
      <c r="FX2" s="97" t="s">
        <v>391</v>
      </c>
      <c r="FY2" s="97" t="s">
        <v>392</v>
      </c>
      <c r="FZ2" s="97" t="s">
        <v>393</v>
      </c>
      <c r="GA2" s="97" t="s">
        <v>394</v>
      </c>
      <c r="GB2" s="97" t="s">
        <v>395</v>
      </c>
      <c r="GC2" s="97" t="s">
        <v>396</v>
      </c>
      <c r="GD2" s="97" t="s">
        <v>397</v>
      </c>
      <c r="GE2" s="97" t="s">
        <v>398</v>
      </c>
      <c r="GF2" s="98"/>
      <c r="GG2" s="98" t="s">
        <v>399</v>
      </c>
      <c r="GH2" s="99"/>
      <c r="GI2" s="100" t="s">
        <v>400</v>
      </c>
      <c r="GJ2" s="101"/>
      <c r="GK2" s="102" t="s">
        <v>399</v>
      </c>
    </row>
    <row r="3" spans="1:193" ht="15">
      <c r="A3" s="386" t="s">
        <v>401</v>
      </c>
      <c r="B3" s="202">
        <v>40</v>
      </c>
      <c r="C3" s="199">
        <v>4200</v>
      </c>
      <c r="D3" s="398">
        <v>26</v>
      </c>
      <c r="E3" s="399">
        <f t="shared" ref="E3:E72" si="0">+B3*D3*-100</f>
        <v>-104000</v>
      </c>
      <c r="F3" s="400">
        <f t="shared" ref="F3:F34" si="1">IF(B3&gt;0,+B3*D3*(1+($N$53+0.002)*1.21)*-100,B3*D3*(1-($N$53+0.002)*1.21)*-100)</f>
        <v>-104264.26399999998</v>
      </c>
      <c r="G3" s="201">
        <f t="shared" ref="G3:G37" si="2">IFERROR(VLOOKUP(C3,$R$3:$AA$50,7,0),"")</f>
        <v>28</v>
      </c>
      <c r="H3" s="404">
        <f>IFERROR(+G3*B3*-100,0)</f>
        <v>-112000</v>
      </c>
      <c r="I3" s="732">
        <f t="shared" ref="I3:I72" si="3">+IF(G3="",0,(F3-H3))</f>
        <v>7735.736000000019</v>
      </c>
      <c r="J3" s="61"/>
      <c r="K3" s="105"/>
      <c r="L3" s="499">
        <f t="shared" ref="L3:L17" si="4">+L4*(1-$N$42)</f>
        <v>1430.1800275031574</v>
      </c>
      <c r="M3" s="422">
        <f t="shared" ref="M3:M34" si="5">ET3</f>
        <v>-104264.26</v>
      </c>
      <c r="N3" s="422">
        <f t="shared" ref="N3:N34" ca="1" si="6">GK3</f>
        <v>-104264.26</v>
      </c>
      <c r="O3" s="61"/>
      <c r="P3" s="197">
        <f>IF(R3="","-",(R3+X3)-$L$18)</f>
        <v>302</v>
      </c>
      <c r="Q3" s="396">
        <f t="shared" ref="Q3:Q17" si="7">SUMIFS(B$3:B$37,C$3:C$37,R3)</f>
        <v>0</v>
      </c>
      <c r="R3" s="395">
        <v>2900</v>
      </c>
      <c r="S3" s="389">
        <f ca="1">IFERROR((NORMSDIST(((LN($L$18/$R3)+($N$48+($N$46^2)/2)*$N$51)/($N$46*SQRT($N$51))))*$L$18-NORMSDIST((((LN($L$18/$R3)+($N$48+($N$46^2)/2)*$N$51)/($N$46*SQRT($N$51)))-$N$46*SQRT(($N$51))))*$R3*EXP(-$N$48*$N$51)),0)</f>
        <v>502.23052528915696</v>
      </c>
      <c r="T3" s="33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28">
        <f>IFERROR(VLOOKUP($U3,HomeBroker!$A$30:$F$60,2,0),0)</f>
        <v>1</v>
      </c>
      <c r="W3" s="392">
        <f>IFERROR(VLOOKUP($U3,HomeBroker!$A$30:$F$60,3,0),0)</f>
        <v>480</v>
      </c>
      <c r="X3" s="497">
        <f>IFERROR(VLOOKUP($U3,HomeBroker!$A$30:$F$60,6,0),0)</f>
        <v>489</v>
      </c>
      <c r="Y3" s="391">
        <f>IFERROR(VLOOKUP($U3,HomeBroker!$A$30:$F$60,4,0),0)</f>
        <v>500</v>
      </c>
      <c r="Z3" s="328">
        <f>IFERROR(VLOOKUP($U3,HomeBroker!$A$30:$F$60,5,0),0)</f>
        <v>100</v>
      </c>
      <c r="AA3" s="331">
        <f>IFERROR(VLOOKUP($U3,HomeBroker!$A$30:$N$60,13,0),0)</f>
        <v>893</v>
      </c>
      <c r="AB3" s="198">
        <f>IF(AD3="","-",(AD3-AJ3)-$L$18)</f>
        <v>-689.51499999999987</v>
      </c>
      <c r="AC3" s="397">
        <f t="shared" ref="AC3:AC17" si="9">SUMIFS(B$38:B$72,C$38:C$72,AD3)</f>
        <v>0</v>
      </c>
      <c r="AD3" s="395">
        <v>2400</v>
      </c>
      <c r="AE3" s="390">
        <f ca="1">IFERROR((NORMSDIST(-(((LN($L$18/$AD3)+($N$48+($N$47^2)/2)*$N$51)/($N$47*SQRT($N$51)))-$N$47*SQRT($N$51)))*$AD3*EXP(-$N$48*$N$51)-NORMSDIST(-((LN($L$18/$AD3)+($N$48+($N$47^2)/2)*$N$51)/($N$47*SQRT($N$51))))*$L$18),0)</f>
        <v>5.1297642034885627</v>
      </c>
      <c r="AF3" s="33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63">
        <f>IFERROR(VLOOKUP($AG3,HomeBroker!$A$30:$F$60,2,0),0)</f>
        <v>485</v>
      </c>
      <c r="AI3" s="392">
        <f>IFERROR(VLOOKUP($AG3,HomeBroker!$A$30:$F$60,3,0),0)</f>
        <v>2.4700000000000002</v>
      </c>
      <c r="AJ3" s="497">
        <f>IFERROR(VLOOKUP($AG3,HomeBroker!$A$30:$F$60,6,0),0)</f>
        <v>2.5150000000000001</v>
      </c>
      <c r="AK3" s="392">
        <f>IFERROR(VLOOKUP($AG3,HomeBroker!$A$30:$F$60,4,0),0)</f>
        <v>3.0979999999999999</v>
      </c>
      <c r="AL3" s="363">
        <f>IFERROR(VLOOKUP($AG3,HomeBroker!$A$30:$F$60,5,0),0)</f>
        <v>1</v>
      </c>
      <c r="AM3" s="393">
        <f>IFERROR(VLOOKUP($AG3,HomeBroker!$A$30:$N$60,13,0),0)</f>
        <v>2283</v>
      </c>
      <c r="AN3" s="61"/>
      <c r="AO3" s="197">
        <f>IF(OR(R3="",X3=0,AJ3=0),"-",R3+X3-AJ3-$L$18)</f>
        <v>299.48500000000013</v>
      </c>
      <c r="AP3" s="61"/>
      <c r="AQ3" s="61"/>
      <c r="AR3" s="61"/>
      <c r="AS3" s="109"/>
      <c r="AT3" s="110" t="s">
        <v>352</v>
      </c>
      <c r="AU3" s="111"/>
      <c r="AV3" s="104"/>
      <c r="AW3" s="112"/>
      <c r="AX3" s="211">
        <f t="shared" ref="AX3:AX76" si="11">+AU3*AW3*-100</f>
        <v>0</v>
      </c>
      <c r="AY3" s="212">
        <f t="shared" ref="AY3:AY76" si="12">IF(AU3&gt;0,+AU3*AW3*(1+($N$53+0.002)*1.21)*-100,AU3*AW3*(1-($N$53+0.002)*1.21)*-100)</f>
        <v>0</v>
      </c>
      <c r="AZ3" s="113" t="s">
        <v>402</v>
      </c>
      <c r="BA3" s="111"/>
      <c r="BB3" s="104"/>
      <c r="BC3" s="114"/>
      <c r="BD3" s="215">
        <f t="shared" ref="BD3:BD76" si="13">+BA3*BC3*-100</f>
        <v>0</v>
      </c>
      <c r="BE3" s="216">
        <f t="shared" ref="BE3:BE76" si="14">IF(BA3&gt;0,+BA3*BC3*(1+($N$53+0.002)*1.21)*-100,BA3*BC3*(1-($N$53+0.002)*1.21)*-100)</f>
        <v>0</v>
      </c>
      <c r="BF3" s="115" t="s">
        <v>403</v>
      </c>
      <c r="BG3" s="111"/>
      <c r="BH3" s="114"/>
      <c r="BI3" s="218">
        <f t="shared" ref="BI3:BI76" si="15">-BH3*BG3</f>
        <v>0</v>
      </c>
      <c r="BJ3" s="219">
        <f t="shared" ref="BJ3:BJ76" si="16">IF(BG3&gt;0,-BH3*(1+($N$52+0.0008)*1.21)*BG3,-BH3*(1-($N$52+0.0008)*1.21)*BG3)</f>
        <v>0</v>
      </c>
      <c r="DE3" s="116">
        <f t="shared" ref="DE3:DE34" si="17">L3</f>
        <v>1430.1800275031574</v>
      </c>
      <c r="DF3" s="117">
        <f t="shared" ref="DF3:DF34" si="18">IF($DE3&gt;$C$3,$B$3*100*($DE3-$C$3),0)</f>
        <v>0</v>
      </c>
      <c r="DG3" s="117">
        <f t="shared" ref="DG3:DG34" si="19">IF($DE3&gt;$C$4,$B$4*100*($DE3-$C$4),0)</f>
        <v>0</v>
      </c>
      <c r="DH3" s="117">
        <f t="shared" ref="DH3:DH34" si="20">IF($DE3&gt;$C$5,$B$5*100*($DE3-$C$5),0)</f>
        <v>0</v>
      </c>
      <c r="DI3" s="117">
        <f t="shared" ref="DI3:DI34" si="21">IF($DE3&gt;$C$6,$B$6*100*($DE3-$C$6),0)</f>
        <v>0</v>
      </c>
      <c r="DJ3" s="117">
        <f t="shared" ref="DJ3:DJ34" si="22">IF($DE3&gt;$C$7,$B$7*100*($DE3-$C$7),0)</f>
        <v>0</v>
      </c>
      <c r="DK3" s="117">
        <f t="shared" ref="DK3:DK34" si="23">IF($DE3&gt;$C$8,$B$8*100*($DE3-$C$8),0)</f>
        <v>0</v>
      </c>
      <c r="DL3" s="117">
        <f t="shared" ref="DL3:DL34" si="24">IF($DE3&gt;$C$9,$B$9*100*($DE3-$C$9),0)</f>
        <v>0</v>
      </c>
      <c r="DM3" s="117">
        <f t="shared" ref="DM3:DM34" si="25">IF($DE3&gt;$C$10,$B$10*100*($DE3-$C$10),0)</f>
        <v>0</v>
      </c>
      <c r="DN3" s="117">
        <f t="shared" ref="DN3:DN34" si="26">IF($DE3&gt;$C$11,$B$11*100*($DE3-$C$11),0)</f>
        <v>0</v>
      </c>
      <c r="DO3" s="117">
        <f t="shared" ref="DO3:DO34" si="27">IF($DE3&gt;$C$12,$B$12*100*($DE3-$C$12),0)</f>
        <v>0</v>
      </c>
      <c r="DP3" s="117">
        <f t="shared" ref="DP3:DP34" si="28">IF($DE3&gt;$C$13,$B$13*100*($DE3-$C$13),0)</f>
        <v>0</v>
      </c>
      <c r="DQ3" s="117">
        <f t="shared" ref="DQ3:DQ34" si="29">IF($DE3&gt;$C$14,$B$14*100*($DE3-$C$14),0)</f>
        <v>0</v>
      </c>
      <c r="DR3" s="117">
        <f t="shared" ref="DR3:DR34" si="30">IF($DE3&gt;$C$15,$B$15*100*($DE3-$C$15),0)</f>
        <v>0</v>
      </c>
      <c r="DS3" s="117">
        <f t="shared" ref="DS3:DS34" si="31">IF($DE3&gt;$C$16,$B$16*100*($DE3-$C$16),0)</f>
        <v>0</v>
      </c>
      <c r="DT3" s="117">
        <f t="shared" ref="DT3:DT34" si="32">IF($DE3&gt;$C$17,$B$17*100*($DE3-$C$17),0)</f>
        <v>0</v>
      </c>
      <c r="DU3" s="117">
        <f t="shared" ref="DU3:DU34" si="33">IF($DE3&gt;$C$18,$B$18*100*($DE3-$C$18),0)</f>
        <v>0</v>
      </c>
      <c r="DV3" s="117">
        <f t="shared" ref="DV3:DV34" si="34">IF($DE3&gt;$C$19,$B$19*100*($DE3-$C$19),0)</f>
        <v>0</v>
      </c>
      <c r="DW3" s="117">
        <f t="shared" ref="DW3:DW34" si="35">IF($DE3&gt;$C$20,$B$20*100*($DE3-$C$20),0)</f>
        <v>0</v>
      </c>
      <c r="DX3" s="117">
        <f t="shared" ref="DX3:DX34" si="36">IF($DE3&gt;$C$21,$B$21*100*($DE3-$C$21),0)</f>
        <v>0</v>
      </c>
      <c r="DY3" s="117">
        <f t="shared" ref="DY3:DY34" si="37">IF($DE3&gt;$C$22,$B$22*100*($DE3-$C$22),0)</f>
        <v>0</v>
      </c>
      <c r="DZ3" s="117">
        <f t="shared" ref="DZ3:DZ34" si="38">IF($DE3&gt;$C$23,$B$23*100*($DE3-$C$23),0)</f>
        <v>0</v>
      </c>
      <c r="EA3" s="117">
        <f t="shared" ref="EA3:EA34" si="39">IF($DE3&gt;$C$24,$B$24*100*($DE3-$C$24),0)</f>
        <v>0</v>
      </c>
      <c r="EB3" s="117">
        <f t="shared" ref="EB3:EB34" si="40">IF($DE3&gt;$C$25,$B$25*100*($DE3-$C$25),0)</f>
        <v>0</v>
      </c>
      <c r="EC3" s="117">
        <f t="shared" ref="EC3:EC34" si="41">IF($DE3&gt;$C$26,$B$26*100*($DE3-$C$26),0)</f>
        <v>0</v>
      </c>
      <c r="ED3" s="117">
        <f t="shared" ref="ED3:ED34" si="42">IF($DE3&gt;$C$27,$B$27*100*($DE3-$C$27),0)</f>
        <v>0</v>
      </c>
      <c r="EE3" s="117">
        <f t="shared" ref="EE3:EE34" si="43">IF($DE3&gt;$C$28,$B$28*100*($DE3-$C$28),0)</f>
        <v>0</v>
      </c>
      <c r="EF3" s="117">
        <f t="shared" ref="EF3:EF34" si="44">IF($DE3&gt;$C$29,$B$29*100*($DE3-$C$29),0)</f>
        <v>0</v>
      </c>
      <c r="EG3" s="117">
        <f t="shared" ref="EG3:EG34" si="45">IF($DE3&gt;$C$30,$B$30*100*($DE3-$C$30),0)</f>
        <v>0</v>
      </c>
      <c r="EH3" s="117">
        <f t="shared" ref="EH3:EH34" si="46">IF($DE3&gt;$C$31,$B$31*100*($DE3-$C$31),0)</f>
        <v>0</v>
      </c>
      <c r="EI3" s="117">
        <f t="shared" ref="EI3:EI34" si="47">IF($DE3&gt;$C$32,$B$32*100*($DE3-$C$32),0)</f>
        <v>0</v>
      </c>
      <c r="EJ3" s="117">
        <f t="shared" ref="EJ3:EJ34" si="48">IF($DE3&gt;$C$33,$B$33*100*($DE3-$C$33),0)</f>
        <v>0</v>
      </c>
      <c r="EK3" s="117">
        <f t="shared" ref="EK3:EK34" si="49">IF($DE3&gt;$C$34,$B$34*100*($DE3-$C$34),0)</f>
        <v>0</v>
      </c>
      <c r="EL3" s="117">
        <f t="shared" ref="EL3:EL34" si="50">IF($DE3&gt;$C$35,$B$35*100*($DE3-$C$35),0)</f>
        <v>0</v>
      </c>
      <c r="EM3" s="117">
        <f t="shared" ref="EM3:EM34" si="51">IF($DE3&gt;$C$36,$B$36*100*($DE3-$C$36),0)</f>
        <v>0</v>
      </c>
      <c r="EN3" s="117">
        <f t="shared" ref="EN3:EN34" si="52">IF($DE3&gt;$C$37,$B$37*100*($DE3-$C$37),0)</f>
        <v>0</v>
      </c>
      <c r="EO3" s="118"/>
      <c r="EP3" s="119">
        <f t="shared" ref="EP3:EP34" si="53">SUM(DF3:EN3)</f>
        <v>0</v>
      </c>
      <c r="EQ3" s="118"/>
      <c r="ER3" s="120">
        <f>N36</f>
        <v>-104264.26399999998</v>
      </c>
      <c r="ES3" s="121"/>
      <c r="ET3" s="122">
        <f t="shared" ref="ET3:ET34" si="54">ROUND($ER$3+EP3+ET36+ET70+ET103,2)</f>
        <v>-104264.26</v>
      </c>
      <c r="EU3" s="71"/>
      <c r="EV3" s="116">
        <f t="shared" ref="EV3:EV34" si="55">$L3</f>
        <v>1430.1800275031574</v>
      </c>
      <c r="EW3" s="117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7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7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7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7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7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7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7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7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7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7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7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7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7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7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7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7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7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7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7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7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7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7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7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7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7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7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7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7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7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7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7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7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7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7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8"/>
      <c r="GG3" s="119">
        <f t="shared" ref="GG3:GG34" ca="1" si="56">SUM(EW3:GE3)</f>
        <v>0</v>
      </c>
      <c r="GH3" s="118"/>
      <c r="GI3" s="120">
        <f>N36</f>
        <v>-104264.26399999998</v>
      </c>
      <c r="GJ3" s="121"/>
      <c r="GK3" s="122">
        <f t="shared" ref="GK3:GK34" ca="1" si="57">ROUND($GI$3+GG3+GK36+GK70+GK103,2)</f>
        <v>-104264.26</v>
      </c>
    </row>
    <row r="4" spans="1:193" ht="15">
      <c r="A4" s="386" t="s">
        <v>401</v>
      </c>
      <c r="B4" s="202"/>
      <c r="C4" s="199"/>
      <c r="D4" s="398"/>
      <c r="E4" s="399">
        <f t="shared" si="0"/>
        <v>0</v>
      </c>
      <c r="F4" s="400">
        <f t="shared" si="1"/>
        <v>0</v>
      </c>
      <c r="G4" s="201" t="str">
        <f t="shared" si="2"/>
        <v/>
      </c>
      <c r="H4" s="404">
        <f t="shared" ref="H4:H67" si="58">IFERROR(+G4*B4*-100,0)</f>
        <v>0</v>
      </c>
      <c r="I4" s="732">
        <f t="shared" si="3"/>
        <v>0</v>
      </c>
      <c r="J4" s="61"/>
      <c r="K4" s="105"/>
      <c r="L4" s="500">
        <f t="shared" si="4"/>
        <v>1505.4526605296394</v>
      </c>
      <c r="M4" s="423">
        <f t="shared" si="5"/>
        <v>-104264.26</v>
      </c>
      <c r="N4" s="423">
        <f t="shared" ca="1" si="6"/>
        <v>-104264.26</v>
      </c>
      <c r="O4" s="61"/>
      <c r="P4" s="197">
        <f t="shared" ref="P4:P42" si="59">IF(R4="","-",(R4+X4)-$L$18)</f>
        <v>329.09999999999991</v>
      </c>
      <c r="Q4" s="396">
        <f t="shared" si="7"/>
        <v>0</v>
      </c>
      <c r="R4" s="395">
        <v>3000</v>
      </c>
      <c r="S4" s="38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430.92947461071708</v>
      </c>
      <c r="T4" s="33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28">
        <f>IFERROR(VLOOKUP($U4,HomeBroker!$A$30:$F$60,2,0),0)</f>
        <v>10</v>
      </c>
      <c r="W4" s="392">
        <f>IFERROR(VLOOKUP($U4,HomeBroker!$A$30:$F$60,3,0),0)</f>
        <v>416</v>
      </c>
      <c r="X4" s="497">
        <f>IFERROR(VLOOKUP($U4,HomeBroker!$A$30:$F$60,6,0),0)</f>
        <v>416.1</v>
      </c>
      <c r="Y4" s="391">
        <f>IFERROR(VLOOKUP($U4,HomeBroker!$A$30:$F$60,4,0),0)</f>
        <v>425</v>
      </c>
      <c r="Z4" s="328">
        <f>IFERROR(VLOOKUP($U4,HomeBroker!$A$30:$F$60,5,0),0)</f>
        <v>2</v>
      </c>
      <c r="AA4" s="331">
        <f>IFERROR(VLOOKUP($U4,HomeBroker!$A$30:$N$60,13,0),0)</f>
        <v>4346</v>
      </c>
      <c r="AB4" s="198">
        <f t="shared" ref="AB4:AB42" si="63">IF(AD4="","-",(AD4-AJ4)-$L$18)</f>
        <v>-591.97899999999981</v>
      </c>
      <c r="AC4" s="397">
        <f t="shared" si="9"/>
        <v>0</v>
      </c>
      <c r="AD4" s="395">
        <v>2500</v>
      </c>
      <c r="AE4" s="39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9.1468657428047209</v>
      </c>
      <c r="AF4" s="33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63">
        <f>IFERROR(VLOOKUP($AG4,HomeBroker!$A$30:$F$60,2,0),0)</f>
        <v>6</v>
      </c>
      <c r="AI4" s="392">
        <f>IFERROR(VLOOKUP($AG4,HomeBroker!$A$30:$F$60,3,0),0)</f>
        <v>4.4109999999999996</v>
      </c>
      <c r="AJ4" s="497">
        <f>IFERROR(VLOOKUP($AG4,HomeBroker!$A$30:$F$60,6,0),0)</f>
        <v>4.9790000000000001</v>
      </c>
      <c r="AK4" s="392">
        <f>IFERROR(VLOOKUP($AG4,HomeBroker!$A$30:$F$60,4,0),0)</f>
        <v>4.9790000000000001</v>
      </c>
      <c r="AL4" s="363">
        <f>IFERROR(VLOOKUP($AG4,HomeBroker!$A$30:$F$60,5,0),0)</f>
        <v>12</v>
      </c>
      <c r="AM4" s="394">
        <f>IFERROR(VLOOKUP($AG4,HomeBroker!$A$30:$N$60,13,0),0)</f>
        <v>2525</v>
      </c>
      <c r="AN4" s="61"/>
      <c r="AO4" s="197">
        <f t="shared" ref="AO4:AO42" si="67">IF(OR(R4="",X4=0,AJ4=0),"-",R4+X4-AJ4-$L$18)</f>
        <v>324.12100000000009</v>
      </c>
      <c r="AP4" s="61"/>
      <c r="AQ4" s="61"/>
      <c r="AR4" s="61"/>
      <c r="AS4" s="109"/>
      <c r="AT4" s="123" t="s">
        <v>352</v>
      </c>
      <c r="AU4" s="111"/>
      <c r="AV4" s="124"/>
      <c r="AW4" s="112"/>
      <c r="AX4" s="213">
        <f t="shared" si="11"/>
        <v>0</v>
      </c>
      <c r="AY4" s="214">
        <f t="shared" si="12"/>
        <v>0</v>
      </c>
      <c r="AZ4" s="113" t="s">
        <v>402</v>
      </c>
      <c r="BA4" s="111"/>
      <c r="BB4" s="104"/>
      <c r="BC4" s="114"/>
      <c r="BD4" s="215">
        <f t="shared" si="13"/>
        <v>0</v>
      </c>
      <c r="BE4" s="217">
        <f t="shared" si="14"/>
        <v>0</v>
      </c>
      <c r="BF4" s="115" t="s">
        <v>403</v>
      </c>
      <c r="BG4" s="111"/>
      <c r="BH4" s="114"/>
      <c r="BI4" s="218">
        <f t="shared" si="15"/>
        <v>0</v>
      </c>
      <c r="BJ4" s="219">
        <f t="shared" si="16"/>
        <v>0</v>
      </c>
      <c r="DE4" s="116">
        <f t="shared" si="17"/>
        <v>1505.4526605296394</v>
      </c>
      <c r="DF4" s="117">
        <f t="shared" si="18"/>
        <v>0</v>
      </c>
      <c r="DG4" s="117">
        <f t="shared" si="19"/>
        <v>0</v>
      </c>
      <c r="DH4" s="117">
        <f t="shared" si="20"/>
        <v>0</v>
      </c>
      <c r="DI4" s="117">
        <f t="shared" si="21"/>
        <v>0</v>
      </c>
      <c r="DJ4" s="117">
        <f t="shared" si="22"/>
        <v>0</v>
      </c>
      <c r="DK4" s="117">
        <f t="shared" si="23"/>
        <v>0</v>
      </c>
      <c r="DL4" s="117">
        <f t="shared" si="24"/>
        <v>0</v>
      </c>
      <c r="DM4" s="117">
        <f t="shared" si="25"/>
        <v>0</v>
      </c>
      <c r="DN4" s="117">
        <f t="shared" si="26"/>
        <v>0</v>
      </c>
      <c r="DO4" s="117">
        <f t="shared" si="27"/>
        <v>0</v>
      </c>
      <c r="DP4" s="117">
        <f t="shared" si="28"/>
        <v>0</v>
      </c>
      <c r="DQ4" s="117">
        <f t="shared" si="29"/>
        <v>0</v>
      </c>
      <c r="DR4" s="117">
        <f t="shared" si="30"/>
        <v>0</v>
      </c>
      <c r="DS4" s="117">
        <f t="shared" si="31"/>
        <v>0</v>
      </c>
      <c r="DT4" s="117">
        <f t="shared" si="32"/>
        <v>0</v>
      </c>
      <c r="DU4" s="117">
        <f t="shared" si="33"/>
        <v>0</v>
      </c>
      <c r="DV4" s="117">
        <f t="shared" si="34"/>
        <v>0</v>
      </c>
      <c r="DW4" s="117">
        <f t="shared" si="35"/>
        <v>0</v>
      </c>
      <c r="DX4" s="117">
        <f t="shared" si="36"/>
        <v>0</v>
      </c>
      <c r="DY4" s="117">
        <f t="shared" si="37"/>
        <v>0</v>
      </c>
      <c r="DZ4" s="117">
        <f t="shared" si="38"/>
        <v>0</v>
      </c>
      <c r="EA4" s="117">
        <f t="shared" si="39"/>
        <v>0</v>
      </c>
      <c r="EB4" s="117">
        <f t="shared" si="40"/>
        <v>0</v>
      </c>
      <c r="EC4" s="117">
        <f t="shared" si="41"/>
        <v>0</v>
      </c>
      <c r="ED4" s="117">
        <f t="shared" si="42"/>
        <v>0</v>
      </c>
      <c r="EE4" s="117">
        <f t="shared" si="43"/>
        <v>0</v>
      </c>
      <c r="EF4" s="117">
        <f t="shared" si="44"/>
        <v>0</v>
      </c>
      <c r="EG4" s="117">
        <f t="shared" si="45"/>
        <v>0</v>
      </c>
      <c r="EH4" s="117">
        <f t="shared" si="46"/>
        <v>0</v>
      </c>
      <c r="EI4" s="117">
        <f t="shared" si="47"/>
        <v>0</v>
      </c>
      <c r="EJ4" s="117">
        <f t="shared" si="48"/>
        <v>0</v>
      </c>
      <c r="EK4" s="117">
        <f t="shared" si="49"/>
        <v>0</v>
      </c>
      <c r="EL4" s="117">
        <f t="shared" si="50"/>
        <v>0</v>
      </c>
      <c r="EM4" s="117">
        <f t="shared" si="51"/>
        <v>0</v>
      </c>
      <c r="EN4" s="117">
        <f t="shared" si="52"/>
        <v>0</v>
      </c>
      <c r="EO4" s="118"/>
      <c r="EP4" s="119">
        <f t="shared" si="53"/>
        <v>0</v>
      </c>
      <c r="EQ4" s="118"/>
      <c r="ER4" s="125"/>
      <c r="ES4" s="121"/>
      <c r="ET4" s="122">
        <f t="shared" si="54"/>
        <v>-104264.26</v>
      </c>
      <c r="EU4" s="71"/>
      <c r="EV4" s="116">
        <f t="shared" si="55"/>
        <v>1505.4526605296394</v>
      </c>
      <c r="EW4" s="117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7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7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7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7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7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7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7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7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7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7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7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7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7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7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7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7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7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7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7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7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7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7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7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7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7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7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7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7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7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7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7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7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7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7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8"/>
      <c r="GG4" s="119">
        <f t="shared" ca="1" si="56"/>
        <v>0</v>
      </c>
      <c r="GH4" s="118"/>
      <c r="GI4" s="125"/>
      <c r="GJ4" s="121"/>
      <c r="GK4" s="122">
        <f t="shared" ca="1" si="57"/>
        <v>-104264.26</v>
      </c>
    </row>
    <row r="5" spans="1:193" ht="15">
      <c r="A5" s="386" t="s">
        <v>401</v>
      </c>
      <c r="B5" s="202"/>
      <c r="C5" s="199"/>
      <c r="D5" s="398"/>
      <c r="E5" s="399">
        <f t="shared" si="0"/>
        <v>0</v>
      </c>
      <c r="F5" s="400">
        <f t="shared" si="1"/>
        <v>0</v>
      </c>
      <c r="G5" s="201" t="str">
        <f t="shared" si="2"/>
        <v/>
      </c>
      <c r="H5" s="404">
        <f t="shared" si="58"/>
        <v>0</v>
      </c>
      <c r="I5" s="732">
        <f t="shared" si="3"/>
        <v>0</v>
      </c>
      <c r="J5" s="61"/>
      <c r="K5" s="105"/>
      <c r="L5" s="500">
        <f t="shared" si="4"/>
        <v>1584.6870110838311</v>
      </c>
      <c r="M5" s="423">
        <f t="shared" si="5"/>
        <v>-104264.26</v>
      </c>
      <c r="N5" s="423">
        <f t="shared" ca="1" si="6"/>
        <v>-104264.26</v>
      </c>
      <c r="O5" s="61"/>
      <c r="P5" s="197">
        <f t="shared" si="59"/>
        <v>383</v>
      </c>
      <c r="Q5" s="396">
        <f t="shared" si="7"/>
        <v>0</v>
      </c>
      <c r="R5" s="395">
        <v>3150</v>
      </c>
      <c r="S5" s="389">
        <f t="shared" ca="1" si="60"/>
        <v>334.87182811576417</v>
      </c>
      <c r="T5" s="330" t="str">
        <f t="shared" si="61"/>
        <v>MERV - XMEV - GFGC3150JU - 24hs</v>
      </c>
      <c r="U5" s="330" t="str">
        <f t="shared" si="62"/>
        <v>GFGC3150JU</v>
      </c>
      <c r="V5" s="328">
        <f>IFERROR(VLOOKUP($U5,HomeBroker!$A$30:$F$60,2,0),0)</f>
        <v>27</v>
      </c>
      <c r="W5" s="392">
        <f>IFERROR(VLOOKUP($U5,HomeBroker!$A$30:$F$60,3,0),0)</f>
        <v>315</v>
      </c>
      <c r="X5" s="497">
        <f>IFERROR(VLOOKUP($U5,HomeBroker!$A$30:$F$60,6,0),0)</f>
        <v>320</v>
      </c>
      <c r="Y5" s="391">
        <f>IFERROR(VLOOKUP($U5,HomeBroker!$A$30:$F$60,4,0),0)</f>
        <v>332</v>
      </c>
      <c r="Z5" s="328">
        <f>IFERROR(VLOOKUP($U5,HomeBroker!$A$30:$F$60,5,0),0)</f>
        <v>4</v>
      </c>
      <c r="AA5" s="331">
        <f>IFERROR(VLOOKUP($U5,HomeBroker!$A$30:$N$60,13,0),0)</f>
        <v>2050</v>
      </c>
      <c r="AB5" s="198">
        <f t="shared" si="63"/>
        <v>-496</v>
      </c>
      <c r="AC5" s="397">
        <f t="shared" si="9"/>
        <v>0</v>
      </c>
      <c r="AD5" s="395">
        <v>2600</v>
      </c>
      <c r="AE5" s="390">
        <f t="shared" ca="1" si="64"/>
        <v>15.367998037546698</v>
      </c>
      <c r="AF5" s="330" t="str">
        <f t="shared" si="65"/>
        <v>MERV - XMEV - GFGV2600JU - 24hs</v>
      </c>
      <c r="AG5" s="330" t="str">
        <f t="shared" si="66"/>
        <v>GFGV2600JU</v>
      </c>
      <c r="AH5" s="363">
        <f>IFERROR(VLOOKUP($AG5,HomeBroker!$A$30:$F$60,2,0),0)</f>
        <v>14</v>
      </c>
      <c r="AI5" s="392">
        <f>IFERROR(VLOOKUP($AG5,HomeBroker!$A$30:$F$60,3,0),0)</f>
        <v>7.5010000000000003</v>
      </c>
      <c r="AJ5" s="497">
        <f>IFERROR(VLOOKUP($AG5,HomeBroker!$A$30:$F$60,6,0),0)</f>
        <v>9</v>
      </c>
      <c r="AK5" s="392">
        <f>IFERROR(VLOOKUP($AG5,HomeBroker!$A$30:$F$60,4,0),0)</f>
        <v>9.5</v>
      </c>
      <c r="AL5" s="363">
        <f>IFERROR(VLOOKUP($AG5,HomeBroker!$A$30:$F$60,5,0),0)</f>
        <v>18</v>
      </c>
      <c r="AM5" s="394">
        <f>IFERROR(VLOOKUP($AG5,HomeBroker!$A$30:$N$60,13,0),0)</f>
        <v>2572</v>
      </c>
      <c r="AN5" s="61"/>
      <c r="AO5" s="197">
        <f t="shared" si="67"/>
        <v>374</v>
      </c>
      <c r="AP5" s="61"/>
      <c r="AQ5" s="61"/>
      <c r="AR5" s="61"/>
      <c r="AS5" s="109"/>
      <c r="AT5" s="123" t="s">
        <v>352</v>
      </c>
      <c r="AU5" s="111"/>
      <c r="AV5" s="126"/>
      <c r="AW5" s="127"/>
      <c r="AX5" s="213">
        <f t="shared" si="11"/>
        <v>0</v>
      </c>
      <c r="AY5" s="214">
        <f t="shared" si="12"/>
        <v>0</v>
      </c>
      <c r="AZ5" s="113" t="s">
        <v>402</v>
      </c>
      <c r="BA5" s="111"/>
      <c r="BB5" s="104"/>
      <c r="BC5" s="114"/>
      <c r="BD5" s="215">
        <f t="shared" si="13"/>
        <v>0</v>
      </c>
      <c r="BE5" s="217">
        <f t="shared" si="14"/>
        <v>0</v>
      </c>
      <c r="BF5" s="115" t="s">
        <v>403</v>
      </c>
      <c r="BG5" s="111"/>
      <c r="BH5" s="114"/>
      <c r="BI5" s="218">
        <f t="shared" si="15"/>
        <v>0</v>
      </c>
      <c r="BJ5" s="219">
        <f t="shared" si="16"/>
        <v>0</v>
      </c>
      <c r="DE5" s="116">
        <f t="shared" si="17"/>
        <v>1584.6870110838311</v>
      </c>
      <c r="DF5" s="117">
        <f t="shared" si="18"/>
        <v>0</v>
      </c>
      <c r="DG5" s="117">
        <f t="shared" si="19"/>
        <v>0</v>
      </c>
      <c r="DH5" s="117">
        <f t="shared" si="20"/>
        <v>0</v>
      </c>
      <c r="DI5" s="117">
        <f t="shared" si="21"/>
        <v>0</v>
      </c>
      <c r="DJ5" s="117">
        <f t="shared" si="22"/>
        <v>0</v>
      </c>
      <c r="DK5" s="117">
        <f t="shared" si="23"/>
        <v>0</v>
      </c>
      <c r="DL5" s="117">
        <f t="shared" si="24"/>
        <v>0</v>
      </c>
      <c r="DM5" s="117">
        <f t="shared" si="25"/>
        <v>0</v>
      </c>
      <c r="DN5" s="117">
        <f t="shared" si="26"/>
        <v>0</v>
      </c>
      <c r="DO5" s="117">
        <f t="shared" si="27"/>
        <v>0</v>
      </c>
      <c r="DP5" s="117">
        <f t="shared" si="28"/>
        <v>0</v>
      </c>
      <c r="DQ5" s="117">
        <f t="shared" si="29"/>
        <v>0</v>
      </c>
      <c r="DR5" s="117">
        <f t="shared" si="30"/>
        <v>0</v>
      </c>
      <c r="DS5" s="117">
        <f t="shared" si="31"/>
        <v>0</v>
      </c>
      <c r="DT5" s="117">
        <f t="shared" si="32"/>
        <v>0</v>
      </c>
      <c r="DU5" s="117">
        <f t="shared" si="33"/>
        <v>0</v>
      </c>
      <c r="DV5" s="117">
        <f t="shared" si="34"/>
        <v>0</v>
      </c>
      <c r="DW5" s="117">
        <f t="shared" si="35"/>
        <v>0</v>
      </c>
      <c r="DX5" s="117">
        <f t="shared" si="36"/>
        <v>0</v>
      </c>
      <c r="DY5" s="117">
        <f t="shared" si="37"/>
        <v>0</v>
      </c>
      <c r="DZ5" s="117">
        <f t="shared" si="38"/>
        <v>0</v>
      </c>
      <c r="EA5" s="117">
        <f t="shared" si="39"/>
        <v>0</v>
      </c>
      <c r="EB5" s="117">
        <f t="shared" si="40"/>
        <v>0</v>
      </c>
      <c r="EC5" s="117">
        <f t="shared" si="41"/>
        <v>0</v>
      </c>
      <c r="ED5" s="117">
        <f t="shared" si="42"/>
        <v>0</v>
      </c>
      <c r="EE5" s="117">
        <f t="shared" si="43"/>
        <v>0</v>
      </c>
      <c r="EF5" s="117">
        <f t="shared" si="44"/>
        <v>0</v>
      </c>
      <c r="EG5" s="117">
        <f t="shared" si="45"/>
        <v>0</v>
      </c>
      <c r="EH5" s="117">
        <f t="shared" si="46"/>
        <v>0</v>
      </c>
      <c r="EI5" s="117">
        <f t="shared" si="47"/>
        <v>0</v>
      </c>
      <c r="EJ5" s="117">
        <f t="shared" si="48"/>
        <v>0</v>
      </c>
      <c r="EK5" s="117">
        <f t="shared" si="49"/>
        <v>0</v>
      </c>
      <c r="EL5" s="117">
        <f t="shared" si="50"/>
        <v>0</v>
      </c>
      <c r="EM5" s="117">
        <f t="shared" si="51"/>
        <v>0</v>
      </c>
      <c r="EN5" s="117">
        <f t="shared" si="52"/>
        <v>0</v>
      </c>
      <c r="EO5" s="118"/>
      <c r="EP5" s="119">
        <f t="shared" si="53"/>
        <v>0</v>
      </c>
      <c r="EQ5" s="118"/>
      <c r="ER5" s="125"/>
      <c r="ES5" s="121"/>
      <c r="ET5" s="122">
        <f t="shared" si="54"/>
        <v>-104264.26</v>
      </c>
      <c r="EU5" s="71"/>
      <c r="EV5" s="116">
        <f t="shared" si="55"/>
        <v>1584.6870110838311</v>
      </c>
      <c r="EW5" s="117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7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7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7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7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7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7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7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7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7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7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7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7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7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7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7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7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7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7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7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7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7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7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7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7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7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7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7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7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7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7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7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7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7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7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8"/>
      <c r="GG5" s="119">
        <f t="shared" ca="1" si="56"/>
        <v>0</v>
      </c>
      <c r="GH5" s="118"/>
      <c r="GI5" s="125"/>
      <c r="GJ5" s="121"/>
      <c r="GK5" s="122">
        <f t="shared" ca="1" si="57"/>
        <v>-104264.26</v>
      </c>
    </row>
    <row r="6" spans="1:193" ht="15">
      <c r="A6" s="386" t="s">
        <v>401</v>
      </c>
      <c r="B6" s="202"/>
      <c r="C6" s="199"/>
      <c r="D6" s="398"/>
      <c r="E6" s="399">
        <f t="shared" si="0"/>
        <v>0</v>
      </c>
      <c r="F6" s="400">
        <f t="shared" si="1"/>
        <v>0</v>
      </c>
      <c r="G6" s="201" t="str">
        <f t="shared" si="2"/>
        <v/>
      </c>
      <c r="H6" s="404">
        <f t="shared" si="58"/>
        <v>0</v>
      </c>
      <c r="I6" s="732">
        <f t="shared" si="3"/>
        <v>0</v>
      </c>
      <c r="J6" s="61"/>
      <c r="K6" s="105"/>
      <c r="L6" s="500">
        <f t="shared" si="4"/>
        <v>1668.0915906145592</v>
      </c>
      <c r="M6" s="424">
        <f t="shared" si="5"/>
        <v>-104264.26</v>
      </c>
      <c r="N6" s="424">
        <f t="shared" ca="1" si="6"/>
        <v>-104264.26</v>
      </c>
      <c r="O6" s="61"/>
      <c r="P6" s="197">
        <f t="shared" si="59"/>
        <v>460</v>
      </c>
      <c r="Q6" s="396">
        <f t="shared" si="7"/>
        <v>0</v>
      </c>
      <c r="R6" s="395">
        <v>3300</v>
      </c>
      <c r="S6" s="389">
        <f t="shared" ca="1" si="60"/>
        <v>253.18127759782715</v>
      </c>
      <c r="T6" s="330" t="str">
        <f t="shared" si="61"/>
        <v>MERV - XMEV - GFGC3300JU - 24hs</v>
      </c>
      <c r="U6" s="330" t="str">
        <f t="shared" si="62"/>
        <v>GFGC3300JU</v>
      </c>
      <c r="V6" s="328">
        <f>IFERROR(VLOOKUP($U6,HomeBroker!$A$30:$F$60,2,0),0)</f>
        <v>3</v>
      </c>
      <c r="W6" s="392">
        <f>IFERROR(VLOOKUP($U6,HomeBroker!$A$30:$F$60,3,0),0)</f>
        <v>243</v>
      </c>
      <c r="X6" s="497">
        <f>IFERROR(VLOOKUP($U6,HomeBroker!$A$30:$F$60,6,0),0)</f>
        <v>247</v>
      </c>
      <c r="Y6" s="391">
        <f>IFERROR(VLOOKUP($U6,HomeBroker!$A$30:$F$60,4,0),0)</f>
        <v>252</v>
      </c>
      <c r="Z6" s="328">
        <f>IFERROR(VLOOKUP($U6,HomeBroker!$A$30:$F$60,5,0),0)</f>
        <v>83</v>
      </c>
      <c r="AA6" s="331">
        <f>IFERROR(VLOOKUP($U6,HomeBroker!$A$30:$N$60,13,0),0)</f>
        <v>4632</v>
      </c>
      <c r="AB6" s="198">
        <f t="shared" si="63"/>
        <v>-402</v>
      </c>
      <c r="AC6" s="397">
        <f t="shared" si="9"/>
        <v>0</v>
      </c>
      <c r="AD6" s="395">
        <v>2700</v>
      </c>
      <c r="AE6" s="390">
        <f t="shared" ca="1" si="64"/>
        <v>24.493342666452691</v>
      </c>
      <c r="AF6" s="330" t="str">
        <f t="shared" si="65"/>
        <v>MERV - XMEV - GFGV2700JU - 24hs</v>
      </c>
      <c r="AG6" s="330" t="str">
        <f t="shared" si="66"/>
        <v>GFGV2700JU</v>
      </c>
      <c r="AH6" s="363">
        <f>IFERROR(VLOOKUP($AG6,HomeBroker!$A$30:$F$60,2,0),0)</f>
        <v>5</v>
      </c>
      <c r="AI6" s="392">
        <f>IFERROR(VLOOKUP($AG6,HomeBroker!$A$30:$F$60,3,0),0)</f>
        <v>14.25</v>
      </c>
      <c r="AJ6" s="497">
        <f>IFERROR(VLOOKUP($AG6,HomeBroker!$A$30:$F$60,6,0),0)</f>
        <v>15</v>
      </c>
      <c r="AK6" s="392">
        <f>IFERROR(VLOOKUP($AG6,HomeBroker!$A$30:$F$60,4,0),0)</f>
        <v>16</v>
      </c>
      <c r="AL6" s="363">
        <f>IFERROR(VLOOKUP($AG6,HomeBroker!$A$30:$F$60,5,0),0)</f>
        <v>5</v>
      </c>
      <c r="AM6" s="394">
        <f>IFERROR(VLOOKUP($AG6,HomeBroker!$A$30:$N$60,13,0),0)</f>
        <v>3026</v>
      </c>
      <c r="AN6" s="61"/>
      <c r="AO6" s="197">
        <f t="shared" si="67"/>
        <v>445</v>
      </c>
      <c r="AP6" s="61"/>
      <c r="AQ6" s="61"/>
      <c r="AR6" s="61"/>
      <c r="AS6" s="109"/>
      <c r="AT6" s="123" t="s">
        <v>352</v>
      </c>
      <c r="AU6" s="111"/>
      <c r="AV6" s="126"/>
      <c r="AW6" s="127"/>
      <c r="AX6" s="213">
        <f t="shared" si="11"/>
        <v>0</v>
      </c>
      <c r="AY6" s="214">
        <f t="shared" si="12"/>
        <v>0</v>
      </c>
      <c r="AZ6" s="113" t="s">
        <v>402</v>
      </c>
      <c r="BA6" s="111"/>
      <c r="BB6" s="128"/>
      <c r="BC6" s="114"/>
      <c r="BD6" s="215">
        <f t="shared" si="13"/>
        <v>0</v>
      </c>
      <c r="BE6" s="217">
        <f t="shared" si="14"/>
        <v>0</v>
      </c>
      <c r="BF6" s="115" t="s">
        <v>403</v>
      </c>
      <c r="BG6" s="111"/>
      <c r="BH6" s="114"/>
      <c r="BI6" s="218">
        <f t="shared" si="15"/>
        <v>0</v>
      </c>
      <c r="BJ6" s="219">
        <f t="shared" si="16"/>
        <v>0</v>
      </c>
      <c r="DE6" s="116">
        <f t="shared" si="17"/>
        <v>1668.0915906145592</v>
      </c>
      <c r="DF6" s="117">
        <f t="shared" si="18"/>
        <v>0</v>
      </c>
      <c r="DG6" s="117">
        <f t="shared" si="19"/>
        <v>0</v>
      </c>
      <c r="DH6" s="117">
        <f t="shared" si="20"/>
        <v>0</v>
      </c>
      <c r="DI6" s="117">
        <f t="shared" si="21"/>
        <v>0</v>
      </c>
      <c r="DJ6" s="117">
        <f t="shared" si="22"/>
        <v>0</v>
      </c>
      <c r="DK6" s="117">
        <f t="shared" si="23"/>
        <v>0</v>
      </c>
      <c r="DL6" s="117">
        <f t="shared" si="24"/>
        <v>0</v>
      </c>
      <c r="DM6" s="117">
        <f t="shared" si="25"/>
        <v>0</v>
      </c>
      <c r="DN6" s="117">
        <f t="shared" si="26"/>
        <v>0</v>
      </c>
      <c r="DO6" s="117">
        <f t="shared" si="27"/>
        <v>0</v>
      </c>
      <c r="DP6" s="117">
        <f t="shared" si="28"/>
        <v>0</v>
      </c>
      <c r="DQ6" s="117">
        <f t="shared" si="29"/>
        <v>0</v>
      </c>
      <c r="DR6" s="117">
        <f t="shared" si="30"/>
        <v>0</v>
      </c>
      <c r="DS6" s="117">
        <f t="shared" si="31"/>
        <v>0</v>
      </c>
      <c r="DT6" s="117">
        <f t="shared" si="32"/>
        <v>0</v>
      </c>
      <c r="DU6" s="117">
        <f t="shared" si="33"/>
        <v>0</v>
      </c>
      <c r="DV6" s="117">
        <f t="shared" si="34"/>
        <v>0</v>
      </c>
      <c r="DW6" s="117">
        <f t="shared" si="35"/>
        <v>0</v>
      </c>
      <c r="DX6" s="117">
        <f t="shared" si="36"/>
        <v>0</v>
      </c>
      <c r="DY6" s="117">
        <f t="shared" si="37"/>
        <v>0</v>
      </c>
      <c r="DZ6" s="117">
        <f t="shared" si="38"/>
        <v>0</v>
      </c>
      <c r="EA6" s="117">
        <f t="shared" si="39"/>
        <v>0</v>
      </c>
      <c r="EB6" s="117">
        <f t="shared" si="40"/>
        <v>0</v>
      </c>
      <c r="EC6" s="117">
        <f t="shared" si="41"/>
        <v>0</v>
      </c>
      <c r="ED6" s="117">
        <f t="shared" si="42"/>
        <v>0</v>
      </c>
      <c r="EE6" s="117">
        <f t="shared" si="43"/>
        <v>0</v>
      </c>
      <c r="EF6" s="117">
        <f t="shared" si="44"/>
        <v>0</v>
      </c>
      <c r="EG6" s="117">
        <f t="shared" si="45"/>
        <v>0</v>
      </c>
      <c r="EH6" s="117">
        <f t="shared" si="46"/>
        <v>0</v>
      </c>
      <c r="EI6" s="117">
        <f t="shared" si="47"/>
        <v>0</v>
      </c>
      <c r="EJ6" s="117">
        <f t="shared" si="48"/>
        <v>0</v>
      </c>
      <c r="EK6" s="117">
        <f t="shared" si="49"/>
        <v>0</v>
      </c>
      <c r="EL6" s="117">
        <f t="shared" si="50"/>
        <v>0</v>
      </c>
      <c r="EM6" s="117">
        <f t="shared" si="51"/>
        <v>0</v>
      </c>
      <c r="EN6" s="117">
        <f t="shared" si="52"/>
        <v>0</v>
      </c>
      <c r="EO6" s="118"/>
      <c r="EP6" s="119">
        <f t="shared" si="53"/>
        <v>0</v>
      </c>
      <c r="EQ6" s="118"/>
      <c r="ER6" s="125"/>
      <c r="ES6" s="121"/>
      <c r="ET6" s="122">
        <f t="shared" si="54"/>
        <v>-104264.26</v>
      </c>
      <c r="EU6" s="71"/>
      <c r="EV6" s="116">
        <f t="shared" si="55"/>
        <v>1668.0915906145592</v>
      </c>
      <c r="EW6" s="117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7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7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7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7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7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7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7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7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7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7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7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7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7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7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7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7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7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7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7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7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7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7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7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7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7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7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7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7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7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7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7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7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7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7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8"/>
      <c r="GG6" s="119">
        <f t="shared" ca="1" si="56"/>
        <v>0</v>
      </c>
      <c r="GH6" s="118"/>
      <c r="GI6" s="125"/>
      <c r="GJ6" s="121"/>
      <c r="GK6" s="122">
        <f t="shared" ca="1" si="57"/>
        <v>-104264.26</v>
      </c>
    </row>
    <row r="7" spans="1:193" ht="15">
      <c r="A7" s="386" t="s">
        <v>401</v>
      </c>
      <c r="B7" s="202"/>
      <c r="C7" s="199"/>
      <c r="D7" s="398"/>
      <c r="E7" s="399">
        <f t="shared" si="0"/>
        <v>0</v>
      </c>
      <c r="F7" s="400">
        <f t="shared" si="1"/>
        <v>0</v>
      </c>
      <c r="G7" s="201" t="str">
        <f t="shared" si="2"/>
        <v/>
      </c>
      <c r="H7" s="404">
        <f t="shared" si="58"/>
        <v>0</v>
      </c>
      <c r="I7" s="732">
        <f t="shared" si="3"/>
        <v>0</v>
      </c>
      <c r="J7" s="61"/>
      <c r="K7" s="105">
        <f>IFERROR(-1+(L7/$L$18),"")</f>
        <v>-0.43119990772354044</v>
      </c>
      <c r="L7" s="500">
        <f t="shared" si="4"/>
        <v>1755.8858848574307</v>
      </c>
      <c r="M7" s="423">
        <f t="shared" si="5"/>
        <v>-104264.26</v>
      </c>
      <c r="N7" s="423">
        <f t="shared" ca="1" si="6"/>
        <v>-104264.26</v>
      </c>
      <c r="O7" s="61"/>
      <c r="P7" s="197">
        <f t="shared" si="59"/>
        <v>545</v>
      </c>
      <c r="Q7" s="396">
        <f t="shared" si="7"/>
        <v>0</v>
      </c>
      <c r="R7" s="395">
        <v>3450</v>
      </c>
      <c r="S7" s="389">
        <f t="shared" ca="1" si="60"/>
        <v>186.25808203386669</v>
      </c>
      <c r="T7" s="330" t="str">
        <f t="shared" si="61"/>
        <v>MERV - XMEV - GFGC3450JU - 24hs</v>
      </c>
      <c r="U7" s="330" t="str">
        <f t="shared" si="62"/>
        <v>GFGC3450JU</v>
      </c>
      <c r="V7" s="328">
        <f>IFERROR(VLOOKUP($U7,HomeBroker!$A$30:$F$60,2,0),0)</f>
        <v>21</v>
      </c>
      <c r="W7" s="392">
        <f>IFERROR(VLOOKUP($U7,HomeBroker!$A$30:$F$60,3,0),0)</f>
        <v>182</v>
      </c>
      <c r="X7" s="497">
        <f>IFERROR(VLOOKUP($U7,HomeBroker!$A$30:$F$60,6,0),0)</f>
        <v>182</v>
      </c>
      <c r="Y7" s="391">
        <f>IFERROR(VLOOKUP($U7,HomeBroker!$A$30:$F$60,4,0),0)</f>
        <v>186</v>
      </c>
      <c r="Z7" s="328">
        <f>IFERROR(VLOOKUP($U7,HomeBroker!$A$30:$F$60,5,0),0)</f>
        <v>1</v>
      </c>
      <c r="AA7" s="331">
        <f>IFERROR(VLOOKUP($U7,HomeBroker!$A$30:$N$60,13,0),0)</f>
        <v>3579</v>
      </c>
      <c r="AB7" s="198">
        <f t="shared" si="63"/>
        <v>-315</v>
      </c>
      <c r="AC7" s="397">
        <f t="shared" si="9"/>
        <v>0</v>
      </c>
      <c r="AD7" s="395">
        <v>2800</v>
      </c>
      <c r="AE7" s="390">
        <f t="shared" ca="1" si="64"/>
        <v>37.249073673733733</v>
      </c>
      <c r="AF7" s="330" t="str">
        <f t="shared" si="65"/>
        <v>MERV - XMEV - GFGV2800JU - 24hs</v>
      </c>
      <c r="AG7" s="330" t="str">
        <f t="shared" si="66"/>
        <v>GFGV2800JU</v>
      </c>
      <c r="AH7" s="363">
        <f>IFERROR(VLOOKUP($AG7,HomeBroker!$A$30:$F$60,2,0),0)</f>
        <v>14</v>
      </c>
      <c r="AI7" s="392">
        <f>IFERROR(VLOOKUP($AG7,HomeBroker!$A$30:$F$60,3,0),0)</f>
        <v>26.001000000000001</v>
      </c>
      <c r="AJ7" s="497">
        <f>IFERROR(VLOOKUP($AG7,HomeBroker!$A$30:$F$60,6,0),0)</f>
        <v>28</v>
      </c>
      <c r="AK7" s="392">
        <f>IFERROR(VLOOKUP($AG7,HomeBroker!$A$30:$F$60,4,0),0)</f>
        <v>28</v>
      </c>
      <c r="AL7" s="363">
        <f>IFERROR(VLOOKUP($AG7,HomeBroker!$A$30:$F$60,5,0),0)</f>
        <v>3</v>
      </c>
      <c r="AM7" s="394">
        <f>IFERROR(VLOOKUP($AG7,HomeBroker!$A$30:$N$60,13,0),0)</f>
        <v>4828</v>
      </c>
      <c r="AN7" s="61"/>
      <c r="AO7" s="197">
        <f t="shared" si="67"/>
        <v>517</v>
      </c>
      <c r="AP7" s="61"/>
      <c r="AQ7" s="61"/>
      <c r="AR7" s="61"/>
      <c r="AS7" s="109"/>
      <c r="AT7" s="123" t="s">
        <v>352</v>
      </c>
      <c r="AU7" s="111"/>
      <c r="AV7" s="126"/>
      <c r="AW7" s="127"/>
      <c r="AX7" s="213">
        <f t="shared" si="11"/>
        <v>0</v>
      </c>
      <c r="AY7" s="214">
        <f t="shared" si="12"/>
        <v>0</v>
      </c>
      <c r="AZ7" s="113" t="s">
        <v>402</v>
      </c>
      <c r="BA7" s="111"/>
      <c r="BB7" s="128"/>
      <c r="BC7" s="114"/>
      <c r="BD7" s="215">
        <f t="shared" si="13"/>
        <v>0</v>
      </c>
      <c r="BE7" s="217">
        <f t="shared" si="14"/>
        <v>0</v>
      </c>
      <c r="BF7" s="115" t="s">
        <v>403</v>
      </c>
      <c r="BG7" s="111"/>
      <c r="BH7" s="114"/>
      <c r="BI7" s="218">
        <f t="shared" si="15"/>
        <v>0</v>
      </c>
      <c r="BJ7" s="219">
        <f t="shared" si="16"/>
        <v>0</v>
      </c>
      <c r="DE7" s="116">
        <f t="shared" si="17"/>
        <v>1755.8858848574307</v>
      </c>
      <c r="DF7" s="117">
        <f t="shared" si="18"/>
        <v>0</v>
      </c>
      <c r="DG7" s="117">
        <f t="shared" si="19"/>
        <v>0</v>
      </c>
      <c r="DH7" s="117">
        <f t="shared" si="20"/>
        <v>0</v>
      </c>
      <c r="DI7" s="117">
        <f t="shared" si="21"/>
        <v>0</v>
      </c>
      <c r="DJ7" s="117">
        <f t="shared" si="22"/>
        <v>0</v>
      </c>
      <c r="DK7" s="117">
        <f t="shared" si="23"/>
        <v>0</v>
      </c>
      <c r="DL7" s="117">
        <f t="shared" si="24"/>
        <v>0</v>
      </c>
      <c r="DM7" s="117">
        <f t="shared" si="25"/>
        <v>0</v>
      </c>
      <c r="DN7" s="117">
        <f t="shared" si="26"/>
        <v>0</v>
      </c>
      <c r="DO7" s="117">
        <f t="shared" si="27"/>
        <v>0</v>
      </c>
      <c r="DP7" s="117">
        <f t="shared" si="28"/>
        <v>0</v>
      </c>
      <c r="DQ7" s="117">
        <f t="shared" si="29"/>
        <v>0</v>
      </c>
      <c r="DR7" s="117">
        <f t="shared" si="30"/>
        <v>0</v>
      </c>
      <c r="DS7" s="117">
        <f t="shared" si="31"/>
        <v>0</v>
      </c>
      <c r="DT7" s="117">
        <f t="shared" si="32"/>
        <v>0</v>
      </c>
      <c r="DU7" s="117">
        <f t="shared" si="33"/>
        <v>0</v>
      </c>
      <c r="DV7" s="117">
        <f t="shared" si="34"/>
        <v>0</v>
      </c>
      <c r="DW7" s="117">
        <f t="shared" si="35"/>
        <v>0</v>
      </c>
      <c r="DX7" s="117">
        <f t="shared" si="36"/>
        <v>0</v>
      </c>
      <c r="DY7" s="117">
        <f t="shared" si="37"/>
        <v>0</v>
      </c>
      <c r="DZ7" s="117">
        <f t="shared" si="38"/>
        <v>0</v>
      </c>
      <c r="EA7" s="117">
        <f t="shared" si="39"/>
        <v>0</v>
      </c>
      <c r="EB7" s="117">
        <f t="shared" si="40"/>
        <v>0</v>
      </c>
      <c r="EC7" s="117">
        <f t="shared" si="41"/>
        <v>0</v>
      </c>
      <c r="ED7" s="117">
        <f t="shared" si="42"/>
        <v>0</v>
      </c>
      <c r="EE7" s="117">
        <f t="shared" si="43"/>
        <v>0</v>
      </c>
      <c r="EF7" s="117">
        <f t="shared" si="44"/>
        <v>0</v>
      </c>
      <c r="EG7" s="117">
        <f t="shared" si="45"/>
        <v>0</v>
      </c>
      <c r="EH7" s="117">
        <f t="shared" si="46"/>
        <v>0</v>
      </c>
      <c r="EI7" s="117">
        <f t="shared" si="47"/>
        <v>0</v>
      </c>
      <c r="EJ7" s="117">
        <f t="shared" si="48"/>
        <v>0</v>
      </c>
      <c r="EK7" s="117">
        <f t="shared" si="49"/>
        <v>0</v>
      </c>
      <c r="EL7" s="117">
        <f t="shared" si="50"/>
        <v>0</v>
      </c>
      <c r="EM7" s="117">
        <f t="shared" si="51"/>
        <v>0</v>
      </c>
      <c r="EN7" s="117">
        <f t="shared" si="52"/>
        <v>0</v>
      </c>
      <c r="EO7" s="118"/>
      <c r="EP7" s="119">
        <f t="shared" si="53"/>
        <v>0</v>
      </c>
      <c r="EQ7" s="118"/>
      <c r="ER7" s="125"/>
      <c r="ES7" s="121"/>
      <c r="ET7" s="122">
        <f t="shared" si="54"/>
        <v>-104264.26</v>
      </c>
      <c r="EU7" s="71"/>
      <c r="EV7" s="116">
        <f t="shared" si="55"/>
        <v>1755.8858848574307</v>
      </c>
      <c r="EW7" s="117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7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7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7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7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7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7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7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7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7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7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7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7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7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7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7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7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7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7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7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7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7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7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7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7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7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7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7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7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7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7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7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7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7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7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8"/>
      <c r="GG7" s="119">
        <f t="shared" ca="1" si="56"/>
        <v>0</v>
      </c>
      <c r="GH7" s="118"/>
      <c r="GI7" s="125"/>
      <c r="GJ7" s="121"/>
      <c r="GK7" s="122">
        <f t="shared" ca="1" si="57"/>
        <v>-104264.26</v>
      </c>
    </row>
    <row r="8" spans="1:193" ht="15">
      <c r="A8" s="386" t="s">
        <v>401</v>
      </c>
      <c r="B8" s="202"/>
      <c r="C8" s="199"/>
      <c r="D8" s="398"/>
      <c r="E8" s="399">
        <f t="shared" si="0"/>
        <v>0</v>
      </c>
      <c r="F8" s="400">
        <f t="shared" si="1"/>
        <v>0</v>
      </c>
      <c r="G8" s="201" t="str">
        <f t="shared" si="2"/>
        <v/>
      </c>
      <c r="H8" s="404">
        <f t="shared" si="58"/>
        <v>0</v>
      </c>
      <c r="I8" s="732">
        <f t="shared" si="3"/>
        <v>0</v>
      </c>
      <c r="J8" s="61"/>
      <c r="K8" s="370"/>
      <c r="L8" s="501">
        <f t="shared" si="4"/>
        <v>1848.3009314288745</v>
      </c>
      <c r="M8" s="423">
        <f t="shared" si="5"/>
        <v>-104264.26</v>
      </c>
      <c r="N8" s="423">
        <f t="shared" ca="1" si="6"/>
        <v>-104264.26</v>
      </c>
      <c r="O8" s="61"/>
      <c r="P8" s="197">
        <f t="shared" si="59"/>
        <v>646</v>
      </c>
      <c r="Q8" s="396">
        <f t="shared" si="7"/>
        <v>0</v>
      </c>
      <c r="R8" s="395">
        <v>3600</v>
      </c>
      <c r="S8" s="389">
        <f t="shared" ca="1" si="60"/>
        <v>133.41538723713643</v>
      </c>
      <c r="T8" s="330" t="str">
        <f t="shared" si="61"/>
        <v>MERV - XMEV - GFGC3600JU - 24hs</v>
      </c>
      <c r="U8" s="330" t="str">
        <f t="shared" si="62"/>
        <v>GFGC3600JU</v>
      </c>
      <c r="V8" s="328">
        <f>IFERROR(VLOOKUP($U8,HomeBroker!$A$30:$F$60,2,0),0)</f>
        <v>1</v>
      </c>
      <c r="W8" s="392">
        <f>IFERROR(VLOOKUP($U8,HomeBroker!$A$30:$F$60,3,0),0)</f>
        <v>131.5</v>
      </c>
      <c r="X8" s="497">
        <f>IFERROR(VLOOKUP($U8,HomeBroker!$A$30:$F$60,6,0),0)</f>
        <v>133</v>
      </c>
      <c r="Y8" s="391">
        <f>IFERROR(VLOOKUP($U8,HomeBroker!$A$30:$F$60,4,0),0)</f>
        <v>133</v>
      </c>
      <c r="Z8" s="328">
        <f>IFERROR(VLOOKUP($U8,HomeBroker!$A$30:$F$60,5,0),0)</f>
        <v>1</v>
      </c>
      <c r="AA8" s="331">
        <f>IFERROR(VLOOKUP($U8,HomeBroker!$A$30:$N$60,13,0),0)</f>
        <v>23867</v>
      </c>
      <c r="AB8" s="198">
        <f t="shared" si="63"/>
        <v>-231.88900000000012</v>
      </c>
      <c r="AC8" s="397">
        <f t="shared" si="9"/>
        <v>0</v>
      </c>
      <c r="AD8" s="395">
        <v>2900</v>
      </c>
      <c r="AE8" s="390">
        <f t="shared" ca="1" si="64"/>
        <v>54.332684765145814</v>
      </c>
      <c r="AF8" s="330" t="str">
        <f t="shared" si="65"/>
        <v>MERV - XMEV - GFGV2900JU - 24hs</v>
      </c>
      <c r="AG8" s="330" t="str">
        <f t="shared" si="66"/>
        <v>GFGV2900JU</v>
      </c>
      <c r="AH8" s="363">
        <f>IFERROR(VLOOKUP($AG8,HomeBroker!$A$30:$F$60,2,0),0)</f>
        <v>1</v>
      </c>
      <c r="AI8" s="392">
        <f>IFERROR(VLOOKUP($AG8,HomeBroker!$A$30:$F$60,3,0),0)</f>
        <v>45</v>
      </c>
      <c r="AJ8" s="497">
        <f>IFERROR(VLOOKUP($AG8,HomeBroker!$A$30:$F$60,6,0),0)</f>
        <v>44.889000000000003</v>
      </c>
      <c r="AK8" s="392">
        <f>IFERROR(VLOOKUP($AG8,HomeBroker!$A$30:$F$60,4,0),0)</f>
        <v>47</v>
      </c>
      <c r="AL8" s="363">
        <f>IFERROR(VLOOKUP($AG8,HomeBroker!$A$30:$F$60,5,0),0)</f>
        <v>15</v>
      </c>
      <c r="AM8" s="394">
        <f>IFERROR(VLOOKUP($AG8,HomeBroker!$A$30:$N$60,13,0),0)</f>
        <v>4359</v>
      </c>
      <c r="AN8" s="61"/>
      <c r="AO8" s="197">
        <f t="shared" si="67"/>
        <v>601.11099999999988</v>
      </c>
      <c r="AP8" s="61"/>
      <c r="AQ8" s="61"/>
      <c r="AR8" s="61"/>
      <c r="AS8" s="109"/>
      <c r="AT8" s="123" t="s">
        <v>352</v>
      </c>
      <c r="AU8" s="111"/>
      <c r="AV8" s="126"/>
      <c r="AW8" s="127"/>
      <c r="AX8" s="213">
        <f t="shared" si="11"/>
        <v>0</v>
      </c>
      <c r="AY8" s="214">
        <f t="shared" si="12"/>
        <v>0</v>
      </c>
      <c r="AZ8" s="113" t="s">
        <v>402</v>
      </c>
      <c r="BA8" s="111"/>
      <c r="BB8" s="128"/>
      <c r="BC8" s="114"/>
      <c r="BD8" s="215">
        <f t="shared" si="13"/>
        <v>0</v>
      </c>
      <c r="BE8" s="217">
        <f t="shared" si="14"/>
        <v>0</v>
      </c>
      <c r="BF8" s="115" t="s">
        <v>403</v>
      </c>
      <c r="BG8" s="111"/>
      <c r="BH8" s="114"/>
      <c r="BI8" s="218">
        <f t="shared" si="15"/>
        <v>0</v>
      </c>
      <c r="BJ8" s="219">
        <f t="shared" si="16"/>
        <v>0</v>
      </c>
      <c r="DE8" s="116">
        <f t="shared" si="17"/>
        <v>1848.3009314288745</v>
      </c>
      <c r="DF8" s="117">
        <f t="shared" si="18"/>
        <v>0</v>
      </c>
      <c r="DG8" s="117">
        <f t="shared" si="19"/>
        <v>0</v>
      </c>
      <c r="DH8" s="117">
        <f t="shared" si="20"/>
        <v>0</v>
      </c>
      <c r="DI8" s="117">
        <f t="shared" si="21"/>
        <v>0</v>
      </c>
      <c r="DJ8" s="117">
        <f t="shared" si="22"/>
        <v>0</v>
      </c>
      <c r="DK8" s="117">
        <f t="shared" si="23"/>
        <v>0</v>
      </c>
      <c r="DL8" s="117">
        <f t="shared" si="24"/>
        <v>0</v>
      </c>
      <c r="DM8" s="117">
        <f t="shared" si="25"/>
        <v>0</v>
      </c>
      <c r="DN8" s="117">
        <f t="shared" si="26"/>
        <v>0</v>
      </c>
      <c r="DO8" s="117">
        <f t="shared" si="27"/>
        <v>0</v>
      </c>
      <c r="DP8" s="117">
        <f t="shared" si="28"/>
        <v>0</v>
      </c>
      <c r="DQ8" s="117">
        <f t="shared" si="29"/>
        <v>0</v>
      </c>
      <c r="DR8" s="117">
        <f t="shared" si="30"/>
        <v>0</v>
      </c>
      <c r="DS8" s="117">
        <f t="shared" si="31"/>
        <v>0</v>
      </c>
      <c r="DT8" s="117">
        <f t="shared" si="32"/>
        <v>0</v>
      </c>
      <c r="DU8" s="117">
        <f t="shared" si="33"/>
        <v>0</v>
      </c>
      <c r="DV8" s="117">
        <f t="shared" si="34"/>
        <v>0</v>
      </c>
      <c r="DW8" s="117">
        <f t="shared" si="35"/>
        <v>0</v>
      </c>
      <c r="DX8" s="117">
        <f t="shared" si="36"/>
        <v>0</v>
      </c>
      <c r="DY8" s="117">
        <f t="shared" si="37"/>
        <v>0</v>
      </c>
      <c r="DZ8" s="117">
        <f t="shared" si="38"/>
        <v>0</v>
      </c>
      <c r="EA8" s="117">
        <f t="shared" si="39"/>
        <v>0</v>
      </c>
      <c r="EB8" s="117">
        <f t="shared" si="40"/>
        <v>0</v>
      </c>
      <c r="EC8" s="117">
        <f t="shared" si="41"/>
        <v>0</v>
      </c>
      <c r="ED8" s="117">
        <f t="shared" si="42"/>
        <v>0</v>
      </c>
      <c r="EE8" s="117">
        <f t="shared" si="43"/>
        <v>0</v>
      </c>
      <c r="EF8" s="117">
        <f t="shared" si="44"/>
        <v>0</v>
      </c>
      <c r="EG8" s="117">
        <f t="shared" si="45"/>
        <v>0</v>
      </c>
      <c r="EH8" s="117">
        <f t="shared" si="46"/>
        <v>0</v>
      </c>
      <c r="EI8" s="117">
        <f t="shared" si="47"/>
        <v>0</v>
      </c>
      <c r="EJ8" s="117">
        <f t="shared" si="48"/>
        <v>0</v>
      </c>
      <c r="EK8" s="117">
        <f t="shared" si="49"/>
        <v>0</v>
      </c>
      <c r="EL8" s="117">
        <f t="shared" si="50"/>
        <v>0</v>
      </c>
      <c r="EM8" s="117">
        <f t="shared" si="51"/>
        <v>0</v>
      </c>
      <c r="EN8" s="117">
        <f t="shared" si="52"/>
        <v>0</v>
      </c>
      <c r="EO8" s="118"/>
      <c r="EP8" s="119">
        <f t="shared" si="53"/>
        <v>0</v>
      </c>
      <c r="EQ8" s="118"/>
      <c r="ER8" s="125"/>
      <c r="ES8" s="121"/>
      <c r="ET8" s="122">
        <f t="shared" si="54"/>
        <v>-104264.26</v>
      </c>
      <c r="EU8" s="71"/>
      <c r="EV8" s="116">
        <f t="shared" si="55"/>
        <v>1848.3009314288745</v>
      </c>
      <c r="EW8" s="117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7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7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7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7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7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7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7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7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7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7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7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7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7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7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7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7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7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7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7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7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7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7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7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7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7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7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7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7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7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7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7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7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7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7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8"/>
      <c r="GG8" s="119">
        <f t="shared" ca="1" si="56"/>
        <v>0</v>
      </c>
      <c r="GH8" s="118"/>
      <c r="GI8" s="125"/>
      <c r="GJ8" s="121"/>
      <c r="GK8" s="122">
        <f t="shared" ca="1" si="57"/>
        <v>-104264.26</v>
      </c>
    </row>
    <row r="9" spans="1:193" ht="15">
      <c r="A9" s="386" t="s">
        <v>401</v>
      </c>
      <c r="B9" s="202"/>
      <c r="C9" s="199"/>
      <c r="D9" s="398"/>
      <c r="E9" s="399">
        <f t="shared" si="0"/>
        <v>0</v>
      </c>
      <c r="F9" s="400">
        <f t="shared" si="1"/>
        <v>0</v>
      </c>
      <c r="G9" s="201" t="str">
        <f t="shared" si="2"/>
        <v/>
      </c>
      <c r="H9" s="404">
        <f t="shared" si="58"/>
        <v>0</v>
      </c>
      <c r="I9" s="732">
        <f t="shared" si="3"/>
        <v>0</v>
      </c>
      <c r="J9" s="61"/>
      <c r="K9" s="371"/>
      <c r="L9" s="501">
        <f t="shared" si="4"/>
        <v>1945.5799278198681</v>
      </c>
      <c r="M9" s="424">
        <f t="shared" si="5"/>
        <v>-104264.26</v>
      </c>
      <c r="N9" s="424">
        <f t="shared" ca="1" si="6"/>
        <v>-104264.26</v>
      </c>
      <c r="O9" s="61"/>
      <c r="P9" s="197">
        <f t="shared" si="59"/>
        <v>752.98999999999978</v>
      </c>
      <c r="Q9" s="396">
        <f t="shared" si="7"/>
        <v>0</v>
      </c>
      <c r="R9" s="395">
        <v>3750</v>
      </c>
      <c r="S9" s="389">
        <f t="shared" ca="1" si="60"/>
        <v>93.142928411318621</v>
      </c>
      <c r="T9" s="330" t="str">
        <f t="shared" si="61"/>
        <v>MERV - XMEV - GFGC3750JU - 24hs</v>
      </c>
      <c r="U9" s="330" t="str">
        <f t="shared" si="62"/>
        <v>GFGC3750JU</v>
      </c>
      <c r="V9" s="328">
        <f>IFERROR(VLOOKUP($U9,HomeBroker!$A$30:$F$60,2,0),0)</f>
        <v>11</v>
      </c>
      <c r="W9" s="392">
        <f>IFERROR(VLOOKUP($U9,HomeBroker!$A$30:$F$60,3,0),0)</f>
        <v>84.998999999999995</v>
      </c>
      <c r="X9" s="497">
        <f>IFERROR(VLOOKUP($U9,HomeBroker!$A$30:$F$60,6,0),0)</f>
        <v>89.99</v>
      </c>
      <c r="Y9" s="391">
        <f>IFERROR(VLOOKUP($U9,HomeBroker!$A$30:$F$60,4,0),0)</f>
        <v>89.99</v>
      </c>
      <c r="Z9" s="328">
        <f>IFERROR(VLOOKUP($U9,HomeBroker!$A$30:$F$60,5,0),0)</f>
        <v>1</v>
      </c>
      <c r="AA9" s="331">
        <f>IFERROR(VLOOKUP($U9,HomeBroker!$A$30:$N$60,13,0),0)</f>
        <v>7140</v>
      </c>
      <c r="AB9" s="198">
        <f t="shared" si="63"/>
        <v>-159.9989999999998</v>
      </c>
      <c r="AC9" s="397">
        <f t="shared" si="9"/>
        <v>0</v>
      </c>
      <c r="AD9" s="395">
        <v>3000</v>
      </c>
      <c r="AE9" s="390">
        <f t="shared" ca="1" si="64"/>
        <v>76.359421495967922</v>
      </c>
      <c r="AF9" s="330" t="str">
        <f t="shared" si="65"/>
        <v>MERV - XMEV - GFGV3000JU - 24hs</v>
      </c>
      <c r="AG9" s="330" t="str">
        <f t="shared" si="66"/>
        <v>GFGV3000JU</v>
      </c>
      <c r="AH9" s="363">
        <f>IFERROR(VLOOKUP($AG9,HomeBroker!$A$30:$F$60,2,0),0)</f>
        <v>15</v>
      </c>
      <c r="AI9" s="392">
        <f>IFERROR(VLOOKUP($AG9,HomeBroker!$A$30:$F$60,3,0),0)</f>
        <v>70.89</v>
      </c>
      <c r="AJ9" s="497">
        <f>IFERROR(VLOOKUP($AG9,HomeBroker!$A$30:$F$60,6,0),0)</f>
        <v>72.998999999999995</v>
      </c>
      <c r="AK9" s="392">
        <f>IFERROR(VLOOKUP($AG9,HomeBroker!$A$30:$F$60,4,0),0)</f>
        <v>72.998999999999995</v>
      </c>
      <c r="AL9" s="363">
        <f>IFERROR(VLOOKUP($AG9,HomeBroker!$A$30:$F$60,5,0),0)</f>
        <v>9</v>
      </c>
      <c r="AM9" s="394">
        <f>IFERROR(VLOOKUP($AG9,HomeBroker!$A$30:$N$60,13,0),0)</f>
        <v>9145</v>
      </c>
      <c r="AN9" s="61"/>
      <c r="AO9" s="197">
        <f t="shared" si="67"/>
        <v>679.99099999999999</v>
      </c>
      <c r="AP9" s="61"/>
      <c r="AQ9" s="61"/>
      <c r="AR9" s="61"/>
      <c r="AS9" s="109"/>
      <c r="AT9" s="123" t="s">
        <v>352</v>
      </c>
      <c r="AU9" s="111"/>
      <c r="AV9" s="126"/>
      <c r="AW9" s="127"/>
      <c r="AX9" s="213">
        <f t="shared" si="11"/>
        <v>0</v>
      </c>
      <c r="AY9" s="214">
        <f t="shared" si="12"/>
        <v>0</v>
      </c>
      <c r="AZ9" s="113" t="s">
        <v>402</v>
      </c>
      <c r="BA9" s="111"/>
      <c r="BB9" s="128"/>
      <c r="BC9" s="114"/>
      <c r="BD9" s="215">
        <f t="shared" si="13"/>
        <v>0</v>
      </c>
      <c r="BE9" s="217">
        <f t="shared" si="14"/>
        <v>0</v>
      </c>
      <c r="BF9" s="115" t="s">
        <v>403</v>
      </c>
      <c r="BG9" s="111"/>
      <c r="BH9" s="114"/>
      <c r="BI9" s="218">
        <f t="shared" si="15"/>
        <v>0</v>
      </c>
      <c r="BJ9" s="219">
        <f t="shared" si="16"/>
        <v>0</v>
      </c>
      <c r="DE9" s="116">
        <f t="shared" si="17"/>
        <v>1945.5799278198681</v>
      </c>
      <c r="DF9" s="117">
        <f t="shared" si="18"/>
        <v>0</v>
      </c>
      <c r="DG9" s="117">
        <f t="shared" si="19"/>
        <v>0</v>
      </c>
      <c r="DH9" s="117">
        <f t="shared" si="20"/>
        <v>0</v>
      </c>
      <c r="DI9" s="117">
        <f t="shared" si="21"/>
        <v>0</v>
      </c>
      <c r="DJ9" s="117">
        <f t="shared" si="22"/>
        <v>0</v>
      </c>
      <c r="DK9" s="117">
        <f t="shared" si="23"/>
        <v>0</v>
      </c>
      <c r="DL9" s="117">
        <f t="shared" si="24"/>
        <v>0</v>
      </c>
      <c r="DM9" s="117">
        <f t="shared" si="25"/>
        <v>0</v>
      </c>
      <c r="DN9" s="117">
        <f t="shared" si="26"/>
        <v>0</v>
      </c>
      <c r="DO9" s="117">
        <f t="shared" si="27"/>
        <v>0</v>
      </c>
      <c r="DP9" s="117">
        <f t="shared" si="28"/>
        <v>0</v>
      </c>
      <c r="DQ9" s="117">
        <f t="shared" si="29"/>
        <v>0</v>
      </c>
      <c r="DR9" s="117">
        <f t="shared" si="30"/>
        <v>0</v>
      </c>
      <c r="DS9" s="117">
        <f t="shared" si="31"/>
        <v>0</v>
      </c>
      <c r="DT9" s="117">
        <f t="shared" si="32"/>
        <v>0</v>
      </c>
      <c r="DU9" s="117">
        <f t="shared" si="33"/>
        <v>0</v>
      </c>
      <c r="DV9" s="117">
        <f t="shared" si="34"/>
        <v>0</v>
      </c>
      <c r="DW9" s="117">
        <f t="shared" si="35"/>
        <v>0</v>
      </c>
      <c r="DX9" s="117">
        <f t="shared" si="36"/>
        <v>0</v>
      </c>
      <c r="DY9" s="117">
        <f t="shared" si="37"/>
        <v>0</v>
      </c>
      <c r="DZ9" s="117">
        <f t="shared" si="38"/>
        <v>0</v>
      </c>
      <c r="EA9" s="117">
        <f t="shared" si="39"/>
        <v>0</v>
      </c>
      <c r="EB9" s="117">
        <f t="shared" si="40"/>
        <v>0</v>
      </c>
      <c r="EC9" s="117">
        <f t="shared" si="41"/>
        <v>0</v>
      </c>
      <c r="ED9" s="117">
        <f t="shared" si="42"/>
        <v>0</v>
      </c>
      <c r="EE9" s="117">
        <f t="shared" si="43"/>
        <v>0</v>
      </c>
      <c r="EF9" s="117">
        <f t="shared" si="44"/>
        <v>0</v>
      </c>
      <c r="EG9" s="117">
        <f t="shared" si="45"/>
        <v>0</v>
      </c>
      <c r="EH9" s="117">
        <f t="shared" si="46"/>
        <v>0</v>
      </c>
      <c r="EI9" s="117">
        <f t="shared" si="47"/>
        <v>0</v>
      </c>
      <c r="EJ9" s="117">
        <f t="shared" si="48"/>
        <v>0</v>
      </c>
      <c r="EK9" s="117">
        <f t="shared" si="49"/>
        <v>0</v>
      </c>
      <c r="EL9" s="117">
        <f t="shared" si="50"/>
        <v>0</v>
      </c>
      <c r="EM9" s="117">
        <f t="shared" si="51"/>
        <v>0</v>
      </c>
      <c r="EN9" s="117">
        <f t="shared" si="52"/>
        <v>0</v>
      </c>
      <c r="EO9" s="118"/>
      <c r="EP9" s="119">
        <f t="shared" si="53"/>
        <v>0</v>
      </c>
      <c r="EQ9" s="118"/>
      <c r="ER9" s="125"/>
      <c r="ES9" s="121"/>
      <c r="ET9" s="122">
        <f t="shared" si="54"/>
        <v>-104264.26</v>
      </c>
      <c r="EU9" s="71"/>
      <c r="EV9" s="116">
        <f t="shared" si="55"/>
        <v>1945.5799278198681</v>
      </c>
      <c r="EW9" s="117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7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7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7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7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7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7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7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7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7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7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7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7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7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7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7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7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7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7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7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7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7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7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7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7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7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7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7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7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7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7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7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7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7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7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8"/>
      <c r="GG9" s="119">
        <f t="shared" ca="1" si="56"/>
        <v>0</v>
      </c>
      <c r="GH9" s="118"/>
      <c r="GI9" s="125"/>
      <c r="GJ9" s="121"/>
      <c r="GK9" s="122">
        <f t="shared" ca="1" si="57"/>
        <v>-104264.26</v>
      </c>
    </row>
    <row r="10" spans="1:193" ht="15">
      <c r="A10" s="386" t="s">
        <v>401</v>
      </c>
      <c r="B10" s="202"/>
      <c r="C10" s="199"/>
      <c r="D10" s="398"/>
      <c r="E10" s="399">
        <f t="shared" si="0"/>
        <v>0</v>
      </c>
      <c r="F10" s="400">
        <f t="shared" si="1"/>
        <v>0</v>
      </c>
      <c r="G10" s="201" t="str">
        <f t="shared" si="2"/>
        <v/>
      </c>
      <c r="H10" s="404">
        <f t="shared" si="58"/>
        <v>0</v>
      </c>
      <c r="I10" s="732">
        <f t="shared" si="3"/>
        <v>0</v>
      </c>
      <c r="J10" s="61"/>
      <c r="K10" s="371"/>
      <c r="L10" s="501">
        <f t="shared" si="4"/>
        <v>2047.9788713893349</v>
      </c>
      <c r="M10" s="423">
        <f t="shared" si="5"/>
        <v>-104264.26</v>
      </c>
      <c r="N10" s="423">
        <f t="shared" ca="1" si="6"/>
        <v>-104264.26</v>
      </c>
      <c r="O10" s="61"/>
      <c r="P10" s="197">
        <f t="shared" si="59"/>
        <v>869.11000000000013</v>
      </c>
      <c r="Q10" s="396">
        <f t="shared" si="7"/>
        <v>0</v>
      </c>
      <c r="R10" s="395">
        <v>3900</v>
      </c>
      <c r="S10" s="389">
        <f t="shared" ca="1" si="60"/>
        <v>63.461278134313943</v>
      </c>
      <c r="T10" s="330" t="str">
        <f t="shared" si="61"/>
        <v>MERV - XMEV - GFGC3900JU - 24hs</v>
      </c>
      <c r="U10" s="330" t="str">
        <f t="shared" si="62"/>
        <v>GFGC3900JU</v>
      </c>
      <c r="V10" s="328">
        <f>IFERROR(VLOOKUP($U10,HomeBroker!$A$30:$F$60,2,0),0)</f>
        <v>18</v>
      </c>
      <c r="W10" s="392">
        <f>IFERROR(VLOOKUP($U10,HomeBroker!$A$30:$F$60,3,0),0)</f>
        <v>56.01</v>
      </c>
      <c r="X10" s="497">
        <f>IFERROR(VLOOKUP($U10,HomeBroker!$A$30:$F$60,6,0),0)</f>
        <v>56.11</v>
      </c>
      <c r="Y10" s="391">
        <f>IFERROR(VLOOKUP($U10,HomeBroker!$A$30:$F$60,4,0),0)</f>
        <v>56.11</v>
      </c>
      <c r="Z10" s="328">
        <f>IFERROR(VLOOKUP($U10,HomeBroker!$A$30:$F$60,5,0),0)</f>
        <v>21</v>
      </c>
      <c r="AA10" s="331">
        <f>IFERROR(VLOOKUP($U10,HomeBroker!$A$30:$N$60,13,0),0)</f>
        <v>6665</v>
      </c>
      <c r="AB10" s="198">
        <f t="shared" si="63"/>
        <v>-64</v>
      </c>
      <c r="AC10" s="397">
        <f t="shared" si="9"/>
        <v>0</v>
      </c>
      <c r="AD10" s="395">
        <v>3150</v>
      </c>
      <c r="AE10" s="390">
        <f t="shared" ca="1" si="64"/>
        <v>119.69302857469938</v>
      </c>
      <c r="AF10" s="330" t="str">
        <f t="shared" si="65"/>
        <v>MERV - XMEV - GFGV3150JU - 24hs</v>
      </c>
      <c r="AG10" s="330" t="str">
        <f t="shared" si="66"/>
        <v>GFGV3150JU</v>
      </c>
      <c r="AH10" s="363">
        <f>IFERROR(VLOOKUP($AG10,HomeBroker!$A$30:$F$60,2,0),0)</f>
        <v>5</v>
      </c>
      <c r="AI10" s="392">
        <f>IFERROR(VLOOKUP($AG10,HomeBroker!$A$30:$F$60,3,0),0)</f>
        <v>125.42</v>
      </c>
      <c r="AJ10" s="497">
        <f>IFERROR(VLOOKUP($AG10,HomeBroker!$A$30:$F$60,6,0),0)</f>
        <v>127</v>
      </c>
      <c r="AK10" s="392">
        <f>IFERROR(VLOOKUP($AG10,HomeBroker!$A$30:$F$60,4,0),0)</f>
        <v>127.9</v>
      </c>
      <c r="AL10" s="363">
        <f>IFERROR(VLOOKUP($AG10,HomeBroker!$A$30:$F$60,5,0),0)</f>
        <v>2</v>
      </c>
      <c r="AM10" s="394">
        <f>IFERROR(VLOOKUP($AG10,HomeBroker!$A$30:$N$60,13,0),0)</f>
        <v>3819</v>
      </c>
      <c r="AN10" s="61"/>
      <c r="AO10" s="197">
        <f t="shared" si="67"/>
        <v>742.11000000000013</v>
      </c>
      <c r="AP10" s="61"/>
      <c r="AQ10" s="61"/>
      <c r="AR10" s="61"/>
      <c r="AS10" s="109"/>
      <c r="AT10" s="123" t="s">
        <v>352</v>
      </c>
      <c r="AU10" s="111"/>
      <c r="AV10" s="126"/>
      <c r="AW10" s="127"/>
      <c r="AX10" s="213">
        <f t="shared" si="11"/>
        <v>0</v>
      </c>
      <c r="AY10" s="214">
        <f t="shared" si="12"/>
        <v>0</v>
      </c>
      <c r="AZ10" s="113" t="s">
        <v>402</v>
      </c>
      <c r="BA10" s="111"/>
      <c r="BB10" s="128"/>
      <c r="BC10" s="114"/>
      <c r="BD10" s="215">
        <f t="shared" si="13"/>
        <v>0</v>
      </c>
      <c r="BE10" s="217">
        <f t="shared" si="14"/>
        <v>0</v>
      </c>
      <c r="BF10" s="115" t="s">
        <v>403</v>
      </c>
      <c r="BG10" s="111"/>
      <c r="BH10" s="114"/>
      <c r="BI10" s="218">
        <f t="shared" si="15"/>
        <v>0</v>
      </c>
      <c r="BJ10" s="219">
        <f t="shared" si="16"/>
        <v>0</v>
      </c>
      <c r="DE10" s="116">
        <f t="shared" si="17"/>
        <v>2047.9788713893349</v>
      </c>
      <c r="DF10" s="117">
        <f t="shared" si="18"/>
        <v>0</v>
      </c>
      <c r="DG10" s="117">
        <f t="shared" si="19"/>
        <v>0</v>
      </c>
      <c r="DH10" s="117">
        <f t="shared" si="20"/>
        <v>0</v>
      </c>
      <c r="DI10" s="117">
        <f t="shared" si="21"/>
        <v>0</v>
      </c>
      <c r="DJ10" s="117">
        <f t="shared" si="22"/>
        <v>0</v>
      </c>
      <c r="DK10" s="117">
        <f t="shared" si="23"/>
        <v>0</v>
      </c>
      <c r="DL10" s="117">
        <f t="shared" si="24"/>
        <v>0</v>
      </c>
      <c r="DM10" s="117">
        <f t="shared" si="25"/>
        <v>0</v>
      </c>
      <c r="DN10" s="117">
        <f t="shared" si="26"/>
        <v>0</v>
      </c>
      <c r="DO10" s="117">
        <f t="shared" si="27"/>
        <v>0</v>
      </c>
      <c r="DP10" s="117">
        <f t="shared" si="28"/>
        <v>0</v>
      </c>
      <c r="DQ10" s="117">
        <f t="shared" si="29"/>
        <v>0</v>
      </c>
      <c r="DR10" s="117">
        <f t="shared" si="30"/>
        <v>0</v>
      </c>
      <c r="DS10" s="117">
        <f t="shared" si="31"/>
        <v>0</v>
      </c>
      <c r="DT10" s="117">
        <f t="shared" si="32"/>
        <v>0</v>
      </c>
      <c r="DU10" s="117">
        <f t="shared" si="33"/>
        <v>0</v>
      </c>
      <c r="DV10" s="117">
        <f t="shared" si="34"/>
        <v>0</v>
      </c>
      <c r="DW10" s="117">
        <f t="shared" si="35"/>
        <v>0</v>
      </c>
      <c r="DX10" s="117">
        <f t="shared" si="36"/>
        <v>0</v>
      </c>
      <c r="DY10" s="117">
        <f t="shared" si="37"/>
        <v>0</v>
      </c>
      <c r="DZ10" s="117">
        <f t="shared" si="38"/>
        <v>0</v>
      </c>
      <c r="EA10" s="117">
        <f t="shared" si="39"/>
        <v>0</v>
      </c>
      <c r="EB10" s="117">
        <f t="shared" si="40"/>
        <v>0</v>
      </c>
      <c r="EC10" s="117">
        <f t="shared" si="41"/>
        <v>0</v>
      </c>
      <c r="ED10" s="117">
        <f t="shared" si="42"/>
        <v>0</v>
      </c>
      <c r="EE10" s="117">
        <f t="shared" si="43"/>
        <v>0</v>
      </c>
      <c r="EF10" s="117">
        <f t="shared" si="44"/>
        <v>0</v>
      </c>
      <c r="EG10" s="117">
        <f t="shared" si="45"/>
        <v>0</v>
      </c>
      <c r="EH10" s="117">
        <f t="shared" si="46"/>
        <v>0</v>
      </c>
      <c r="EI10" s="117">
        <f t="shared" si="47"/>
        <v>0</v>
      </c>
      <c r="EJ10" s="117">
        <f t="shared" si="48"/>
        <v>0</v>
      </c>
      <c r="EK10" s="117">
        <f t="shared" si="49"/>
        <v>0</v>
      </c>
      <c r="EL10" s="117">
        <f t="shared" si="50"/>
        <v>0</v>
      </c>
      <c r="EM10" s="117">
        <f t="shared" si="51"/>
        <v>0</v>
      </c>
      <c r="EN10" s="117">
        <f t="shared" si="52"/>
        <v>0</v>
      </c>
      <c r="EO10" s="118"/>
      <c r="EP10" s="119">
        <f t="shared" si="53"/>
        <v>0</v>
      </c>
      <c r="EQ10" s="118"/>
      <c r="ER10" s="125"/>
      <c r="ES10" s="121"/>
      <c r="ET10" s="122">
        <f t="shared" si="54"/>
        <v>-104264.26</v>
      </c>
      <c r="EU10" s="71"/>
      <c r="EV10" s="116">
        <f t="shared" si="55"/>
        <v>2047.9788713893349</v>
      </c>
      <c r="EW10" s="117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7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7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7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7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7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7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7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7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7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7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7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7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7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7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7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7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7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7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7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7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7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7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7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7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7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7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7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7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7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7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7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7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7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7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8"/>
      <c r="GG10" s="119">
        <f t="shared" ca="1" si="56"/>
        <v>0</v>
      </c>
      <c r="GH10" s="118"/>
      <c r="GI10" s="125"/>
      <c r="GJ10" s="121"/>
      <c r="GK10" s="122">
        <f t="shared" ca="1" si="57"/>
        <v>-104264.26</v>
      </c>
    </row>
    <row r="11" spans="1:193" ht="15">
      <c r="A11" s="386" t="s">
        <v>401</v>
      </c>
      <c r="B11" s="202"/>
      <c r="C11" s="199"/>
      <c r="D11" s="398"/>
      <c r="E11" s="399">
        <f t="shared" si="0"/>
        <v>0</v>
      </c>
      <c r="F11" s="400">
        <f t="shared" si="1"/>
        <v>0</v>
      </c>
      <c r="G11" s="201" t="str">
        <f t="shared" si="2"/>
        <v/>
      </c>
      <c r="H11" s="404">
        <f t="shared" si="58"/>
        <v>0</v>
      </c>
      <c r="I11" s="732">
        <f t="shared" si="3"/>
        <v>0</v>
      </c>
      <c r="J11" s="61"/>
      <c r="K11" s="371"/>
      <c r="L11" s="501">
        <f t="shared" si="4"/>
        <v>2155.7672330414052</v>
      </c>
      <c r="M11" s="423">
        <f t="shared" si="5"/>
        <v>-104264.26</v>
      </c>
      <c r="N11" s="423">
        <f t="shared" ca="1" si="6"/>
        <v>-104264.26</v>
      </c>
      <c r="O11" s="61"/>
      <c r="P11" s="197">
        <f t="shared" si="59"/>
        <v>1002.3299999999999</v>
      </c>
      <c r="Q11" s="396">
        <f t="shared" si="7"/>
        <v>0</v>
      </c>
      <c r="R11" s="395">
        <v>4050</v>
      </c>
      <c r="S11" s="389">
        <f t="shared" ca="1" si="60"/>
        <v>42.258638482774018</v>
      </c>
      <c r="T11" s="330" t="str">
        <f t="shared" si="61"/>
        <v>MERV - XMEV - GFGC4050JU - 24hs</v>
      </c>
      <c r="U11" s="330" t="str">
        <f t="shared" si="62"/>
        <v>GFGC4050JU</v>
      </c>
      <c r="V11" s="328">
        <f>IFERROR(VLOOKUP($U11,HomeBroker!$A$30:$F$60,2,0),0)</f>
        <v>10</v>
      </c>
      <c r="W11" s="392">
        <f>IFERROR(VLOOKUP($U11,HomeBroker!$A$30:$F$60,3,0),0)</f>
        <v>38</v>
      </c>
      <c r="X11" s="497">
        <f>IFERROR(VLOOKUP($U11,HomeBroker!$A$30:$F$60,6,0),0)</f>
        <v>39.33</v>
      </c>
      <c r="Y11" s="391">
        <f>IFERROR(VLOOKUP($U11,HomeBroker!$A$30:$F$60,4,0),0)</f>
        <v>40</v>
      </c>
      <c r="Z11" s="328">
        <f>IFERROR(VLOOKUP($U11,HomeBroker!$A$30:$F$60,5,0),0)</f>
        <v>51</v>
      </c>
      <c r="AA11" s="331">
        <f>IFERROR(VLOOKUP($U11,HomeBroker!$A$30:$N$60,13,0),0)</f>
        <v>3285</v>
      </c>
      <c r="AB11" s="198">
        <f t="shared" si="63"/>
        <v>-7</v>
      </c>
      <c r="AC11" s="397">
        <f t="shared" si="9"/>
        <v>0</v>
      </c>
      <c r="AD11" s="395">
        <v>3300</v>
      </c>
      <c r="AE11" s="390">
        <f t="shared" ca="1" si="64"/>
        <v>176.1762610089495</v>
      </c>
      <c r="AF11" s="330" t="str">
        <f t="shared" si="65"/>
        <v>MERV - XMEV - GFGV3300JU - 24hs</v>
      </c>
      <c r="AG11" s="330" t="str">
        <f t="shared" si="66"/>
        <v>GFGV3300JU</v>
      </c>
      <c r="AH11" s="363">
        <f>IFERROR(VLOOKUP($AG11,HomeBroker!$A$30:$F$60,2,0),0)</f>
        <v>1</v>
      </c>
      <c r="AI11" s="392">
        <f>IFERROR(VLOOKUP($AG11,HomeBroker!$A$30:$F$60,3,0),0)</f>
        <v>208</v>
      </c>
      <c r="AJ11" s="497">
        <f>IFERROR(VLOOKUP($AG11,HomeBroker!$A$30:$F$60,6,0),0)</f>
        <v>220</v>
      </c>
      <c r="AK11" s="392">
        <f>IFERROR(VLOOKUP($AG11,HomeBroker!$A$30:$F$60,4,0),0)</f>
        <v>229.999</v>
      </c>
      <c r="AL11" s="363">
        <f>IFERROR(VLOOKUP($AG11,HomeBroker!$A$30:$F$60,5,0),0)</f>
        <v>10</v>
      </c>
      <c r="AM11" s="394">
        <f>IFERROR(VLOOKUP($AG11,HomeBroker!$A$30:$N$60,13,0),0)</f>
        <v>1294</v>
      </c>
      <c r="AN11" s="61"/>
      <c r="AO11" s="197">
        <f t="shared" si="67"/>
        <v>782.32999999999993</v>
      </c>
      <c r="AP11" s="61"/>
      <c r="AQ11" s="61"/>
      <c r="AR11" s="61"/>
      <c r="AS11" s="109"/>
      <c r="AT11" s="123" t="s">
        <v>352</v>
      </c>
      <c r="AU11" s="111"/>
      <c r="AV11" s="126"/>
      <c r="AW11" s="127"/>
      <c r="AX11" s="213">
        <f t="shared" si="11"/>
        <v>0</v>
      </c>
      <c r="AY11" s="214">
        <f t="shared" si="12"/>
        <v>0</v>
      </c>
      <c r="AZ11" s="113" t="s">
        <v>402</v>
      </c>
      <c r="BA11" s="111"/>
      <c r="BB11" s="128"/>
      <c r="BC11" s="114"/>
      <c r="BD11" s="215">
        <f t="shared" si="13"/>
        <v>0</v>
      </c>
      <c r="BE11" s="217">
        <f t="shared" si="14"/>
        <v>0</v>
      </c>
      <c r="BF11" s="115" t="s">
        <v>403</v>
      </c>
      <c r="BG11" s="111"/>
      <c r="BH11" s="114"/>
      <c r="BI11" s="218">
        <f t="shared" si="15"/>
        <v>0</v>
      </c>
      <c r="BJ11" s="219">
        <f t="shared" si="16"/>
        <v>0</v>
      </c>
      <c r="DE11" s="116">
        <f t="shared" si="17"/>
        <v>2155.7672330414052</v>
      </c>
      <c r="DF11" s="117">
        <f t="shared" si="18"/>
        <v>0</v>
      </c>
      <c r="DG11" s="117">
        <f t="shared" si="19"/>
        <v>0</v>
      </c>
      <c r="DH11" s="117">
        <f t="shared" si="20"/>
        <v>0</v>
      </c>
      <c r="DI11" s="117">
        <f t="shared" si="21"/>
        <v>0</v>
      </c>
      <c r="DJ11" s="117">
        <f t="shared" si="22"/>
        <v>0</v>
      </c>
      <c r="DK11" s="117">
        <f t="shared" si="23"/>
        <v>0</v>
      </c>
      <c r="DL11" s="117">
        <f t="shared" si="24"/>
        <v>0</v>
      </c>
      <c r="DM11" s="117">
        <f t="shared" si="25"/>
        <v>0</v>
      </c>
      <c r="DN11" s="117">
        <f t="shared" si="26"/>
        <v>0</v>
      </c>
      <c r="DO11" s="117">
        <f t="shared" si="27"/>
        <v>0</v>
      </c>
      <c r="DP11" s="117">
        <f t="shared" si="28"/>
        <v>0</v>
      </c>
      <c r="DQ11" s="117">
        <f t="shared" si="29"/>
        <v>0</v>
      </c>
      <c r="DR11" s="117">
        <f t="shared" si="30"/>
        <v>0</v>
      </c>
      <c r="DS11" s="117">
        <f t="shared" si="31"/>
        <v>0</v>
      </c>
      <c r="DT11" s="117">
        <f t="shared" si="32"/>
        <v>0</v>
      </c>
      <c r="DU11" s="117">
        <f t="shared" si="33"/>
        <v>0</v>
      </c>
      <c r="DV11" s="117">
        <f t="shared" si="34"/>
        <v>0</v>
      </c>
      <c r="DW11" s="117">
        <f t="shared" si="35"/>
        <v>0</v>
      </c>
      <c r="DX11" s="117">
        <f t="shared" si="36"/>
        <v>0</v>
      </c>
      <c r="DY11" s="117">
        <f t="shared" si="37"/>
        <v>0</v>
      </c>
      <c r="DZ11" s="117">
        <f t="shared" si="38"/>
        <v>0</v>
      </c>
      <c r="EA11" s="117">
        <f t="shared" si="39"/>
        <v>0</v>
      </c>
      <c r="EB11" s="117">
        <f t="shared" si="40"/>
        <v>0</v>
      </c>
      <c r="EC11" s="117">
        <f t="shared" si="41"/>
        <v>0</v>
      </c>
      <c r="ED11" s="117">
        <f t="shared" si="42"/>
        <v>0</v>
      </c>
      <c r="EE11" s="117">
        <f t="shared" si="43"/>
        <v>0</v>
      </c>
      <c r="EF11" s="117">
        <f t="shared" si="44"/>
        <v>0</v>
      </c>
      <c r="EG11" s="117">
        <f t="shared" si="45"/>
        <v>0</v>
      </c>
      <c r="EH11" s="117">
        <f t="shared" si="46"/>
        <v>0</v>
      </c>
      <c r="EI11" s="117">
        <f t="shared" si="47"/>
        <v>0</v>
      </c>
      <c r="EJ11" s="117">
        <f t="shared" si="48"/>
        <v>0</v>
      </c>
      <c r="EK11" s="117">
        <f t="shared" si="49"/>
        <v>0</v>
      </c>
      <c r="EL11" s="117">
        <f t="shared" si="50"/>
        <v>0</v>
      </c>
      <c r="EM11" s="117">
        <f t="shared" si="51"/>
        <v>0</v>
      </c>
      <c r="EN11" s="117">
        <f t="shared" si="52"/>
        <v>0</v>
      </c>
      <c r="EO11" s="118"/>
      <c r="EP11" s="119">
        <f t="shared" si="53"/>
        <v>0</v>
      </c>
      <c r="EQ11" s="118"/>
      <c r="ER11" s="125"/>
      <c r="ES11" s="121"/>
      <c r="ET11" s="122">
        <f t="shared" si="54"/>
        <v>-104264.26</v>
      </c>
      <c r="EU11" s="71"/>
      <c r="EV11" s="116">
        <f t="shared" si="55"/>
        <v>2155.7672330414052</v>
      </c>
      <c r="EW11" s="117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7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7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7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7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7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7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7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7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7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7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7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7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7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7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7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7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7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7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7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7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7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7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7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7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7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7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7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7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7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7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7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7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7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7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8"/>
      <c r="GG11" s="119">
        <f t="shared" ca="1" si="56"/>
        <v>0</v>
      </c>
      <c r="GH11" s="118"/>
      <c r="GI11" s="125"/>
      <c r="GJ11" s="121"/>
      <c r="GK11" s="122">
        <f t="shared" ca="1" si="57"/>
        <v>-104264.26</v>
      </c>
    </row>
    <row r="12" spans="1:193" ht="15">
      <c r="A12" s="386" t="s">
        <v>401</v>
      </c>
      <c r="B12" s="202"/>
      <c r="C12" s="199"/>
      <c r="D12" s="398"/>
      <c r="E12" s="399">
        <f t="shared" si="0"/>
        <v>0</v>
      </c>
      <c r="F12" s="400">
        <f t="shared" si="1"/>
        <v>0</v>
      </c>
      <c r="G12" s="201" t="str">
        <f t="shared" si="2"/>
        <v/>
      </c>
      <c r="H12" s="404">
        <f t="shared" si="58"/>
        <v>0</v>
      </c>
      <c r="I12" s="732">
        <f t="shared" si="3"/>
        <v>0</v>
      </c>
      <c r="J12" s="61"/>
      <c r="K12" s="371">
        <f>IFERROR(-1+(L12/$L$18),"")</f>
        <v>-0.26490810937500031</v>
      </c>
      <c r="L12" s="501">
        <f t="shared" si="4"/>
        <v>2269.2286663593741</v>
      </c>
      <c r="M12" s="424">
        <f t="shared" si="5"/>
        <v>-104264.26</v>
      </c>
      <c r="N12" s="424">
        <f t="shared" ca="1" si="6"/>
        <v>-104264.26</v>
      </c>
      <c r="O12" s="61"/>
      <c r="P12" s="197">
        <f t="shared" si="59"/>
        <v>1141</v>
      </c>
      <c r="Q12" s="396">
        <f t="shared" si="7"/>
        <v>40</v>
      </c>
      <c r="R12" s="395">
        <v>4200</v>
      </c>
      <c r="S12" s="389">
        <f t="shared" ca="1" si="60"/>
        <v>27.544731725680606</v>
      </c>
      <c r="T12" s="330" t="str">
        <f t="shared" si="61"/>
        <v>MERV - XMEV - GFGC4200JU - 24hs</v>
      </c>
      <c r="U12" s="330" t="str">
        <f t="shared" si="62"/>
        <v>GFGC4200JU</v>
      </c>
      <c r="V12" s="328">
        <f>IFERROR(VLOOKUP($U12,HomeBroker!$A$30:$F$60,2,0),0)</f>
        <v>4</v>
      </c>
      <c r="W12" s="392">
        <f>IFERROR(VLOOKUP($U12,HomeBroker!$A$30:$F$60,3,0),0)</f>
        <v>26.3</v>
      </c>
      <c r="X12" s="497">
        <f>IFERROR(VLOOKUP($U12,HomeBroker!$A$30:$F$60,6,0),0)</f>
        <v>28</v>
      </c>
      <c r="Y12" s="391">
        <f>IFERROR(VLOOKUP($U12,HomeBroker!$A$30:$F$60,4,0),0)</f>
        <v>28.15</v>
      </c>
      <c r="Z12" s="328">
        <f>IFERROR(VLOOKUP($U12,HomeBroker!$A$30:$F$60,5,0),0)</f>
        <v>5</v>
      </c>
      <c r="AA12" s="331">
        <f>IFERROR(VLOOKUP($U12,HomeBroker!$A$30:$N$60,13,0),0)</f>
        <v>6908</v>
      </c>
      <c r="AB12" s="198">
        <f t="shared" si="63"/>
        <v>33</v>
      </c>
      <c r="AC12" s="397">
        <f t="shared" si="9"/>
        <v>0</v>
      </c>
      <c r="AD12" s="395">
        <v>3450</v>
      </c>
      <c r="AE12" s="390">
        <f t="shared" ca="1" si="64"/>
        <v>245.91600563243537</v>
      </c>
      <c r="AF12" s="330" t="str">
        <f t="shared" si="65"/>
        <v>MERV - XMEV - GFGV3450JU - 24hs</v>
      </c>
      <c r="AG12" s="330" t="str">
        <f t="shared" si="66"/>
        <v>GFGV3450JU</v>
      </c>
      <c r="AH12" s="363">
        <f>IFERROR(VLOOKUP($AG12,HomeBroker!$A$30:$F$60,2,0),0)</f>
        <v>1</v>
      </c>
      <c r="AI12" s="392">
        <f>IFERROR(VLOOKUP($AG12,HomeBroker!$A$30:$F$60,3,0),0)</f>
        <v>330.5</v>
      </c>
      <c r="AJ12" s="497">
        <f>IFERROR(VLOOKUP($AG12,HomeBroker!$A$30:$F$60,6,0),0)</f>
        <v>330</v>
      </c>
      <c r="AK12" s="392">
        <f>IFERROR(VLOOKUP($AG12,HomeBroker!$A$30:$F$60,4,0),0)</f>
        <v>360</v>
      </c>
      <c r="AL12" s="363">
        <f>IFERROR(VLOOKUP($AG12,HomeBroker!$A$30:$F$60,5,0),0)</f>
        <v>6</v>
      </c>
      <c r="AM12" s="394">
        <f>IFERROR(VLOOKUP($AG12,HomeBroker!$A$30:$N$60,13,0),0)</f>
        <v>809</v>
      </c>
      <c r="AN12" s="61"/>
      <c r="AO12" s="197">
        <f t="shared" si="67"/>
        <v>811</v>
      </c>
      <c r="AP12" s="61"/>
      <c r="AQ12" s="61"/>
      <c r="AR12" s="61"/>
      <c r="AS12" s="109"/>
      <c r="AT12" s="123" t="s">
        <v>352</v>
      </c>
      <c r="AU12" s="111"/>
      <c r="AV12" s="126"/>
      <c r="AW12" s="127"/>
      <c r="AX12" s="213">
        <f t="shared" si="11"/>
        <v>0</v>
      </c>
      <c r="AY12" s="214">
        <f t="shared" si="12"/>
        <v>0</v>
      </c>
      <c r="AZ12" s="113" t="s">
        <v>402</v>
      </c>
      <c r="BA12" s="111"/>
      <c r="BB12" s="128"/>
      <c r="BC12" s="114"/>
      <c r="BD12" s="215">
        <f t="shared" si="13"/>
        <v>0</v>
      </c>
      <c r="BE12" s="217">
        <f t="shared" si="14"/>
        <v>0</v>
      </c>
      <c r="BF12" s="115" t="s">
        <v>403</v>
      </c>
      <c r="BG12" s="111"/>
      <c r="BH12" s="114"/>
      <c r="BI12" s="218">
        <f t="shared" si="15"/>
        <v>0</v>
      </c>
      <c r="BJ12" s="219">
        <f t="shared" si="16"/>
        <v>0</v>
      </c>
      <c r="DE12" s="116">
        <f t="shared" si="17"/>
        <v>2269.2286663593741</v>
      </c>
      <c r="DF12" s="117">
        <f t="shared" si="18"/>
        <v>0</v>
      </c>
      <c r="DG12" s="117">
        <f t="shared" si="19"/>
        <v>0</v>
      </c>
      <c r="DH12" s="117">
        <f t="shared" si="20"/>
        <v>0</v>
      </c>
      <c r="DI12" s="117">
        <f t="shared" si="21"/>
        <v>0</v>
      </c>
      <c r="DJ12" s="117">
        <f t="shared" si="22"/>
        <v>0</v>
      </c>
      <c r="DK12" s="117">
        <f t="shared" si="23"/>
        <v>0</v>
      </c>
      <c r="DL12" s="117">
        <f t="shared" si="24"/>
        <v>0</v>
      </c>
      <c r="DM12" s="117">
        <f t="shared" si="25"/>
        <v>0</v>
      </c>
      <c r="DN12" s="117">
        <f t="shared" si="26"/>
        <v>0</v>
      </c>
      <c r="DO12" s="117">
        <f t="shared" si="27"/>
        <v>0</v>
      </c>
      <c r="DP12" s="117">
        <f t="shared" si="28"/>
        <v>0</v>
      </c>
      <c r="DQ12" s="117">
        <f t="shared" si="29"/>
        <v>0</v>
      </c>
      <c r="DR12" s="117">
        <f t="shared" si="30"/>
        <v>0</v>
      </c>
      <c r="DS12" s="117">
        <f t="shared" si="31"/>
        <v>0</v>
      </c>
      <c r="DT12" s="117">
        <f t="shared" si="32"/>
        <v>0</v>
      </c>
      <c r="DU12" s="117">
        <f t="shared" si="33"/>
        <v>0</v>
      </c>
      <c r="DV12" s="117">
        <f t="shared" si="34"/>
        <v>0</v>
      </c>
      <c r="DW12" s="117">
        <f t="shared" si="35"/>
        <v>0</v>
      </c>
      <c r="DX12" s="117">
        <f t="shared" si="36"/>
        <v>0</v>
      </c>
      <c r="DY12" s="117">
        <f t="shared" si="37"/>
        <v>0</v>
      </c>
      <c r="DZ12" s="117">
        <f t="shared" si="38"/>
        <v>0</v>
      </c>
      <c r="EA12" s="117">
        <f t="shared" si="39"/>
        <v>0</v>
      </c>
      <c r="EB12" s="117">
        <f t="shared" si="40"/>
        <v>0</v>
      </c>
      <c r="EC12" s="117">
        <f t="shared" si="41"/>
        <v>0</v>
      </c>
      <c r="ED12" s="117">
        <f t="shared" si="42"/>
        <v>0</v>
      </c>
      <c r="EE12" s="117">
        <f t="shared" si="43"/>
        <v>0</v>
      </c>
      <c r="EF12" s="117">
        <f t="shared" si="44"/>
        <v>0</v>
      </c>
      <c r="EG12" s="117">
        <f t="shared" si="45"/>
        <v>0</v>
      </c>
      <c r="EH12" s="117">
        <f t="shared" si="46"/>
        <v>0</v>
      </c>
      <c r="EI12" s="117">
        <f t="shared" si="47"/>
        <v>0</v>
      </c>
      <c r="EJ12" s="117">
        <f t="shared" si="48"/>
        <v>0</v>
      </c>
      <c r="EK12" s="117">
        <f t="shared" si="49"/>
        <v>0</v>
      </c>
      <c r="EL12" s="117">
        <f t="shared" si="50"/>
        <v>0</v>
      </c>
      <c r="EM12" s="117">
        <f t="shared" si="51"/>
        <v>0</v>
      </c>
      <c r="EN12" s="117">
        <f t="shared" si="52"/>
        <v>0</v>
      </c>
      <c r="EO12" s="118"/>
      <c r="EP12" s="119">
        <f t="shared" si="53"/>
        <v>0</v>
      </c>
      <c r="EQ12" s="118"/>
      <c r="ER12" s="125"/>
      <c r="ES12" s="121"/>
      <c r="ET12" s="122">
        <f t="shared" si="54"/>
        <v>-104264.26</v>
      </c>
      <c r="EU12" s="71"/>
      <c r="EV12" s="116">
        <f t="shared" si="55"/>
        <v>2269.2286663593741</v>
      </c>
      <c r="EW12" s="117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7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7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7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7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7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7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7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7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7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7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7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7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7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7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7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7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7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7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7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7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7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7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7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7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7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7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7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7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7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7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7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7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7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7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8"/>
      <c r="GG12" s="119">
        <f t="shared" ca="1" si="56"/>
        <v>0</v>
      </c>
      <c r="GH12" s="118"/>
      <c r="GI12" s="125"/>
      <c r="GJ12" s="121"/>
      <c r="GK12" s="122">
        <f t="shared" ca="1" si="57"/>
        <v>-104264.26</v>
      </c>
    </row>
    <row r="13" spans="1:193" ht="15">
      <c r="A13" s="386" t="s">
        <v>401</v>
      </c>
      <c r="B13" s="202"/>
      <c r="C13" s="199"/>
      <c r="D13" s="398"/>
      <c r="E13" s="399">
        <f t="shared" si="0"/>
        <v>0</v>
      </c>
      <c r="F13" s="400">
        <f t="shared" si="1"/>
        <v>0</v>
      </c>
      <c r="G13" s="201" t="str">
        <f t="shared" si="2"/>
        <v/>
      </c>
      <c r="H13" s="404">
        <f t="shared" si="58"/>
        <v>0</v>
      </c>
      <c r="I13" s="732">
        <f t="shared" si="3"/>
        <v>0</v>
      </c>
      <c r="J13" s="61"/>
      <c r="K13" s="372">
        <f>IFERROR(-1+(L13/$L$18),"")</f>
        <v>-0.22621906250000023</v>
      </c>
      <c r="L13" s="502">
        <f t="shared" si="4"/>
        <v>2388.6617540624993</v>
      </c>
      <c r="M13" s="423">
        <f t="shared" si="5"/>
        <v>-104264.26</v>
      </c>
      <c r="N13" s="423">
        <f t="shared" ca="1" si="6"/>
        <v>-104264.26</v>
      </c>
      <c r="O13" s="61"/>
      <c r="P13" s="197" t="str">
        <f t="shared" si="59"/>
        <v>-</v>
      </c>
      <c r="Q13" s="396">
        <f t="shared" si="7"/>
        <v>0</v>
      </c>
      <c r="R13" s="395"/>
      <c r="S13" s="389">
        <f t="shared" ca="1" si="60"/>
        <v>0</v>
      </c>
      <c r="T13" s="330" t="str">
        <f t="shared" si="61"/>
        <v/>
      </c>
      <c r="U13" s="330" t="str">
        <f t="shared" si="62"/>
        <v/>
      </c>
      <c r="V13" s="328">
        <f>IFERROR(VLOOKUP($U13,HomeBroker!$A$30:$F$60,2,0),0)</f>
        <v>0</v>
      </c>
      <c r="W13" s="392">
        <f>IFERROR(VLOOKUP($U13,HomeBroker!$A$30:$F$60,3,0),0)</f>
        <v>0</v>
      </c>
      <c r="X13" s="497">
        <f>IFERROR(VLOOKUP($U13,HomeBroker!$A$30:$F$60,6,0),0)</f>
        <v>0</v>
      </c>
      <c r="Y13" s="391">
        <f>IFERROR(VLOOKUP($U13,HomeBroker!$A$30:$F$60,4,0),0)</f>
        <v>0</v>
      </c>
      <c r="Z13" s="328">
        <f>IFERROR(VLOOKUP($U13,HomeBroker!$A$30:$F$60,5,0),0)</f>
        <v>0</v>
      </c>
      <c r="AA13" s="331">
        <f>IFERROR(VLOOKUP($U13,HomeBroker!$A$30:$N$60,13,0),0)</f>
        <v>0</v>
      </c>
      <c r="AB13" s="198" t="str">
        <f t="shared" si="63"/>
        <v>-</v>
      </c>
      <c r="AC13" s="397">
        <f t="shared" si="9"/>
        <v>0</v>
      </c>
      <c r="AD13" s="395"/>
      <c r="AE13" s="390">
        <f t="shared" ca="1" si="64"/>
        <v>0</v>
      </c>
      <c r="AF13" s="330" t="str">
        <f t="shared" si="65"/>
        <v/>
      </c>
      <c r="AG13" s="330" t="str">
        <f t="shared" si="66"/>
        <v/>
      </c>
      <c r="AH13" s="363">
        <f>IFERROR(VLOOKUP($AG13,HomeBroker!$A$30:$F$60,2,0),0)</f>
        <v>0</v>
      </c>
      <c r="AI13" s="392">
        <f>IFERROR(VLOOKUP($AG13,HomeBroker!$A$30:$F$60,3,0),0)</f>
        <v>0</v>
      </c>
      <c r="AJ13" s="497">
        <f>IFERROR(VLOOKUP($AG13,HomeBroker!$A$30:$F$60,6,0),0)</f>
        <v>0</v>
      </c>
      <c r="AK13" s="392">
        <f>IFERROR(VLOOKUP($AG13,HomeBroker!$A$30:$F$60,4,0),0)</f>
        <v>0</v>
      </c>
      <c r="AL13" s="363">
        <f>IFERROR(VLOOKUP($AG13,HomeBroker!$A$30:$F$60,5,0),0)</f>
        <v>0</v>
      </c>
      <c r="AM13" s="394">
        <f>IFERROR(VLOOKUP($AG13,HomeBroker!$A$30:$N$60,13,0),0)</f>
        <v>0</v>
      </c>
      <c r="AN13" s="61"/>
      <c r="AO13" s="197" t="str">
        <f t="shared" si="67"/>
        <v>-</v>
      </c>
      <c r="AP13" s="61"/>
      <c r="AQ13" s="61"/>
      <c r="AR13" s="61"/>
      <c r="AS13" s="109"/>
      <c r="AT13" s="123" t="s">
        <v>352</v>
      </c>
      <c r="AU13" s="111"/>
      <c r="AV13" s="126"/>
      <c r="AW13" s="127"/>
      <c r="AX13" s="213">
        <f t="shared" si="11"/>
        <v>0</v>
      </c>
      <c r="AY13" s="214">
        <f t="shared" si="12"/>
        <v>0</v>
      </c>
      <c r="AZ13" s="113" t="s">
        <v>402</v>
      </c>
      <c r="BA13" s="111"/>
      <c r="BB13" s="128"/>
      <c r="BC13" s="114"/>
      <c r="BD13" s="215">
        <f t="shared" si="13"/>
        <v>0</v>
      </c>
      <c r="BE13" s="217">
        <f t="shared" si="14"/>
        <v>0</v>
      </c>
      <c r="BF13" s="115" t="s">
        <v>403</v>
      </c>
      <c r="BG13" s="111"/>
      <c r="BH13" s="114"/>
      <c r="BI13" s="218">
        <f t="shared" si="15"/>
        <v>0</v>
      </c>
      <c r="BJ13" s="219">
        <f t="shared" si="16"/>
        <v>0</v>
      </c>
      <c r="DE13" s="116">
        <f t="shared" si="17"/>
        <v>2388.6617540624993</v>
      </c>
      <c r="DF13" s="117">
        <f t="shared" si="18"/>
        <v>0</v>
      </c>
      <c r="DG13" s="117">
        <f t="shared" si="19"/>
        <v>0</v>
      </c>
      <c r="DH13" s="117">
        <f t="shared" si="20"/>
        <v>0</v>
      </c>
      <c r="DI13" s="117">
        <f t="shared" si="21"/>
        <v>0</v>
      </c>
      <c r="DJ13" s="117">
        <f t="shared" si="22"/>
        <v>0</v>
      </c>
      <c r="DK13" s="117">
        <f t="shared" si="23"/>
        <v>0</v>
      </c>
      <c r="DL13" s="117">
        <f t="shared" si="24"/>
        <v>0</v>
      </c>
      <c r="DM13" s="117">
        <f t="shared" si="25"/>
        <v>0</v>
      </c>
      <c r="DN13" s="117">
        <f t="shared" si="26"/>
        <v>0</v>
      </c>
      <c r="DO13" s="117">
        <f t="shared" si="27"/>
        <v>0</v>
      </c>
      <c r="DP13" s="117">
        <f t="shared" si="28"/>
        <v>0</v>
      </c>
      <c r="DQ13" s="117">
        <f t="shared" si="29"/>
        <v>0</v>
      </c>
      <c r="DR13" s="117">
        <f t="shared" si="30"/>
        <v>0</v>
      </c>
      <c r="DS13" s="117">
        <f t="shared" si="31"/>
        <v>0</v>
      </c>
      <c r="DT13" s="117">
        <f t="shared" si="32"/>
        <v>0</v>
      </c>
      <c r="DU13" s="117">
        <f t="shared" si="33"/>
        <v>0</v>
      </c>
      <c r="DV13" s="117">
        <f t="shared" si="34"/>
        <v>0</v>
      </c>
      <c r="DW13" s="117">
        <f t="shared" si="35"/>
        <v>0</v>
      </c>
      <c r="DX13" s="117">
        <f t="shared" si="36"/>
        <v>0</v>
      </c>
      <c r="DY13" s="117">
        <f t="shared" si="37"/>
        <v>0</v>
      </c>
      <c r="DZ13" s="117">
        <f t="shared" si="38"/>
        <v>0</v>
      </c>
      <c r="EA13" s="117">
        <f t="shared" si="39"/>
        <v>0</v>
      </c>
      <c r="EB13" s="117">
        <f t="shared" si="40"/>
        <v>0</v>
      </c>
      <c r="EC13" s="117">
        <f t="shared" si="41"/>
        <v>0</v>
      </c>
      <c r="ED13" s="117">
        <f t="shared" si="42"/>
        <v>0</v>
      </c>
      <c r="EE13" s="117">
        <f t="shared" si="43"/>
        <v>0</v>
      </c>
      <c r="EF13" s="117">
        <f t="shared" si="44"/>
        <v>0</v>
      </c>
      <c r="EG13" s="117">
        <f t="shared" si="45"/>
        <v>0</v>
      </c>
      <c r="EH13" s="117">
        <f t="shared" si="46"/>
        <v>0</v>
      </c>
      <c r="EI13" s="117">
        <f t="shared" si="47"/>
        <v>0</v>
      </c>
      <c r="EJ13" s="117">
        <f t="shared" si="48"/>
        <v>0</v>
      </c>
      <c r="EK13" s="117">
        <f t="shared" si="49"/>
        <v>0</v>
      </c>
      <c r="EL13" s="117">
        <f t="shared" si="50"/>
        <v>0</v>
      </c>
      <c r="EM13" s="117">
        <f t="shared" si="51"/>
        <v>0</v>
      </c>
      <c r="EN13" s="117">
        <f t="shared" si="52"/>
        <v>0</v>
      </c>
      <c r="EO13" s="118"/>
      <c r="EP13" s="119">
        <f t="shared" si="53"/>
        <v>0</v>
      </c>
      <c r="EQ13" s="118"/>
      <c r="ER13" s="125"/>
      <c r="ES13" s="121"/>
      <c r="ET13" s="122">
        <f t="shared" si="54"/>
        <v>-104264.26</v>
      </c>
      <c r="EU13" s="71"/>
      <c r="EV13" s="116">
        <f t="shared" si="55"/>
        <v>2388.6617540624993</v>
      </c>
      <c r="EW13" s="117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7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7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7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7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7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7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7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7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7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7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7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7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7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7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7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7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7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7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7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7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7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7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7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7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7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7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7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7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7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7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7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7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7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7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8"/>
      <c r="GG13" s="119">
        <f t="shared" ca="1" si="56"/>
        <v>0</v>
      </c>
      <c r="GH13" s="118"/>
      <c r="GI13" s="125"/>
      <c r="GJ13" s="121"/>
      <c r="GK13" s="122">
        <f t="shared" ca="1" si="57"/>
        <v>-104264.26</v>
      </c>
    </row>
    <row r="14" spans="1:193" ht="15">
      <c r="A14" s="386" t="s">
        <v>401</v>
      </c>
      <c r="B14" s="202"/>
      <c r="C14" s="199"/>
      <c r="D14" s="398"/>
      <c r="E14" s="399">
        <f t="shared" si="0"/>
        <v>0</v>
      </c>
      <c r="F14" s="400">
        <f t="shared" si="1"/>
        <v>0</v>
      </c>
      <c r="G14" s="201" t="str">
        <f t="shared" si="2"/>
        <v/>
      </c>
      <c r="H14" s="404">
        <f t="shared" si="58"/>
        <v>0</v>
      </c>
      <c r="I14" s="732">
        <f t="shared" si="3"/>
        <v>0</v>
      </c>
      <c r="J14" s="61"/>
      <c r="K14" s="373">
        <f>IFERROR(-1+(L14/$L$18),"")</f>
        <v>-0.18549375000000012</v>
      </c>
      <c r="L14" s="502">
        <f t="shared" si="4"/>
        <v>2514.3807937499996</v>
      </c>
      <c r="M14" s="423">
        <f t="shared" si="5"/>
        <v>-104264.26</v>
      </c>
      <c r="N14" s="423">
        <f t="shared" ca="1" si="6"/>
        <v>-104264.26</v>
      </c>
      <c r="O14" s="61"/>
      <c r="P14" s="197" t="str">
        <f t="shared" si="59"/>
        <v>-</v>
      </c>
      <c r="Q14" s="396">
        <f t="shared" si="7"/>
        <v>0</v>
      </c>
      <c r="R14" s="395"/>
      <c r="S14" s="389">
        <f t="shared" ca="1" si="60"/>
        <v>0</v>
      </c>
      <c r="T14" s="330" t="str">
        <f t="shared" si="61"/>
        <v/>
      </c>
      <c r="U14" s="330" t="str">
        <f t="shared" si="62"/>
        <v/>
      </c>
      <c r="V14" s="328">
        <f>IFERROR(VLOOKUP($U14,HomeBroker!$A$30:$F$60,2,0),0)</f>
        <v>0</v>
      </c>
      <c r="W14" s="392">
        <f>IFERROR(VLOOKUP($U14,HomeBroker!$A$30:$F$60,3,0),0)</f>
        <v>0</v>
      </c>
      <c r="X14" s="497">
        <f>IFERROR(VLOOKUP($U14,HomeBroker!$A$30:$F$60,6,0),0)</f>
        <v>0</v>
      </c>
      <c r="Y14" s="391">
        <f>IFERROR(VLOOKUP($U14,HomeBroker!$A$30:$F$60,4,0),0)</f>
        <v>0</v>
      </c>
      <c r="Z14" s="328">
        <f>IFERROR(VLOOKUP($U14,HomeBroker!$A$30:$F$60,5,0),0)</f>
        <v>0</v>
      </c>
      <c r="AA14" s="331">
        <f>IFERROR(VLOOKUP($U14,HomeBroker!$A$30:$N$60,13,0),0)</f>
        <v>0</v>
      </c>
      <c r="AB14" s="198" t="str">
        <f t="shared" si="63"/>
        <v>-</v>
      </c>
      <c r="AC14" s="397">
        <f t="shared" si="9"/>
        <v>0</v>
      </c>
      <c r="AD14" s="395"/>
      <c r="AE14" s="390">
        <f t="shared" ca="1" si="64"/>
        <v>0</v>
      </c>
      <c r="AF14" s="330" t="str">
        <f t="shared" si="65"/>
        <v/>
      </c>
      <c r="AG14" s="330" t="str">
        <f t="shared" si="66"/>
        <v/>
      </c>
      <c r="AH14" s="363">
        <f>IFERROR(VLOOKUP($AG14,HomeBroker!$A$30:$F$60,2,0),0)</f>
        <v>0</v>
      </c>
      <c r="AI14" s="392">
        <f>IFERROR(VLOOKUP($AG14,HomeBroker!$A$30:$F$60,3,0),0)</f>
        <v>0</v>
      </c>
      <c r="AJ14" s="497">
        <f>IFERROR(VLOOKUP($AG14,HomeBroker!$A$30:$F$60,6,0),0)</f>
        <v>0</v>
      </c>
      <c r="AK14" s="392">
        <f>IFERROR(VLOOKUP($AG14,HomeBroker!$A$30:$F$60,4,0),0)</f>
        <v>0</v>
      </c>
      <c r="AL14" s="363">
        <f>IFERROR(VLOOKUP($AG14,HomeBroker!$A$30:$F$60,5,0),0)</f>
        <v>0</v>
      </c>
      <c r="AM14" s="394">
        <f>IFERROR(VLOOKUP($AG14,HomeBroker!$A$30:$N$60,13,0),0)</f>
        <v>0</v>
      </c>
      <c r="AN14" s="61"/>
      <c r="AO14" s="197" t="str">
        <f t="shared" si="67"/>
        <v>-</v>
      </c>
      <c r="AP14" s="61"/>
      <c r="AQ14" s="61"/>
      <c r="AR14" s="61"/>
      <c r="AS14" s="109"/>
      <c r="AT14" s="123" t="s">
        <v>352</v>
      </c>
      <c r="AU14" s="111"/>
      <c r="AV14" s="126"/>
      <c r="AW14" s="127"/>
      <c r="AX14" s="213">
        <f t="shared" si="11"/>
        <v>0</v>
      </c>
      <c r="AY14" s="214">
        <f t="shared" si="12"/>
        <v>0</v>
      </c>
      <c r="AZ14" s="113" t="s">
        <v>402</v>
      </c>
      <c r="BA14" s="111"/>
      <c r="BB14" s="128"/>
      <c r="BC14" s="114"/>
      <c r="BD14" s="215">
        <f t="shared" si="13"/>
        <v>0</v>
      </c>
      <c r="BE14" s="217">
        <f t="shared" si="14"/>
        <v>0</v>
      </c>
      <c r="BF14" s="115" t="s">
        <v>403</v>
      </c>
      <c r="BG14" s="111"/>
      <c r="BH14" s="114"/>
      <c r="BI14" s="218">
        <f t="shared" si="15"/>
        <v>0</v>
      </c>
      <c r="BJ14" s="219">
        <f t="shared" si="16"/>
        <v>0</v>
      </c>
      <c r="DE14" s="116">
        <f t="shared" si="17"/>
        <v>2514.3807937499996</v>
      </c>
      <c r="DF14" s="117">
        <f t="shared" si="18"/>
        <v>0</v>
      </c>
      <c r="DG14" s="117">
        <f t="shared" si="19"/>
        <v>0</v>
      </c>
      <c r="DH14" s="117">
        <f t="shared" si="20"/>
        <v>0</v>
      </c>
      <c r="DI14" s="117">
        <f t="shared" si="21"/>
        <v>0</v>
      </c>
      <c r="DJ14" s="117">
        <f t="shared" si="22"/>
        <v>0</v>
      </c>
      <c r="DK14" s="117">
        <f t="shared" si="23"/>
        <v>0</v>
      </c>
      <c r="DL14" s="117">
        <f t="shared" si="24"/>
        <v>0</v>
      </c>
      <c r="DM14" s="117">
        <f t="shared" si="25"/>
        <v>0</v>
      </c>
      <c r="DN14" s="117">
        <f t="shared" si="26"/>
        <v>0</v>
      </c>
      <c r="DO14" s="117">
        <f t="shared" si="27"/>
        <v>0</v>
      </c>
      <c r="DP14" s="117">
        <f t="shared" si="28"/>
        <v>0</v>
      </c>
      <c r="DQ14" s="117">
        <f t="shared" si="29"/>
        <v>0</v>
      </c>
      <c r="DR14" s="117">
        <f t="shared" si="30"/>
        <v>0</v>
      </c>
      <c r="DS14" s="117">
        <f t="shared" si="31"/>
        <v>0</v>
      </c>
      <c r="DT14" s="117">
        <f t="shared" si="32"/>
        <v>0</v>
      </c>
      <c r="DU14" s="117">
        <f t="shared" si="33"/>
        <v>0</v>
      </c>
      <c r="DV14" s="117">
        <f t="shared" si="34"/>
        <v>0</v>
      </c>
      <c r="DW14" s="117">
        <f t="shared" si="35"/>
        <v>0</v>
      </c>
      <c r="DX14" s="117">
        <f t="shared" si="36"/>
        <v>0</v>
      </c>
      <c r="DY14" s="117">
        <f t="shared" si="37"/>
        <v>0</v>
      </c>
      <c r="DZ14" s="117">
        <f t="shared" si="38"/>
        <v>0</v>
      </c>
      <c r="EA14" s="117">
        <f t="shared" si="39"/>
        <v>0</v>
      </c>
      <c r="EB14" s="117">
        <f t="shared" si="40"/>
        <v>0</v>
      </c>
      <c r="EC14" s="117">
        <f t="shared" si="41"/>
        <v>0</v>
      </c>
      <c r="ED14" s="117">
        <f t="shared" si="42"/>
        <v>0</v>
      </c>
      <c r="EE14" s="117">
        <f t="shared" si="43"/>
        <v>0</v>
      </c>
      <c r="EF14" s="117">
        <f t="shared" si="44"/>
        <v>0</v>
      </c>
      <c r="EG14" s="117">
        <f t="shared" si="45"/>
        <v>0</v>
      </c>
      <c r="EH14" s="117">
        <f t="shared" si="46"/>
        <v>0</v>
      </c>
      <c r="EI14" s="117">
        <f t="shared" si="47"/>
        <v>0</v>
      </c>
      <c r="EJ14" s="117">
        <f t="shared" si="48"/>
        <v>0</v>
      </c>
      <c r="EK14" s="117">
        <f t="shared" si="49"/>
        <v>0</v>
      </c>
      <c r="EL14" s="117">
        <f t="shared" si="50"/>
        <v>0</v>
      </c>
      <c r="EM14" s="117">
        <f t="shared" si="51"/>
        <v>0</v>
      </c>
      <c r="EN14" s="117">
        <f t="shared" si="52"/>
        <v>0</v>
      </c>
      <c r="EO14" s="118"/>
      <c r="EP14" s="119">
        <f t="shared" si="53"/>
        <v>0</v>
      </c>
      <c r="EQ14" s="118"/>
      <c r="ER14" s="125"/>
      <c r="ES14" s="121"/>
      <c r="ET14" s="122">
        <f t="shared" si="54"/>
        <v>-104264.26</v>
      </c>
      <c r="EU14" s="71"/>
      <c r="EV14" s="116">
        <f t="shared" si="55"/>
        <v>2514.3807937499996</v>
      </c>
      <c r="EW14" s="117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7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7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7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7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7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7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7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7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7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7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7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7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7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7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7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7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7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7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7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7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7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7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7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7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7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7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7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7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7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7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7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7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7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7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8"/>
      <c r="GG14" s="119">
        <f t="shared" ca="1" si="56"/>
        <v>0</v>
      </c>
      <c r="GH14" s="118"/>
      <c r="GI14" s="125"/>
      <c r="GJ14" s="121"/>
      <c r="GK14" s="122">
        <f t="shared" ca="1" si="57"/>
        <v>-104264.26</v>
      </c>
    </row>
    <row r="15" spans="1:193" ht="15">
      <c r="A15" s="386" t="s">
        <v>401</v>
      </c>
      <c r="B15" s="202"/>
      <c r="C15" s="199"/>
      <c r="D15" s="398"/>
      <c r="E15" s="399">
        <f t="shared" si="0"/>
        <v>0</v>
      </c>
      <c r="F15" s="400">
        <f t="shared" si="1"/>
        <v>0</v>
      </c>
      <c r="G15" s="201" t="str">
        <f t="shared" si="2"/>
        <v/>
      </c>
      <c r="H15" s="404">
        <f t="shared" si="58"/>
        <v>0</v>
      </c>
      <c r="I15" s="732">
        <f t="shared" si="3"/>
        <v>0</v>
      </c>
      <c r="J15" s="61"/>
      <c r="K15" s="373">
        <f t="shared" ref="K15:K17" si="68">IFERROR(-1+(L15/$L$18),"")</f>
        <v>-0.14262500000000011</v>
      </c>
      <c r="L15" s="502">
        <f t="shared" si="4"/>
        <v>2646.7166249999996</v>
      </c>
      <c r="M15" s="424">
        <f t="shared" si="5"/>
        <v>-104264.26</v>
      </c>
      <c r="N15" s="424">
        <f t="shared" ca="1" si="6"/>
        <v>-104264.26</v>
      </c>
      <c r="O15" s="61"/>
      <c r="P15" s="197" t="str">
        <f t="shared" si="59"/>
        <v>-</v>
      </c>
      <c r="Q15" s="396">
        <f t="shared" si="7"/>
        <v>0</v>
      </c>
      <c r="R15" s="395"/>
      <c r="S15" s="389">
        <f t="shared" ca="1" si="60"/>
        <v>0</v>
      </c>
      <c r="T15" s="330" t="str">
        <f t="shared" si="61"/>
        <v/>
      </c>
      <c r="U15" s="330" t="str">
        <f t="shared" si="62"/>
        <v/>
      </c>
      <c r="V15" s="328">
        <f>IFERROR(VLOOKUP($U15,HomeBroker!$A$30:$F$60,2,0),0)</f>
        <v>0</v>
      </c>
      <c r="W15" s="392">
        <f>IFERROR(VLOOKUP($U15,HomeBroker!$A$30:$F$60,3,0),0)</f>
        <v>0</v>
      </c>
      <c r="X15" s="497">
        <f>IFERROR(VLOOKUP($U15,HomeBroker!$A$30:$F$60,6,0),0)</f>
        <v>0</v>
      </c>
      <c r="Y15" s="391">
        <f>IFERROR(VLOOKUP($U15,HomeBroker!$A$30:$F$60,4,0),0)</f>
        <v>0</v>
      </c>
      <c r="Z15" s="328">
        <f>IFERROR(VLOOKUP($U15,HomeBroker!$A$30:$F$60,5,0),0)</f>
        <v>0</v>
      </c>
      <c r="AA15" s="331">
        <f>IFERROR(VLOOKUP($U15,HomeBroker!$A$30:$N$60,13,0),0)</f>
        <v>0</v>
      </c>
      <c r="AB15" s="198" t="str">
        <f t="shared" si="63"/>
        <v>-</v>
      </c>
      <c r="AC15" s="397">
        <f t="shared" si="9"/>
        <v>0</v>
      </c>
      <c r="AD15" s="395"/>
      <c r="AE15" s="390">
        <f t="shared" ca="1" si="64"/>
        <v>0</v>
      </c>
      <c r="AF15" s="330" t="str">
        <f t="shared" si="65"/>
        <v/>
      </c>
      <c r="AG15" s="330" t="str">
        <f t="shared" si="66"/>
        <v/>
      </c>
      <c r="AH15" s="363">
        <f>IFERROR(VLOOKUP($AG15,HomeBroker!$A$30:$F$60,2,0),0)</f>
        <v>0</v>
      </c>
      <c r="AI15" s="392">
        <f>IFERROR(VLOOKUP($AG15,HomeBroker!$A$30:$F$60,3,0),0)</f>
        <v>0</v>
      </c>
      <c r="AJ15" s="497">
        <f>IFERROR(VLOOKUP($AG15,HomeBroker!$A$30:$F$60,6,0),0)</f>
        <v>0</v>
      </c>
      <c r="AK15" s="392">
        <f>IFERROR(VLOOKUP($AG15,HomeBroker!$A$30:$F$60,4,0),0)</f>
        <v>0</v>
      </c>
      <c r="AL15" s="363">
        <f>IFERROR(VLOOKUP($AG15,HomeBroker!$A$30:$F$60,5,0),0)</f>
        <v>0</v>
      </c>
      <c r="AM15" s="394">
        <f>IFERROR(VLOOKUP($AG15,HomeBroker!$A$30:$N$60,13,0),0)</f>
        <v>0</v>
      </c>
      <c r="AN15" s="61"/>
      <c r="AO15" s="197" t="str">
        <f t="shared" si="67"/>
        <v>-</v>
      </c>
      <c r="AP15" s="61"/>
      <c r="AQ15" s="61"/>
      <c r="AR15" s="61"/>
      <c r="AS15" s="109"/>
      <c r="AT15" s="123" t="s">
        <v>352</v>
      </c>
      <c r="AU15" s="111"/>
      <c r="AV15" s="126"/>
      <c r="AW15" s="127"/>
      <c r="AX15" s="213">
        <f t="shared" si="11"/>
        <v>0</v>
      </c>
      <c r="AY15" s="214">
        <f t="shared" si="12"/>
        <v>0</v>
      </c>
      <c r="AZ15" s="113" t="s">
        <v>402</v>
      </c>
      <c r="BA15" s="111"/>
      <c r="BB15" s="128"/>
      <c r="BC15" s="114"/>
      <c r="BD15" s="215">
        <f t="shared" si="13"/>
        <v>0</v>
      </c>
      <c r="BE15" s="217">
        <f t="shared" si="14"/>
        <v>0</v>
      </c>
      <c r="BF15" s="115" t="s">
        <v>403</v>
      </c>
      <c r="BG15" s="111"/>
      <c r="BH15" s="114"/>
      <c r="BI15" s="218">
        <f t="shared" si="15"/>
        <v>0</v>
      </c>
      <c r="BJ15" s="219">
        <f t="shared" si="16"/>
        <v>0</v>
      </c>
      <c r="DE15" s="116">
        <f t="shared" si="17"/>
        <v>2646.7166249999996</v>
      </c>
      <c r="DF15" s="117">
        <f t="shared" si="18"/>
        <v>0</v>
      </c>
      <c r="DG15" s="117">
        <f t="shared" si="19"/>
        <v>0</v>
      </c>
      <c r="DH15" s="117">
        <f t="shared" si="20"/>
        <v>0</v>
      </c>
      <c r="DI15" s="117">
        <f t="shared" si="21"/>
        <v>0</v>
      </c>
      <c r="DJ15" s="117">
        <f t="shared" si="22"/>
        <v>0</v>
      </c>
      <c r="DK15" s="117">
        <f t="shared" si="23"/>
        <v>0</v>
      </c>
      <c r="DL15" s="117">
        <f t="shared" si="24"/>
        <v>0</v>
      </c>
      <c r="DM15" s="117">
        <f t="shared" si="25"/>
        <v>0</v>
      </c>
      <c r="DN15" s="117">
        <f t="shared" si="26"/>
        <v>0</v>
      </c>
      <c r="DO15" s="117">
        <f t="shared" si="27"/>
        <v>0</v>
      </c>
      <c r="DP15" s="117">
        <f t="shared" si="28"/>
        <v>0</v>
      </c>
      <c r="DQ15" s="117">
        <f t="shared" si="29"/>
        <v>0</v>
      </c>
      <c r="DR15" s="117">
        <f t="shared" si="30"/>
        <v>0</v>
      </c>
      <c r="DS15" s="117">
        <f t="shared" si="31"/>
        <v>0</v>
      </c>
      <c r="DT15" s="117">
        <f t="shared" si="32"/>
        <v>0</v>
      </c>
      <c r="DU15" s="117">
        <f t="shared" si="33"/>
        <v>0</v>
      </c>
      <c r="DV15" s="117">
        <f t="shared" si="34"/>
        <v>0</v>
      </c>
      <c r="DW15" s="117">
        <f t="shared" si="35"/>
        <v>0</v>
      </c>
      <c r="DX15" s="117">
        <f t="shared" si="36"/>
        <v>0</v>
      </c>
      <c r="DY15" s="117">
        <f t="shared" si="37"/>
        <v>0</v>
      </c>
      <c r="DZ15" s="117">
        <f t="shared" si="38"/>
        <v>0</v>
      </c>
      <c r="EA15" s="117">
        <f t="shared" si="39"/>
        <v>0</v>
      </c>
      <c r="EB15" s="117">
        <f t="shared" si="40"/>
        <v>0</v>
      </c>
      <c r="EC15" s="117">
        <f t="shared" si="41"/>
        <v>0</v>
      </c>
      <c r="ED15" s="117">
        <f t="shared" si="42"/>
        <v>0</v>
      </c>
      <c r="EE15" s="117">
        <f t="shared" si="43"/>
        <v>0</v>
      </c>
      <c r="EF15" s="117">
        <f t="shared" si="44"/>
        <v>0</v>
      </c>
      <c r="EG15" s="117">
        <f t="shared" si="45"/>
        <v>0</v>
      </c>
      <c r="EH15" s="117">
        <f t="shared" si="46"/>
        <v>0</v>
      </c>
      <c r="EI15" s="117">
        <f t="shared" si="47"/>
        <v>0</v>
      </c>
      <c r="EJ15" s="117">
        <f t="shared" si="48"/>
        <v>0</v>
      </c>
      <c r="EK15" s="117">
        <f t="shared" si="49"/>
        <v>0</v>
      </c>
      <c r="EL15" s="117">
        <f t="shared" si="50"/>
        <v>0</v>
      </c>
      <c r="EM15" s="117">
        <f t="shared" si="51"/>
        <v>0</v>
      </c>
      <c r="EN15" s="117">
        <f t="shared" si="52"/>
        <v>0</v>
      </c>
      <c r="EO15" s="118"/>
      <c r="EP15" s="119">
        <f t="shared" si="53"/>
        <v>0</v>
      </c>
      <c r="EQ15" s="118"/>
      <c r="ER15" s="125"/>
      <c r="ES15" s="121"/>
      <c r="ET15" s="122">
        <f t="shared" si="54"/>
        <v>-104264.26</v>
      </c>
      <c r="EU15" s="71"/>
      <c r="EV15" s="116">
        <f t="shared" si="55"/>
        <v>2646.7166249999996</v>
      </c>
      <c r="EW15" s="117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7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7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7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7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7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7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7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7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7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7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7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7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7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7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7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7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7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7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7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7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7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7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7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7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7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7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7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7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7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7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7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7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7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7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8"/>
      <c r="GG15" s="119">
        <f t="shared" ca="1" si="56"/>
        <v>0</v>
      </c>
      <c r="GH15" s="118"/>
      <c r="GI15" s="125"/>
      <c r="GJ15" s="121"/>
      <c r="GK15" s="122">
        <f t="shared" ca="1" si="57"/>
        <v>-104264.26</v>
      </c>
    </row>
    <row r="16" spans="1:193" ht="15">
      <c r="A16" s="386" t="s">
        <v>401</v>
      </c>
      <c r="B16" s="202"/>
      <c r="C16" s="199"/>
      <c r="D16" s="398"/>
      <c r="E16" s="399">
        <f>+B16*D16*-100</f>
        <v>0</v>
      </c>
      <c r="F16" s="400">
        <f t="shared" si="1"/>
        <v>0</v>
      </c>
      <c r="G16" s="201" t="str">
        <f t="shared" si="2"/>
        <v/>
      </c>
      <c r="H16" s="404">
        <f>IFERROR(+G16*B16*-100,0)</f>
        <v>0</v>
      </c>
      <c r="I16" s="732">
        <f t="shared" si="3"/>
        <v>0</v>
      </c>
      <c r="J16" s="61"/>
      <c r="K16" s="373">
        <f t="shared" si="68"/>
        <v>-9.7500000000000142E-2</v>
      </c>
      <c r="L16" s="502">
        <f t="shared" si="4"/>
        <v>2786.0174999999995</v>
      </c>
      <c r="M16" s="423">
        <f t="shared" si="5"/>
        <v>-104264.26</v>
      </c>
      <c r="N16" s="423">
        <f t="shared" ca="1" si="6"/>
        <v>-104264.26</v>
      </c>
      <c r="O16" s="61"/>
      <c r="P16" s="197" t="str">
        <f t="shared" si="59"/>
        <v>-</v>
      </c>
      <c r="Q16" s="396">
        <f t="shared" si="7"/>
        <v>0</v>
      </c>
      <c r="R16" s="395"/>
      <c r="S16" s="389">
        <f t="shared" ca="1" si="60"/>
        <v>0</v>
      </c>
      <c r="T16" s="330" t="str">
        <f t="shared" si="61"/>
        <v/>
      </c>
      <c r="U16" s="330" t="str">
        <f t="shared" si="62"/>
        <v/>
      </c>
      <c r="V16" s="328">
        <f>IFERROR(VLOOKUP($U16,HomeBroker!$A$30:$F$60,2,0),0)</f>
        <v>0</v>
      </c>
      <c r="W16" s="392">
        <f>IFERROR(VLOOKUP($U16,HomeBroker!$A$30:$F$60,3,0),0)</f>
        <v>0</v>
      </c>
      <c r="X16" s="497">
        <f>IFERROR(VLOOKUP($U16,HomeBroker!$A$30:$F$60,6,0),0)</f>
        <v>0</v>
      </c>
      <c r="Y16" s="391">
        <f>IFERROR(VLOOKUP($U16,HomeBroker!$A$30:$F$60,4,0),0)</f>
        <v>0</v>
      </c>
      <c r="Z16" s="328">
        <f>IFERROR(VLOOKUP($U16,HomeBroker!$A$30:$F$60,5,0),0)</f>
        <v>0</v>
      </c>
      <c r="AA16" s="331">
        <f>IFERROR(VLOOKUP($U16,HomeBroker!$A$30:$N$60,13,0),0)</f>
        <v>0</v>
      </c>
      <c r="AB16" s="198" t="str">
        <f t="shared" si="63"/>
        <v>-</v>
      </c>
      <c r="AC16" s="397">
        <f t="shared" si="9"/>
        <v>0</v>
      </c>
      <c r="AD16" s="395"/>
      <c r="AE16" s="390">
        <f t="shared" ca="1" si="64"/>
        <v>0</v>
      </c>
      <c r="AF16" s="330" t="str">
        <f t="shared" si="65"/>
        <v/>
      </c>
      <c r="AG16" s="330" t="str">
        <f t="shared" si="66"/>
        <v/>
      </c>
      <c r="AH16" s="363">
        <f>IFERROR(VLOOKUP($AG16,HomeBroker!$A$30:$F$60,2,0),0)</f>
        <v>0</v>
      </c>
      <c r="AI16" s="392">
        <f>IFERROR(VLOOKUP($AG16,HomeBroker!$A$30:$F$60,3,0),0)</f>
        <v>0</v>
      </c>
      <c r="AJ16" s="497">
        <f>IFERROR(VLOOKUP($AG16,HomeBroker!$A$30:$F$60,6,0),0)</f>
        <v>0</v>
      </c>
      <c r="AK16" s="392">
        <f>IFERROR(VLOOKUP($AG16,HomeBroker!$A$30:$F$60,4,0),0)</f>
        <v>0</v>
      </c>
      <c r="AL16" s="363">
        <f>IFERROR(VLOOKUP($AG16,HomeBroker!$A$30:$F$60,5,0),0)</f>
        <v>0</v>
      </c>
      <c r="AM16" s="394">
        <f>IFERROR(VLOOKUP($AG16,HomeBroker!$A$30:$N$60,13,0),0)</f>
        <v>0</v>
      </c>
      <c r="AN16" s="61"/>
      <c r="AO16" s="197" t="str">
        <f t="shared" si="67"/>
        <v>-</v>
      </c>
      <c r="AP16" s="61"/>
      <c r="AQ16" s="61"/>
      <c r="AR16" s="61"/>
      <c r="AS16" s="109"/>
      <c r="AT16" s="123" t="s">
        <v>352</v>
      </c>
      <c r="AU16" s="111"/>
      <c r="AV16" s="126"/>
      <c r="AW16" s="127"/>
      <c r="AX16" s="213">
        <f t="shared" si="11"/>
        <v>0</v>
      </c>
      <c r="AY16" s="214">
        <f t="shared" si="12"/>
        <v>0</v>
      </c>
      <c r="AZ16" s="113" t="s">
        <v>402</v>
      </c>
      <c r="BA16" s="111"/>
      <c r="BB16" s="128"/>
      <c r="BC16" s="114"/>
      <c r="BD16" s="215">
        <f t="shared" si="13"/>
        <v>0</v>
      </c>
      <c r="BE16" s="217">
        <f t="shared" si="14"/>
        <v>0</v>
      </c>
      <c r="BF16" s="115" t="s">
        <v>403</v>
      </c>
      <c r="BG16" s="111"/>
      <c r="BH16" s="114"/>
      <c r="BI16" s="218">
        <f t="shared" si="15"/>
        <v>0</v>
      </c>
      <c r="BJ16" s="219">
        <f t="shared" si="16"/>
        <v>0</v>
      </c>
      <c r="DE16" s="116">
        <f t="shared" si="17"/>
        <v>2786.0174999999995</v>
      </c>
      <c r="DF16" s="117">
        <f t="shared" si="18"/>
        <v>0</v>
      </c>
      <c r="DG16" s="117">
        <f t="shared" si="19"/>
        <v>0</v>
      </c>
      <c r="DH16" s="117">
        <f t="shared" si="20"/>
        <v>0</v>
      </c>
      <c r="DI16" s="117">
        <f t="shared" si="21"/>
        <v>0</v>
      </c>
      <c r="DJ16" s="117">
        <f t="shared" si="22"/>
        <v>0</v>
      </c>
      <c r="DK16" s="117">
        <f t="shared" si="23"/>
        <v>0</v>
      </c>
      <c r="DL16" s="117">
        <f t="shared" si="24"/>
        <v>0</v>
      </c>
      <c r="DM16" s="117">
        <f t="shared" si="25"/>
        <v>0</v>
      </c>
      <c r="DN16" s="117">
        <f t="shared" si="26"/>
        <v>0</v>
      </c>
      <c r="DO16" s="117">
        <f t="shared" si="27"/>
        <v>0</v>
      </c>
      <c r="DP16" s="117">
        <f t="shared" si="28"/>
        <v>0</v>
      </c>
      <c r="DQ16" s="117">
        <f t="shared" si="29"/>
        <v>0</v>
      </c>
      <c r="DR16" s="117">
        <f t="shared" si="30"/>
        <v>0</v>
      </c>
      <c r="DS16" s="117">
        <f t="shared" si="31"/>
        <v>0</v>
      </c>
      <c r="DT16" s="117">
        <f t="shared" si="32"/>
        <v>0</v>
      </c>
      <c r="DU16" s="117">
        <f t="shared" si="33"/>
        <v>0</v>
      </c>
      <c r="DV16" s="117">
        <f t="shared" si="34"/>
        <v>0</v>
      </c>
      <c r="DW16" s="117">
        <f t="shared" si="35"/>
        <v>0</v>
      </c>
      <c r="DX16" s="117">
        <f t="shared" si="36"/>
        <v>0</v>
      </c>
      <c r="DY16" s="117">
        <f t="shared" si="37"/>
        <v>0</v>
      </c>
      <c r="DZ16" s="117">
        <f t="shared" si="38"/>
        <v>0</v>
      </c>
      <c r="EA16" s="117">
        <f t="shared" si="39"/>
        <v>0</v>
      </c>
      <c r="EB16" s="117">
        <f t="shared" si="40"/>
        <v>0</v>
      </c>
      <c r="EC16" s="117">
        <f t="shared" si="41"/>
        <v>0</v>
      </c>
      <c r="ED16" s="117">
        <f t="shared" si="42"/>
        <v>0</v>
      </c>
      <c r="EE16" s="117">
        <f t="shared" si="43"/>
        <v>0</v>
      </c>
      <c r="EF16" s="117">
        <f t="shared" si="44"/>
        <v>0</v>
      </c>
      <c r="EG16" s="117">
        <f t="shared" si="45"/>
        <v>0</v>
      </c>
      <c r="EH16" s="117">
        <f t="shared" si="46"/>
        <v>0</v>
      </c>
      <c r="EI16" s="117">
        <f t="shared" si="47"/>
        <v>0</v>
      </c>
      <c r="EJ16" s="117">
        <f t="shared" si="48"/>
        <v>0</v>
      </c>
      <c r="EK16" s="117">
        <f t="shared" si="49"/>
        <v>0</v>
      </c>
      <c r="EL16" s="117">
        <f t="shared" si="50"/>
        <v>0</v>
      </c>
      <c r="EM16" s="117">
        <f t="shared" si="51"/>
        <v>0</v>
      </c>
      <c r="EN16" s="117">
        <f t="shared" si="52"/>
        <v>0</v>
      </c>
      <c r="EO16" s="118"/>
      <c r="EP16" s="119">
        <f t="shared" si="53"/>
        <v>0</v>
      </c>
      <c r="EQ16" s="118"/>
      <c r="ER16" s="125"/>
      <c r="ES16" s="121"/>
      <c r="ET16" s="122">
        <f t="shared" si="54"/>
        <v>-104264.26</v>
      </c>
      <c r="EU16" s="71"/>
      <c r="EV16" s="116">
        <f t="shared" si="55"/>
        <v>2786.0174999999995</v>
      </c>
      <c r="EW16" s="117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7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7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7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7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7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7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7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7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7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7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7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7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7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7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7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7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7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7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7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7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7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7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7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7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7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7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7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7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7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7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7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7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7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7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8"/>
      <c r="GG16" s="119">
        <f t="shared" ca="1" si="56"/>
        <v>0</v>
      </c>
      <c r="GH16" s="118"/>
      <c r="GI16" s="125"/>
      <c r="GJ16" s="121"/>
      <c r="GK16" s="122">
        <f t="shared" ca="1" si="57"/>
        <v>-104264.26</v>
      </c>
    </row>
    <row r="17" spans="1:193" ht="15.75">
      <c r="A17" s="386" t="s">
        <v>401</v>
      </c>
      <c r="B17" s="203"/>
      <c r="C17" s="199"/>
      <c r="D17" s="398"/>
      <c r="E17" s="399">
        <f>+B17*D17*-100</f>
        <v>0</v>
      </c>
      <c r="F17" s="400">
        <f t="shared" si="1"/>
        <v>0</v>
      </c>
      <c r="G17" s="201" t="str">
        <f t="shared" si="2"/>
        <v/>
      </c>
      <c r="H17" s="404">
        <f>IFERROR(+G17*B17*-100,0)</f>
        <v>0</v>
      </c>
      <c r="I17" s="732">
        <f t="shared" si="3"/>
        <v>0</v>
      </c>
      <c r="J17" s="61"/>
      <c r="K17" s="373">
        <f t="shared" si="68"/>
        <v>-5.0000000000000155E-2</v>
      </c>
      <c r="L17" s="502">
        <f t="shared" si="4"/>
        <v>2932.6499999999996</v>
      </c>
      <c r="M17" s="423">
        <f t="shared" si="5"/>
        <v>-104264.26</v>
      </c>
      <c r="N17" s="423">
        <f t="shared" ca="1" si="6"/>
        <v>-104264.26</v>
      </c>
      <c r="O17" s="61"/>
      <c r="P17" s="197" t="str">
        <f t="shared" si="59"/>
        <v>-</v>
      </c>
      <c r="Q17" s="396">
        <f t="shared" si="7"/>
        <v>0</v>
      </c>
      <c r="R17" s="395"/>
      <c r="S17" s="389">
        <f t="shared" ca="1" si="60"/>
        <v>0</v>
      </c>
      <c r="T17" s="330" t="str">
        <f t="shared" si="61"/>
        <v/>
      </c>
      <c r="U17" s="330" t="str">
        <f t="shared" si="62"/>
        <v/>
      </c>
      <c r="V17" s="328">
        <f>IFERROR(VLOOKUP($U17,HomeBroker!$A$30:$F$60,2,0),0)</f>
        <v>0</v>
      </c>
      <c r="W17" s="392">
        <f>IFERROR(VLOOKUP($U17,HomeBroker!$A$30:$F$60,3,0),0)</f>
        <v>0</v>
      </c>
      <c r="X17" s="497">
        <f>IFERROR(VLOOKUP($U17,HomeBroker!$A$30:$F$60,6,0),0)</f>
        <v>0</v>
      </c>
      <c r="Y17" s="391">
        <f>IFERROR(VLOOKUP($U17,HomeBroker!$A$30:$F$60,4,0),0)</f>
        <v>0</v>
      </c>
      <c r="Z17" s="328">
        <f>IFERROR(VLOOKUP($U17,HomeBroker!$A$30:$F$60,5,0),0)</f>
        <v>0</v>
      </c>
      <c r="AA17" s="331">
        <f>IFERROR(VLOOKUP($U17,HomeBroker!$A$30:$N$60,13,0),0)</f>
        <v>0</v>
      </c>
      <c r="AB17" s="198" t="str">
        <f t="shared" si="63"/>
        <v>-</v>
      </c>
      <c r="AC17" s="397">
        <f t="shared" si="9"/>
        <v>0</v>
      </c>
      <c r="AD17" s="395"/>
      <c r="AE17" s="390">
        <f t="shared" ca="1" si="64"/>
        <v>0</v>
      </c>
      <c r="AF17" s="330" t="str">
        <f t="shared" si="65"/>
        <v/>
      </c>
      <c r="AG17" s="330" t="str">
        <f t="shared" si="66"/>
        <v/>
      </c>
      <c r="AH17" s="363">
        <f>IFERROR(VLOOKUP($AG17,HomeBroker!$A$30:$F$60,2,0),0)</f>
        <v>0</v>
      </c>
      <c r="AI17" s="392">
        <f>IFERROR(VLOOKUP($AG17,HomeBroker!$A$30:$F$60,3,0),0)</f>
        <v>0</v>
      </c>
      <c r="AJ17" s="497">
        <f>IFERROR(VLOOKUP($AG17,HomeBroker!$A$30:$F$60,6,0),0)</f>
        <v>0</v>
      </c>
      <c r="AK17" s="392">
        <f>IFERROR(VLOOKUP($AG17,HomeBroker!$A$30:$F$60,4,0),0)</f>
        <v>0</v>
      </c>
      <c r="AL17" s="363">
        <f>IFERROR(VLOOKUP($AG17,HomeBroker!$A$30:$F$60,5,0),0)</f>
        <v>0</v>
      </c>
      <c r="AM17" s="394">
        <f>IFERROR(VLOOKUP($AG17,HomeBroker!$A$30:$N$60,13,0),0)</f>
        <v>0</v>
      </c>
      <c r="AN17" s="61"/>
      <c r="AO17" s="197" t="str">
        <f t="shared" si="67"/>
        <v>-</v>
      </c>
      <c r="AP17" s="61"/>
      <c r="AQ17" s="61"/>
      <c r="AR17" s="61"/>
      <c r="AS17" s="109"/>
      <c r="AT17" s="123" t="s">
        <v>352</v>
      </c>
      <c r="AU17" s="111"/>
      <c r="AV17" s="126"/>
      <c r="AW17" s="127"/>
      <c r="AX17" s="213">
        <f t="shared" si="11"/>
        <v>0</v>
      </c>
      <c r="AY17" s="214">
        <f t="shared" si="12"/>
        <v>0</v>
      </c>
      <c r="AZ17" s="113" t="s">
        <v>402</v>
      </c>
      <c r="BA17" s="111"/>
      <c r="BB17" s="128"/>
      <c r="BC17" s="114"/>
      <c r="BD17" s="215">
        <f t="shared" si="13"/>
        <v>0</v>
      </c>
      <c r="BE17" s="217">
        <f t="shared" si="14"/>
        <v>0</v>
      </c>
      <c r="BF17" s="115" t="s">
        <v>403</v>
      </c>
      <c r="BG17" s="111"/>
      <c r="BH17" s="114"/>
      <c r="BI17" s="218">
        <f t="shared" si="15"/>
        <v>0</v>
      </c>
      <c r="BJ17" s="219">
        <f t="shared" si="16"/>
        <v>0</v>
      </c>
      <c r="DE17" s="116">
        <f t="shared" si="17"/>
        <v>2932.6499999999996</v>
      </c>
      <c r="DF17" s="117">
        <f t="shared" si="18"/>
        <v>0</v>
      </c>
      <c r="DG17" s="117">
        <f t="shared" si="19"/>
        <v>0</v>
      </c>
      <c r="DH17" s="117">
        <f t="shared" si="20"/>
        <v>0</v>
      </c>
      <c r="DI17" s="117">
        <f t="shared" si="21"/>
        <v>0</v>
      </c>
      <c r="DJ17" s="117">
        <f t="shared" si="22"/>
        <v>0</v>
      </c>
      <c r="DK17" s="117">
        <f t="shared" si="23"/>
        <v>0</v>
      </c>
      <c r="DL17" s="117">
        <f t="shared" si="24"/>
        <v>0</v>
      </c>
      <c r="DM17" s="117">
        <f t="shared" si="25"/>
        <v>0</v>
      </c>
      <c r="DN17" s="117">
        <f t="shared" si="26"/>
        <v>0</v>
      </c>
      <c r="DO17" s="117">
        <f t="shared" si="27"/>
        <v>0</v>
      </c>
      <c r="DP17" s="117">
        <f t="shared" si="28"/>
        <v>0</v>
      </c>
      <c r="DQ17" s="117">
        <f t="shared" si="29"/>
        <v>0</v>
      </c>
      <c r="DR17" s="117">
        <f t="shared" si="30"/>
        <v>0</v>
      </c>
      <c r="DS17" s="117">
        <f t="shared" si="31"/>
        <v>0</v>
      </c>
      <c r="DT17" s="117">
        <f t="shared" si="32"/>
        <v>0</v>
      </c>
      <c r="DU17" s="117">
        <f t="shared" si="33"/>
        <v>0</v>
      </c>
      <c r="DV17" s="117">
        <f t="shared" si="34"/>
        <v>0</v>
      </c>
      <c r="DW17" s="117">
        <f t="shared" si="35"/>
        <v>0</v>
      </c>
      <c r="DX17" s="117">
        <f t="shared" si="36"/>
        <v>0</v>
      </c>
      <c r="DY17" s="117">
        <f t="shared" si="37"/>
        <v>0</v>
      </c>
      <c r="DZ17" s="117">
        <f t="shared" si="38"/>
        <v>0</v>
      </c>
      <c r="EA17" s="117">
        <f t="shared" si="39"/>
        <v>0</v>
      </c>
      <c r="EB17" s="117">
        <f t="shared" si="40"/>
        <v>0</v>
      </c>
      <c r="EC17" s="117">
        <f t="shared" si="41"/>
        <v>0</v>
      </c>
      <c r="ED17" s="117">
        <f t="shared" si="42"/>
        <v>0</v>
      </c>
      <c r="EE17" s="117">
        <f t="shared" si="43"/>
        <v>0</v>
      </c>
      <c r="EF17" s="117">
        <f t="shared" si="44"/>
        <v>0</v>
      </c>
      <c r="EG17" s="117">
        <f t="shared" si="45"/>
        <v>0</v>
      </c>
      <c r="EH17" s="117">
        <f t="shared" si="46"/>
        <v>0</v>
      </c>
      <c r="EI17" s="117">
        <f t="shared" si="47"/>
        <v>0</v>
      </c>
      <c r="EJ17" s="117">
        <f t="shared" si="48"/>
        <v>0</v>
      </c>
      <c r="EK17" s="117">
        <f t="shared" si="49"/>
        <v>0</v>
      </c>
      <c r="EL17" s="117">
        <f t="shared" si="50"/>
        <v>0</v>
      </c>
      <c r="EM17" s="117">
        <f t="shared" si="51"/>
        <v>0</v>
      </c>
      <c r="EN17" s="117">
        <f t="shared" si="52"/>
        <v>0</v>
      </c>
      <c r="EO17" s="118"/>
      <c r="EP17" s="119">
        <f t="shared" si="53"/>
        <v>0</v>
      </c>
      <c r="EQ17" s="118"/>
      <c r="ER17" s="125"/>
      <c r="ES17" s="121"/>
      <c r="ET17" s="122">
        <f t="shared" si="54"/>
        <v>-104264.26</v>
      </c>
      <c r="EU17" s="71"/>
      <c r="EV17" s="116">
        <f t="shared" si="55"/>
        <v>2932.6499999999996</v>
      </c>
      <c r="EW17" s="117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7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7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7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7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7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7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7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7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7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7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7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7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7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7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7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7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7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7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7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7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7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7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7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7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7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7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7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7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7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7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7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7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7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7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8"/>
      <c r="GG17" s="119">
        <f t="shared" ca="1" si="56"/>
        <v>0</v>
      </c>
      <c r="GH17" s="118"/>
      <c r="GI17" s="125"/>
      <c r="GJ17" s="121"/>
      <c r="GK17" s="122">
        <f t="shared" ca="1" si="57"/>
        <v>-104264.26</v>
      </c>
    </row>
    <row r="18" spans="1:193" ht="15">
      <c r="A18" s="386" t="s">
        <v>401</v>
      </c>
      <c r="B18" s="202"/>
      <c r="C18" s="199"/>
      <c r="D18" s="398"/>
      <c r="E18" s="399">
        <f>+B18*D18*-100</f>
        <v>0</v>
      </c>
      <c r="F18" s="400">
        <f t="shared" si="1"/>
        <v>0</v>
      </c>
      <c r="G18" s="201" t="str">
        <f t="shared" si="2"/>
        <v/>
      </c>
      <c r="H18" s="404">
        <f>IFERROR(+G18*B18*-100,0)</f>
        <v>0</v>
      </c>
      <c r="I18" s="732">
        <f t="shared" si="3"/>
        <v>0</v>
      </c>
      <c r="J18" s="61"/>
      <c r="K18" s="130">
        <v>0</v>
      </c>
      <c r="L18" s="498">
        <f>IF($N$45&lt;&gt;"",$N$45,$B$76)</f>
        <v>3087</v>
      </c>
      <c r="M18" s="424">
        <f t="shared" si="5"/>
        <v>-104264.26</v>
      </c>
      <c r="N18" s="424">
        <f t="shared" ca="1" si="6"/>
        <v>-104264.26</v>
      </c>
      <c r="O18" s="61"/>
      <c r="P18" s="197" t="str">
        <f t="shared" si="59"/>
        <v>-</v>
      </c>
      <c r="Q18" s="362">
        <f t="shared" ref="Q18:Q42" si="69">SUMIFS(AU:AU,AV:AV,R18)</f>
        <v>0</v>
      </c>
      <c r="R18" s="395"/>
      <c r="S18" s="389">
        <f t="shared" ca="1" si="60"/>
        <v>0</v>
      </c>
      <c r="T18" s="330" t="str">
        <f t="shared" si="61"/>
        <v/>
      </c>
      <c r="U18" s="330" t="str">
        <f t="shared" si="62"/>
        <v/>
      </c>
      <c r="V18" s="328">
        <f>IFERROR(VLOOKUP($U18,HomeBroker!$A$30:$F$60,2,0),0)</f>
        <v>0</v>
      </c>
      <c r="W18" s="392">
        <f>IFERROR(VLOOKUP($U18,HomeBroker!$A$30:$F$60,3,0),0)</f>
        <v>0</v>
      </c>
      <c r="X18" s="497">
        <f>IFERROR(VLOOKUP($U18,HomeBroker!$A$30:$F$60,6,0),0)</f>
        <v>0</v>
      </c>
      <c r="Y18" s="391">
        <f>IFERROR(VLOOKUP($U18,HomeBroker!$A$30:$F$60,4,0),0)</f>
        <v>0</v>
      </c>
      <c r="Z18" s="328">
        <f>IFERROR(VLOOKUP($U18,HomeBroker!$A$30:$F$60,5,0),0)</f>
        <v>0</v>
      </c>
      <c r="AA18" s="331">
        <f>IFERROR(VLOOKUP($U18,HomeBroker!$A$30:$N$60,13,0),0)</f>
        <v>0</v>
      </c>
      <c r="AB18" s="198" t="str">
        <f t="shared" si="63"/>
        <v>-</v>
      </c>
      <c r="AC18" s="107">
        <f t="shared" ref="AC18:AC42" si="70">SUMIFS(BA:BA,BB:BB,AD18)</f>
        <v>0</v>
      </c>
      <c r="AD18" s="395"/>
      <c r="AE18" s="329">
        <f t="shared" ca="1" si="64"/>
        <v>0</v>
      </c>
      <c r="AF18" s="330" t="str">
        <f t="shared" si="65"/>
        <v/>
      </c>
      <c r="AG18" s="330" t="str">
        <f t="shared" si="66"/>
        <v/>
      </c>
      <c r="AH18" s="363">
        <f>IFERROR(VLOOKUP($AG18,HomeBroker!$A$30:$F$60,2,0),0)</f>
        <v>0</v>
      </c>
      <c r="AI18" s="392">
        <f>IFERROR(VLOOKUP($AG18,HomeBroker!$A$30:$F$60,3,0),0)</f>
        <v>0</v>
      </c>
      <c r="AJ18" s="497">
        <f>IFERROR(VLOOKUP($AG18,HomeBroker!$A$30:$F$60,6,0),0)</f>
        <v>0</v>
      </c>
      <c r="AK18" s="392">
        <f>IFERROR(VLOOKUP($AG18,HomeBroker!$A$30:$F$60,4,0),0)</f>
        <v>0</v>
      </c>
      <c r="AL18" s="363">
        <f>IFERROR(VLOOKUP($AG18,HomeBroker!$A$30:$F$60,5,0),0)</f>
        <v>0</v>
      </c>
      <c r="AM18" s="394">
        <f>IFERROR(VLOOKUP($AG18,HomeBroker!$A$30:$N$60,13,0),0)</f>
        <v>0</v>
      </c>
      <c r="AN18" s="61"/>
      <c r="AO18" s="197" t="str">
        <f t="shared" si="67"/>
        <v>-</v>
      </c>
      <c r="AP18" s="61"/>
      <c r="AQ18" s="61"/>
      <c r="AR18" s="61"/>
      <c r="AS18" s="109"/>
      <c r="AT18" s="123" t="s">
        <v>352</v>
      </c>
      <c r="AU18" s="111"/>
      <c r="AV18" s="126"/>
      <c r="AW18" s="127"/>
      <c r="AX18" s="213">
        <f t="shared" si="11"/>
        <v>0</v>
      </c>
      <c r="AY18" s="214">
        <f t="shared" si="12"/>
        <v>0</v>
      </c>
      <c r="AZ18" s="113" t="s">
        <v>402</v>
      </c>
      <c r="BA18" s="111"/>
      <c r="BB18" s="128"/>
      <c r="BC18" s="114"/>
      <c r="BD18" s="215">
        <f t="shared" si="13"/>
        <v>0</v>
      </c>
      <c r="BE18" s="217">
        <f t="shared" si="14"/>
        <v>0</v>
      </c>
      <c r="BF18" s="115" t="s">
        <v>403</v>
      </c>
      <c r="BG18" s="111"/>
      <c r="BH18" s="114"/>
      <c r="BI18" s="218">
        <f t="shared" si="15"/>
        <v>0</v>
      </c>
      <c r="BJ18" s="219">
        <f t="shared" si="16"/>
        <v>0</v>
      </c>
      <c r="DE18" s="116">
        <f t="shared" si="17"/>
        <v>3087</v>
      </c>
      <c r="DF18" s="117">
        <f t="shared" si="18"/>
        <v>0</v>
      </c>
      <c r="DG18" s="117">
        <f t="shared" si="19"/>
        <v>0</v>
      </c>
      <c r="DH18" s="117">
        <f t="shared" si="20"/>
        <v>0</v>
      </c>
      <c r="DI18" s="117">
        <f t="shared" si="21"/>
        <v>0</v>
      </c>
      <c r="DJ18" s="117">
        <f t="shared" si="22"/>
        <v>0</v>
      </c>
      <c r="DK18" s="117">
        <f t="shared" si="23"/>
        <v>0</v>
      </c>
      <c r="DL18" s="117">
        <f t="shared" si="24"/>
        <v>0</v>
      </c>
      <c r="DM18" s="117">
        <f t="shared" si="25"/>
        <v>0</v>
      </c>
      <c r="DN18" s="117">
        <f t="shared" si="26"/>
        <v>0</v>
      </c>
      <c r="DO18" s="117">
        <f t="shared" si="27"/>
        <v>0</v>
      </c>
      <c r="DP18" s="117">
        <f t="shared" si="28"/>
        <v>0</v>
      </c>
      <c r="DQ18" s="117">
        <f t="shared" si="29"/>
        <v>0</v>
      </c>
      <c r="DR18" s="117">
        <f t="shared" si="30"/>
        <v>0</v>
      </c>
      <c r="DS18" s="117">
        <f t="shared" si="31"/>
        <v>0</v>
      </c>
      <c r="DT18" s="117">
        <f t="shared" si="32"/>
        <v>0</v>
      </c>
      <c r="DU18" s="117">
        <f t="shared" si="33"/>
        <v>0</v>
      </c>
      <c r="DV18" s="117">
        <f t="shared" si="34"/>
        <v>0</v>
      </c>
      <c r="DW18" s="117">
        <f t="shared" si="35"/>
        <v>0</v>
      </c>
      <c r="DX18" s="117">
        <f t="shared" si="36"/>
        <v>0</v>
      </c>
      <c r="DY18" s="117">
        <f t="shared" si="37"/>
        <v>0</v>
      </c>
      <c r="DZ18" s="117">
        <f t="shared" si="38"/>
        <v>0</v>
      </c>
      <c r="EA18" s="117">
        <f t="shared" si="39"/>
        <v>0</v>
      </c>
      <c r="EB18" s="117">
        <f t="shared" si="40"/>
        <v>0</v>
      </c>
      <c r="EC18" s="117">
        <f t="shared" si="41"/>
        <v>0</v>
      </c>
      <c r="ED18" s="117">
        <f t="shared" si="42"/>
        <v>0</v>
      </c>
      <c r="EE18" s="117">
        <f t="shared" si="43"/>
        <v>0</v>
      </c>
      <c r="EF18" s="117">
        <f t="shared" si="44"/>
        <v>0</v>
      </c>
      <c r="EG18" s="117">
        <f t="shared" si="45"/>
        <v>0</v>
      </c>
      <c r="EH18" s="117">
        <f t="shared" si="46"/>
        <v>0</v>
      </c>
      <c r="EI18" s="117">
        <f t="shared" si="47"/>
        <v>0</v>
      </c>
      <c r="EJ18" s="117">
        <f t="shared" si="48"/>
        <v>0</v>
      </c>
      <c r="EK18" s="117">
        <f t="shared" si="49"/>
        <v>0</v>
      </c>
      <c r="EL18" s="117">
        <f t="shared" si="50"/>
        <v>0</v>
      </c>
      <c r="EM18" s="117">
        <f t="shared" si="51"/>
        <v>0</v>
      </c>
      <c r="EN18" s="117">
        <f t="shared" si="52"/>
        <v>0</v>
      </c>
      <c r="EO18" s="118"/>
      <c r="EP18" s="119">
        <f t="shared" si="53"/>
        <v>0</v>
      </c>
      <c r="EQ18" s="118"/>
      <c r="ER18" s="125"/>
      <c r="ES18" s="121"/>
      <c r="ET18" s="131">
        <f t="shared" si="54"/>
        <v>-104264.26</v>
      </c>
      <c r="EU18" s="71"/>
      <c r="EV18" s="116">
        <f t="shared" si="55"/>
        <v>3087</v>
      </c>
      <c r="EW18" s="117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7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7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7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7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7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7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7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7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7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7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7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7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7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7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7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7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7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7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7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7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7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7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7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7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7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7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7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7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7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7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7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7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7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7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8"/>
      <c r="GG18" s="119">
        <f t="shared" ca="1" si="56"/>
        <v>0</v>
      </c>
      <c r="GH18" s="118"/>
      <c r="GI18" s="125"/>
      <c r="GJ18" s="121"/>
      <c r="GK18" s="122">
        <f t="shared" ca="1" si="57"/>
        <v>-104264.26</v>
      </c>
    </row>
    <row r="19" spans="1:193" ht="15">
      <c r="A19" s="386" t="s">
        <v>401</v>
      </c>
      <c r="B19" s="202"/>
      <c r="C19" s="199"/>
      <c r="D19" s="398"/>
      <c r="E19" s="399">
        <f t="shared" si="0"/>
        <v>0</v>
      </c>
      <c r="F19" s="400">
        <f t="shared" si="1"/>
        <v>0</v>
      </c>
      <c r="G19" s="201" t="str">
        <f t="shared" si="2"/>
        <v/>
      </c>
      <c r="H19" s="404">
        <f t="shared" si="58"/>
        <v>0</v>
      </c>
      <c r="I19" s="732">
        <f t="shared" si="3"/>
        <v>0</v>
      </c>
      <c r="J19" s="61"/>
      <c r="K19" s="372">
        <f>IFERROR(+L19/$L$18-1,"")</f>
        <v>5.0000000000000044E-2</v>
      </c>
      <c r="L19" s="502">
        <f t="shared" ref="L19:L34" si="71">+L18*(1+$N$42)</f>
        <v>3241.3500000000004</v>
      </c>
      <c r="M19" s="423">
        <f t="shared" si="5"/>
        <v>-104264.26</v>
      </c>
      <c r="N19" s="423">
        <f t="shared" ca="1" si="6"/>
        <v>-104264.26</v>
      </c>
      <c r="O19" s="61"/>
      <c r="P19" s="197" t="str">
        <f t="shared" si="59"/>
        <v>-</v>
      </c>
      <c r="Q19" s="362">
        <f t="shared" si="69"/>
        <v>0</v>
      </c>
      <c r="R19" s="395"/>
      <c r="S19" s="389">
        <f t="shared" ca="1" si="60"/>
        <v>0</v>
      </c>
      <c r="T19" s="330" t="str">
        <f t="shared" si="61"/>
        <v/>
      </c>
      <c r="U19" s="330" t="str">
        <f t="shared" si="62"/>
        <v/>
      </c>
      <c r="V19" s="328">
        <f>IFERROR(VLOOKUP($U19,HomeBroker!$A$30:$F$60,2,0),0)</f>
        <v>0</v>
      </c>
      <c r="W19" s="392">
        <f>IFERROR(VLOOKUP($U19,HomeBroker!$A$30:$F$60,3,0),0)</f>
        <v>0</v>
      </c>
      <c r="X19" s="497">
        <f>IFERROR(VLOOKUP($U19,HomeBroker!$A$30:$F$60,6,0),0)</f>
        <v>0</v>
      </c>
      <c r="Y19" s="391">
        <f>IFERROR(VLOOKUP($U19,HomeBroker!$A$30:$F$60,4,0),0)</f>
        <v>0</v>
      </c>
      <c r="Z19" s="328">
        <f>IFERROR(VLOOKUP($U19,HomeBroker!$A$30:$F$60,5,0),0)</f>
        <v>0</v>
      </c>
      <c r="AA19" s="331">
        <f>IFERROR(VLOOKUP($U19,HomeBroker!$A$30:$N$60,13,0),0)</f>
        <v>0</v>
      </c>
      <c r="AB19" s="198" t="str">
        <f t="shared" si="63"/>
        <v>-</v>
      </c>
      <c r="AC19" s="107">
        <f t="shared" si="70"/>
        <v>0</v>
      </c>
      <c r="AD19" s="395"/>
      <c r="AE19" s="329">
        <f t="shared" ca="1" si="64"/>
        <v>0</v>
      </c>
      <c r="AF19" s="330" t="str">
        <f t="shared" si="65"/>
        <v/>
      </c>
      <c r="AG19" s="330" t="str">
        <f t="shared" si="66"/>
        <v/>
      </c>
      <c r="AH19" s="363">
        <f>IFERROR(VLOOKUP($AG19,HomeBroker!$A$30:$F$60,2,0),0)</f>
        <v>0</v>
      </c>
      <c r="AI19" s="392">
        <f>IFERROR(VLOOKUP($AG19,HomeBroker!$A$30:$F$60,3,0),0)</f>
        <v>0</v>
      </c>
      <c r="AJ19" s="497">
        <f>IFERROR(VLOOKUP($AG19,HomeBroker!$A$30:$F$60,6,0),0)</f>
        <v>0</v>
      </c>
      <c r="AK19" s="392">
        <f>IFERROR(VLOOKUP($AG19,HomeBroker!$A$30:$F$60,4,0),0)</f>
        <v>0</v>
      </c>
      <c r="AL19" s="363">
        <f>IFERROR(VLOOKUP($AG19,HomeBroker!$A$30:$F$60,5,0),0)</f>
        <v>0</v>
      </c>
      <c r="AM19" s="394">
        <f>IFERROR(VLOOKUP($AG19,HomeBroker!$A$30:$N$60,13,0),0)</f>
        <v>0</v>
      </c>
      <c r="AN19" s="61"/>
      <c r="AO19" s="197" t="str">
        <f t="shared" si="67"/>
        <v>-</v>
      </c>
      <c r="AP19" s="61"/>
      <c r="AQ19" s="61"/>
      <c r="AR19" s="61"/>
      <c r="AS19" s="109"/>
      <c r="AT19" s="123" t="s">
        <v>352</v>
      </c>
      <c r="AU19" s="111"/>
      <c r="AV19" s="126"/>
      <c r="AW19" s="127"/>
      <c r="AX19" s="213">
        <f t="shared" si="11"/>
        <v>0</v>
      </c>
      <c r="AY19" s="214">
        <f t="shared" si="12"/>
        <v>0</v>
      </c>
      <c r="AZ19" s="113" t="s">
        <v>402</v>
      </c>
      <c r="BA19" s="111"/>
      <c r="BB19" s="128"/>
      <c r="BC19" s="114"/>
      <c r="BD19" s="215">
        <f t="shared" si="13"/>
        <v>0</v>
      </c>
      <c r="BE19" s="217">
        <f t="shared" si="14"/>
        <v>0</v>
      </c>
      <c r="BF19" s="115" t="s">
        <v>403</v>
      </c>
      <c r="BG19" s="111"/>
      <c r="BH19" s="114"/>
      <c r="BI19" s="218">
        <f t="shared" si="15"/>
        <v>0</v>
      </c>
      <c r="BJ19" s="219">
        <f t="shared" si="16"/>
        <v>0</v>
      </c>
      <c r="DE19" s="116">
        <f t="shared" si="17"/>
        <v>3241.3500000000004</v>
      </c>
      <c r="DF19" s="117">
        <f t="shared" si="18"/>
        <v>0</v>
      </c>
      <c r="DG19" s="117">
        <f t="shared" si="19"/>
        <v>0</v>
      </c>
      <c r="DH19" s="117">
        <f t="shared" si="20"/>
        <v>0</v>
      </c>
      <c r="DI19" s="117">
        <f t="shared" si="21"/>
        <v>0</v>
      </c>
      <c r="DJ19" s="117">
        <f t="shared" si="22"/>
        <v>0</v>
      </c>
      <c r="DK19" s="117">
        <f t="shared" si="23"/>
        <v>0</v>
      </c>
      <c r="DL19" s="117">
        <f t="shared" si="24"/>
        <v>0</v>
      </c>
      <c r="DM19" s="117">
        <f t="shared" si="25"/>
        <v>0</v>
      </c>
      <c r="DN19" s="117">
        <f t="shared" si="26"/>
        <v>0</v>
      </c>
      <c r="DO19" s="117">
        <f t="shared" si="27"/>
        <v>0</v>
      </c>
      <c r="DP19" s="117">
        <f t="shared" si="28"/>
        <v>0</v>
      </c>
      <c r="DQ19" s="117">
        <f t="shared" si="29"/>
        <v>0</v>
      </c>
      <c r="DR19" s="117">
        <f t="shared" si="30"/>
        <v>0</v>
      </c>
      <c r="DS19" s="117">
        <f t="shared" si="31"/>
        <v>0</v>
      </c>
      <c r="DT19" s="117">
        <f t="shared" si="32"/>
        <v>0</v>
      </c>
      <c r="DU19" s="117">
        <f t="shared" si="33"/>
        <v>0</v>
      </c>
      <c r="DV19" s="117">
        <f t="shared" si="34"/>
        <v>0</v>
      </c>
      <c r="DW19" s="117">
        <f t="shared" si="35"/>
        <v>0</v>
      </c>
      <c r="DX19" s="117">
        <f t="shared" si="36"/>
        <v>0</v>
      </c>
      <c r="DY19" s="117">
        <f t="shared" si="37"/>
        <v>0</v>
      </c>
      <c r="DZ19" s="117">
        <f t="shared" si="38"/>
        <v>0</v>
      </c>
      <c r="EA19" s="117">
        <f t="shared" si="39"/>
        <v>0</v>
      </c>
      <c r="EB19" s="117">
        <f t="shared" si="40"/>
        <v>0</v>
      </c>
      <c r="EC19" s="117">
        <f t="shared" si="41"/>
        <v>0</v>
      </c>
      <c r="ED19" s="117">
        <f t="shared" si="42"/>
        <v>0</v>
      </c>
      <c r="EE19" s="117">
        <f t="shared" si="43"/>
        <v>0</v>
      </c>
      <c r="EF19" s="117">
        <f t="shared" si="44"/>
        <v>0</v>
      </c>
      <c r="EG19" s="117">
        <f t="shared" si="45"/>
        <v>0</v>
      </c>
      <c r="EH19" s="117">
        <f t="shared" si="46"/>
        <v>0</v>
      </c>
      <c r="EI19" s="117">
        <f t="shared" si="47"/>
        <v>0</v>
      </c>
      <c r="EJ19" s="117">
        <f t="shared" si="48"/>
        <v>0</v>
      </c>
      <c r="EK19" s="117">
        <f t="shared" si="49"/>
        <v>0</v>
      </c>
      <c r="EL19" s="117">
        <f t="shared" si="50"/>
        <v>0</v>
      </c>
      <c r="EM19" s="117">
        <f t="shared" si="51"/>
        <v>0</v>
      </c>
      <c r="EN19" s="117">
        <f t="shared" si="52"/>
        <v>0</v>
      </c>
      <c r="EO19" s="118"/>
      <c r="EP19" s="119">
        <f t="shared" si="53"/>
        <v>0</v>
      </c>
      <c r="EQ19" s="118"/>
      <c r="ER19" s="125"/>
      <c r="ES19" s="121"/>
      <c r="ET19" s="122">
        <f t="shared" si="54"/>
        <v>-104264.26</v>
      </c>
      <c r="EU19" s="71"/>
      <c r="EV19" s="116">
        <f t="shared" si="55"/>
        <v>3241.3500000000004</v>
      </c>
      <c r="EW19" s="117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7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7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7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7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7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7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7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7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7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7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7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7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7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7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7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7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7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7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7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7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7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7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7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7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7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7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7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7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7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7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7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7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7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7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8"/>
      <c r="GG19" s="119">
        <f t="shared" ca="1" si="56"/>
        <v>0</v>
      </c>
      <c r="GH19" s="118"/>
      <c r="GI19" s="125"/>
      <c r="GJ19" s="121"/>
      <c r="GK19" s="122">
        <f t="shared" ca="1" si="57"/>
        <v>-104264.26</v>
      </c>
    </row>
    <row r="20" spans="1:193" ht="15">
      <c r="A20" s="386" t="s">
        <v>401</v>
      </c>
      <c r="B20" s="202"/>
      <c r="C20" s="199"/>
      <c r="D20" s="398"/>
      <c r="E20" s="399">
        <f t="shared" si="0"/>
        <v>0</v>
      </c>
      <c r="F20" s="400">
        <f t="shared" si="1"/>
        <v>0</v>
      </c>
      <c r="G20" s="201" t="str">
        <f t="shared" si="2"/>
        <v/>
      </c>
      <c r="H20" s="404">
        <f t="shared" si="58"/>
        <v>0</v>
      </c>
      <c r="I20" s="732">
        <f t="shared" si="3"/>
        <v>0</v>
      </c>
      <c r="J20" s="61"/>
      <c r="K20" s="373">
        <f t="shared" ref="K20:K23" si="72">IFERROR(+L20/$L$18-1,"")</f>
        <v>0.10250000000000026</v>
      </c>
      <c r="L20" s="502">
        <f t="shared" si="71"/>
        <v>3403.4175000000005</v>
      </c>
      <c r="M20" s="423">
        <f t="shared" si="5"/>
        <v>-104264.26</v>
      </c>
      <c r="N20" s="423">
        <f t="shared" ca="1" si="6"/>
        <v>-104264.26</v>
      </c>
      <c r="O20" s="61"/>
      <c r="P20" s="197" t="str">
        <f t="shared" si="59"/>
        <v>-</v>
      </c>
      <c r="Q20" s="362">
        <f t="shared" si="69"/>
        <v>0</v>
      </c>
      <c r="R20" s="395"/>
      <c r="S20" s="389">
        <f t="shared" ca="1" si="60"/>
        <v>0</v>
      </c>
      <c r="T20" s="330" t="str">
        <f t="shared" si="61"/>
        <v/>
      </c>
      <c r="U20" s="330" t="str">
        <f t="shared" si="62"/>
        <v/>
      </c>
      <c r="V20" s="328">
        <f>IFERROR(VLOOKUP($U20,HomeBroker!$A$30:$F$60,2,0),0)</f>
        <v>0</v>
      </c>
      <c r="W20" s="392">
        <f>IFERROR(VLOOKUP($U20,HomeBroker!$A$30:$F$60,3,0),0)</f>
        <v>0</v>
      </c>
      <c r="X20" s="497">
        <f>IFERROR(VLOOKUP($U20,HomeBroker!$A$30:$F$60,6,0),0)</f>
        <v>0</v>
      </c>
      <c r="Y20" s="391">
        <f>IFERROR(VLOOKUP($U20,HomeBroker!$A$30:$F$60,4,0),0)</f>
        <v>0</v>
      </c>
      <c r="Z20" s="328">
        <f>IFERROR(VLOOKUP($U20,HomeBroker!$A$30:$F$60,5,0),0)</f>
        <v>0</v>
      </c>
      <c r="AA20" s="331">
        <f>IFERROR(VLOOKUP($U20,HomeBroker!$A$30:$N$60,13,0),0)</f>
        <v>0</v>
      </c>
      <c r="AB20" s="198" t="str">
        <f t="shared" si="63"/>
        <v>-</v>
      </c>
      <c r="AC20" s="107">
        <f t="shared" si="70"/>
        <v>0</v>
      </c>
      <c r="AD20" s="395"/>
      <c r="AE20" s="329">
        <f t="shared" ca="1" si="64"/>
        <v>0</v>
      </c>
      <c r="AF20" s="330" t="str">
        <f t="shared" si="65"/>
        <v/>
      </c>
      <c r="AG20" s="330" t="str">
        <f t="shared" si="66"/>
        <v/>
      </c>
      <c r="AH20" s="363">
        <f>IFERROR(VLOOKUP($AG20,HomeBroker!$A$30:$F$60,2,0),0)</f>
        <v>0</v>
      </c>
      <c r="AI20" s="392">
        <f>IFERROR(VLOOKUP($AG20,HomeBroker!$A$30:$F$60,3,0),0)</f>
        <v>0</v>
      </c>
      <c r="AJ20" s="497">
        <f>IFERROR(VLOOKUP($AG20,HomeBroker!$A$30:$F$60,6,0),0)</f>
        <v>0</v>
      </c>
      <c r="AK20" s="392">
        <f>IFERROR(VLOOKUP($AG20,HomeBroker!$A$30:$F$60,4,0),0)</f>
        <v>0</v>
      </c>
      <c r="AL20" s="363">
        <f>IFERROR(VLOOKUP($AG20,HomeBroker!$A$30:$F$60,5,0),0)</f>
        <v>0</v>
      </c>
      <c r="AM20" s="394">
        <f>IFERROR(VLOOKUP($AG20,HomeBroker!$A$30:$N$60,13,0),0)</f>
        <v>0</v>
      </c>
      <c r="AN20" s="61"/>
      <c r="AO20" s="197" t="str">
        <f t="shared" si="67"/>
        <v>-</v>
      </c>
      <c r="AP20" s="61"/>
      <c r="AQ20" s="61"/>
      <c r="AR20" s="61"/>
      <c r="AS20" s="109"/>
      <c r="AT20" s="123" t="s">
        <v>352</v>
      </c>
      <c r="AU20" s="111"/>
      <c r="AV20" s="126"/>
      <c r="AW20" s="127"/>
      <c r="AX20" s="213">
        <f t="shared" si="11"/>
        <v>0</v>
      </c>
      <c r="AY20" s="214">
        <f t="shared" si="12"/>
        <v>0</v>
      </c>
      <c r="AZ20" s="113" t="s">
        <v>402</v>
      </c>
      <c r="BA20" s="111"/>
      <c r="BB20" s="128"/>
      <c r="BC20" s="114"/>
      <c r="BD20" s="215">
        <f t="shared" si="13"/>
        <v>0</v>
      </c>
      <c r="BE20" s="217">
        <f t="shared" si="14"/>
        <v>0</v>
      </c>
      <c r="BF20" s="115" t="s">
        <v>403</v>
      </c>
      <c r="BG20" s="111"/>
      <c r="BH20" s="114"/>
      <c r="BI20" s="218">
        <f t="shared" si="15"/>
        <v>0</v>
      </c>
      <c r="BJ20" s="219">
        <f t="shared" si="16"/>
        <v>0</v>
      </c>
      <c r="DE20" s="116">
        <f t="shared" si="17"/>
        <v>3403.4175000000005</v>
      </c>
      <c r="DF20" s="117">
        <f t="shared" si="18"/>
        <v>0</v>
      </c>
      <c r="DG20" s="117">
        <f t="shared" si="19"/>
        <v>0</v>
      </c>
      <c r="DH20" s="117">
        <f t="shared" si="20"/>
        <v>0</v>
      </c>
      <c r="DI20" s="117">
        <f t="shared" si="21"/>
        <v>0</v>
      </c>
      <c r="DJ20" s="117">
        <f t="shared" si="22"/>
        <v>0</v>
      </c>
      <c r="DK20" s="117">
        <f t="shared" si="23"/>
        <v>0</v>
      </c>
      <c r="DL20" s="117">
        <f t="shared" si="24"/>
        <v>0</v>
      </c>
      <c r="DM20" s="117">
        <f t="shared" si="25"/>
        <v>0</v>
      </c>
      <c r="DN20" s="117">
        <f t="shared" si="26"/>
        <v>0</v>
      </c>
      <c r="DO20" s="117">
        <f t="shared" si="27"/>
        <v>0</v>
      </c>
      <c r="DP20" s="117">
        <f t="shared" si="28"/>
        <v>0</v>
      </c>
      <c r="DQ20" s="117">
        <f t="shared" si="29"/>
        <v>0</v>
      </c>
      <c r="DR20" s="117">
        <f t="shared" si="30"/>
        <v>0</v>
      </c>
      <c r="DS20" s="117">
        <f t="shared" si="31"/>
        <v>0</v>
      </c>
      <c r="DT20" s="117">
        <f t="shared" si="32"/>
        <v>0</v>
      </c>
      <c r="DU20" s="117">
        <f t="shared" si="33"/>
        <v>0</v>
      </c>
      <c r="DV20" s="117">
        <f t="shared" si="34"/>
        <v>0</v>
      </c>
      <c r="DW20" s="117">
        <f t="shared" si="35"/>
        <v>0</v>
      </c>
      <c r="DX20" s="117">
        <f t="shared" si="36"/>
        <v>0</v>
      </c>
      <c r="DY20" s="117">
        <f t="shared" si="37"/>
        <v>0</v>
      </c>
      <c r="DZ20" s="117">
        <f t="shared" si="38"/>
        <v>0</v>
      </c>
      <c r="EA20" s="117">
        <f t="shared" si="39"/>
        <v>0</v>
      </c>
      <c r="EB20" s="117">
        <f t="shared" si="40"/>
        <v>0</v>
      </c>
      <c r="EC20" s="117">
        <f t="shared" si="41"/>
        <v>0</v>
      </c>
      <c r="ED20" s="117">
        <f t="shared" si="42"/>
        <v>0</v>
      </c>
      <c r="EE20" s="117">
        <f t="shared" si="43"/>
        <v>0</v>
      </c>
      <c r="EF20" s="117">
        <f t="shared" si="44"/>
        <v>0</v>
      </c>
      <c r="EG20" s="117">
        <f t="shared" si="45"/>
        <v>0</v>
      </c>
      <c r="EH20" s="117">
        <f t="shared" si="46"/>
        <v>0</v>
      </c>
      <c r="EI20" s="117">
        <f t="shared" si="47"/>
        <v>0</v>
      </c>
      <c r="EJ20" s="117">
        <f t="shared" si="48"/>
        <v>0</v>
      </c>
      <c r="EK20" s="117">
        <f t="shared" si="49"/>
        <v>0</v>
      </c>
      <c r="EL20" s="117">
        <f t="shared" si="50"/>
        <v>0</v>
      </c>
      <c r="EM20" s="117">
        <f t="shared" si="51"/>
        <v>0</v>
      </c>
      <c r="EN20" s="117">
        <f t="shared" si="52"/>
        <v>0</v>
      </c>
      <c r="EO20" s="118"/>
      <c r="EP20" s="119">
        <f t="shared" si="53"/>
        <v>0</v>
      </c>
      <c r="EQ20" s="118"/>
      <c r="ER20" s="125"/>
      <c r="ES20" s="121"/>
      <c r="ET20" s="122">
        <f t="shared" si="54"/>
        <v>-104264.26</v>
      </c>
      <c r="EU20" s="71"/>
      <c r="EV20" s="116">
        <f t="shared" si="55"/>
        <v>3403.4175000000005</v>
      </c>
      <c r="EW20" s="117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7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7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7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7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7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7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7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7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7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7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7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7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7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7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7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7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7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7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7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7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7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7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7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7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7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7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7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7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7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7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7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7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7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7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8"/>
      <c r="GG20" s="119">
        <f t="shared" ca="1" si="56"/>
        <v>0</v>
      </c>
      <c r="GH20" s="118"/>
      <c r="GI20" s="125"/>
      <c r="GJ20" s="121"/>
      <c r="GK20" s="122">
        <f t="shared" ca="1" si="57"/>
        <v>-104264.26</v>
      </c>
    </row>
    <row r="21" spans="1:193" ht="15">
      <c r="A21" s="386" t="s">
        <v>401</v>
      </c>
      <c r="B21" s="202"/>
      <c r="C21" s="199"/>
      <c r="D21" s="398"/>
      <c r="E21" s="399">
        <f t="shared" si="0"/>
        <v>0</v>
      </c>
      <c r="F21" s="400">
        <f t="shared" si="1"/>
        <v>0</v>
      </c>
      <c r="G21" s="201" t="str">
        <f t="shared" si="2"/>
        <v/>
      </c>
      <c r="H21" s="404">
        <f t="shared" si="58"/>
        <v>0</v>
      </c>
      <c r="I21" s="732">
        <f t="shared" si="3"/>
        <v>0</v>
      </c>
      <c r="J21" s="61"/>
      <c r="K21" s="373">
        <f t="shared" si="72"/>
        <v>0.15762500000000013</v>
      </c>
      <c r="L21" s="502">
        <f t="shared" si="71"/>
        <v>3573.5883750000007</v>
      </c>
      <c r="M21" s="424">
        <f t="shared" si="5"/>
        <v>-104264.26</v>
      </c>
      <c r="N21" s="424">
        <f t="shared" ca="1" si="6"/>
        <v>-104264.26</v>
      </c>
      <c r="O21" s="61"/>
      <c r="P21" s="197" t="str">
        <f t="shared" si="59"/>
        <v>-</v>
      </c>
      <c r="Q21" s="362">
        <f t="shared" si="69"/>
        <v>0</v>
      </c>
      <c r="R21" s="395"/>
      <c r="S21" s="389">
        <f t="shared" ca="1" si="60"/>
        <v>0</v>
      </c>
      <c r="T21" s="330" t="str">
        <f t="shared" si="61"/>
        <v/>
      </c>
      <c r="U21" s="330" t="str">
        <f t="shared" si="62"/>
        <v/>
      </c>
      <c r="V21" s="328">
        <f>IFERROR(VLOOKUP($U21,HomeBroker!$A$30:$F$60,2,0),0)</f>
        <v>0</v>
      </c>
      <c r="W21" s="392">
        <f>IFERROR(VLOOKUP($U21,HomeBroker!$A$30:$F$60,3,0),0)</f>
        <v>0</v>
      </c>
      <c r="X21" s="497">
        <f>IFERROR(VLOOKUP($U21,HomeBroker!$A$30:$F$60,6,0),0)</f>
        <v>0</v>
      </c>
      <c r="Y21" s="391">
        <f>IFERROR(VLOOKUP($U21,HomeBroker!$A$30:$F$60,4,0),0)</f>
        <v>0</v>
      </c>
      <c r="Z21" s="328">
        <f>IFERROR(VLOOKUP($U21,HomeBroker!$A$30:$F$60,5,0),0)</f>
        <v>0</v>
      </c>
      <c r="AA21" s="331">
        <f>IFERROR(VLOOKUP($U21,HomeBroker!$A$30:$N$60,13,0),0)</f>
        <v>0</v>
      </c>
      <c r="AB21" s="198" t="str">
        <f t="shared" si="63"/>
        <v>-</v>
      </c>
      <c r="AC21" s="107">
        <f t="shared" si="70"/>
        <v>0</v>
      </c>
      <c r="AD21" s="395"/>
      <c r="AE21" s="329">
        <f t="shared" ca="1" si="64"/>
        <v>0</v>
      </c>
      <c r="AF21" s="330" t="str">
        <f t="shared" si="65"/>
        <v/>
      </c>
      <c r="AG21" s="330" t="str">
        <f t="shared" si="66"/>
        <v/>
      </c>
      <c r="AH21" s="363">
        <f>IFERROR(VLOOKUP($AG21,HomeBroker!$A$30:$F$60,2,0),0)</f>
        <v>0</v>
      </c>
      <c r="AI21" s="392">
        <f>IFERROR(VLOOKUP($AG21,HomeBroker!$A$30:$F$60,3,0),0)</f>
        <v>0</v>
      </c>
      <c r="AJ21" s="497">
        <f>IFERROR(VLOOKUP($AG21,HomeBroker!$A$30:$F$60,6,0),0)</f>
        <v>0</v>
      </c>
      <c r="AK21" s="392">
        <f>IFERROR(VLOOKUP($AG21,HomeBroker!$A$30:$F$60,4,0),0)</f>
        <v>0</v>
      </c>
      <c r="AL21" s="363">
        <f>IFERROR(VLOOKUP($AG21,HomeBroker!$A$30:$F$60,5,0),0)</f>
        <v>0</v>
      </c>
      <c r="AM21" s="394">
        <f>IFERROR(VLOOKUP($AG21,HomeBroker!$A$30:$N$60,13,0),0)</f>
        <v>0</v>
      </c>
      <c r="AN21" s="61"/>
      <c r="AO21" s="197" t="str">
        <f t="shared" si="67"/>
        <v>-</v>
      </c>
      <c r="AP21" s="61"/>
      <c r="AQ21" s="61"/>
      <c r="AR21" s="61"/>
      <c r="AS21" s="109"/>
      <c r="AT21" s="123" t="s">
        <v>352</v>
      </c>
      <c r="AU21" s="111"/>
      <c r="AV21" s="126"/>
      <c r="AW21" s="127"/>
      <c r="AX21" s="213">
        <f t="shared" si="11"/>
        <v>0</v>
      </c>
      <c r="AY21" s="214">
        <f t="shared" si="12"/>
        <v>0</v>
      </c>
      <c r="AZ21" s="113" t="s">
        <v>402</v>
      </c>
      <c r="BA21" s="111"/>
      <c r="BB21" s="128"/>
      <c r="BC21" s="114"/>
      <c r="BD21" s="215">
        <f t="shared" si="13"/>
        <v>0</v>
      </c>
      <c r="BE21" s="217">
        <f t="shared" si="14"/>
        <v>0</v>
      </c>
      <c r="BF21" s="115" t="s">
        <v>403</v>
      </c>
      <c r="BG21" s="111"/>
      <c r="BH21" s="114"/>
      <c r="BI21" s="218">
        <f t="shared" si="15"/>
        <v>0</v>
      </c>
      <c r="BJ21" s="219">
        <f t="shared" si="16"/>
        <v>0</v>
      </c>
      <c r="DE21" s="116">
        <f t="shared" si="17"/>
        <v>3573.5883750000007</v>
      </c>
      <c r="DF21" s="117">
        <f t="shared" si="18"/>
        <v>0</v>
      </c>
      <c r="DG21" s="117">
        <f t="shared" si="19"/>
        <v>0</v>
      </c>
      <c r="DH21" s="117">
        <f t="shared" si="20"/>
        <v>0</v>
      </c>
      <c r="DI21" s="117">
        <f t="shared" si="21"/>
        <v>0</v>
      </c>
      <c r="DJ21" s="117">
        <f t="shared" si="22"/>
        <v>0</v>
      </c>
      <c r="DK21" s="117">
        <f t="shared" si="23"/>
        <v>0</v>
      </c>
      <c r="DL21" s="117">
        <f t="shared" si="24"/>
        <v>0</v>
      </c>
      <c r="DM21" s="117">
        <f t="shared" si="25"/>
        <v>0</v>
      </c>
      <c r="DN21" s="117">
        <f t="shared" si="26"/>
        <v>0</v>
      </c>
      <c r="DO21" s="117">
        <f t="shared" si="27"/>
        <v>0</v>
      </c>
      <c r="DP21" s="117">
        <f t="shared" si="28"/>
        <v>0</v>
      </c>
      <c r="DQ21" s="117">
        <f t="shared" si="29"/>
        <v>0</v>
      </c>
      <c r="DR21" s="117">
        <f t="shared" si="30"/>
        <v>0</v>
      </c>
      <c r="DS21" s="117">
        <f t="shared" si="31"/>
        <v>0</v>
      </c>
      <c r="DT21" s="117">
        <f t="shared" si="32"/>
        <v>0</v>
      </c>
      <c r="DU21" s="117">
        <f t="shared" si="33"/>
        <v>0</v>
      </c>
      <c r="DV21" s="117">
        <f t="shared" si="34"/>
        <v>0</v>
      </c>
      <c r="DW21" s="117">
        <f t="shared" si="35"/>
        <v>0</v>
      </c>
      <c r="DX21" s="117">
        <f t="shared" si="36"/>
        <v>0</v>
      </c>
      <c r="DY21" s="117">
        <f t="shared" si="37"/>
        <v>0</v>
      </c>
      <c r="DZ21" s="117">
        <f t="shared" si="38"/>
        <v>0</v>
      </c>
      <c r="EA21" s="117">
        <f t="shared" si="39"/>
        <v>0</v>
      </c>
      <c r="EB21" s="117">
        <f t="shared" si="40"/>
        <v>0</v>
      </c>
      <c r="EC21" s="117">
        <f t="shared" si="41"/>
        <v>0</v>
      </c>
      <c r="ED21" s="117">
        <f t="shared" si="42"/>
        <v>0</v>
      </c>
      <c r="EE21" s="117">
        <f t="shared" si="43"/>
        <v>0</v>
      </c>
      <c r="EF21" s="117">
        <f t="shared" si="44"/>
        <v>0</v>
      </c>
      <c r="EG21" s="117">
        <f t="shared" si="45"/>
        <v>0</v>
      </c>
      <c r="EH21" s="117">
        <f t="shared" si="46"/>
        <v>0</v>
      </c>
      <c r="EI21" s="117">
        <f t="shared" si="47"/>
        <v>0</v>
      </c>
      <c r="EJ21" s="117">
        <f t="shared" si="48"/>
        <v>0</v>
      </c>
      <c r="EK21" s="117">
        <f t="shared" si="49"/>
        <v>0</v>
      </c>
      <c r="EL21" s="117">
        <f t="shared" si="50"/>
        <v>0</v>
      </c>
      <c r="EM21" s="117">
        <f t="shared" si="51"/>
        <v>0</v>
      </c>
      <c r="EN21" s="117">
        <f t="shared" si="52"/>
        <v>0</v>
      </c>
      <c r="EO21" s="118"/>
      <c r="EP21" s="119">
        <f t="shared" si="53"/>
        <v>0</v>
      </c>
      <c r="EQ21" s="118"/>
      <c r="ER21" s="125"/>
      <c r="ES21" s="121"/>
      <c r="ET21" s="122">
        <f t="shared" si="54"/>
        <v>-104264.26</v>
      </c>
      <c r="EU21" s="71"/>
      <c r="EV21" s="116">
        <f t="shared" si="55"/>
        <v>3573.5883750000007</v>
      </c>
      <c r="EW21" s="117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7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7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7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7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7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7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7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7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7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7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7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7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7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7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7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7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7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7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7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7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7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7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7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7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7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7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7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7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7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7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7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7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7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7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8"/>
      <c r="GG21" s="119">
        <f t="shared" ca="1" si="56"/>
        <v>0</v>
      </c>
      <c r="GH21" s="118"/>
      <c r="GI21" s="125"/>
      <c r="GJ21" s="121"/>
      <c r="GK21" s="122">
        <f t="shared" ca="1" si="57"/>
        <v>-104264.26</v>
      </c>
    </row>
    <row r="22" spans="1:193" ht="15">
      <c r="A22" s="386" t="s">
        <v>401</v>
      </c>
      <c r="B22" s="202"/>
      <c r="C22" s="199"/>
      <c r="D22" s="398"/>
      <c r="E22" s="399">
        <f t="shared" si="0"/>
        <v>0</v>
      </c>
      <c r="F22" s="400">
        <f t="shared" si="1"/>
        <v>0</v>
      </c>
      <c r="G22" s="201" t="str">
        <f t="shared" si="2"/>
        <v/>
      </c>
      <c r="H22" s="404">
        <f t="shared" si="58"/>
        <v>0</v>
      </c>
      <c r="I22" s="732">
        <f t="shared" si="3"/>
        <v>0</v>
      </c>
      <c r="J22" s="61"/>
      <c r="K22" s="373">
        <f t="shared" si="72"/>
        <v>0.21550625000000023</v>
      </c>
      <c r="L22" s="502">
        <f t="shared" si="71"/>
        <v>3752.2677937500007</v>
      </c>
      <c r="M22" s="423">
        <f t="shared" si="5"/>
        <v>-104264.26</v>
      </c>
      <c r="N22" s="423">
        <f t="shared" ca="1" si="6"/>
        <v>-104264.26</v>
      </c>
      <c r="O22" s="61"/>
      <c r="P22" s="197" t="str">
        <f t="shared" si="59"/>
        <v>-</v>
      </c>
      <c r="Q22" s="362">
        <f t="shared" si="69"/>
        <v>0</v>
      </c>
      <c r="R22" s="395"/>
      <c r="S22" s="389">
        <f t="shared" ca="1" si="60"/>
        <v>0</v>
      </c>
      <c r="T22" s="330" t="str">
        <f t="shared" si="61"/>
        <v/>
      </c>
      <c r="U22" s="330" t="str">
        <f t="shared" si="62"/>
        <v/>
      </c>
      <c r="V22" s="328">
        <f>IFERROR(VLOOKUP($U22,HomeBroker!$A$30:$F$60,2,0),0)</f>
        <v>0</v>
      </c>
      <c r="W22" s="392">
        <f>IFERROR(VLOOKUP($U22,HomeBroker!$A$30:$F$60,3,0),0)</f>
        <v>0</v>
      </c>
      <c r="X22" s="497">
        <f>IFERROR(VLOOKUP($U22,HomeBroker!$A$30:$F$60,6,0),0)</f>
        <v>0</v>
      </c>
      <c r="Y22" s="391">
        <f>IFERROR(VLOOKUP($U22,HomeBroker!$A$30:$F$60,4,0),0)</f>
        <v>0</v>
      </c>
      <c r="Z22" s="328">
        <f>IFERROR(VLOOKUP($U22,HomeBroker!$A$30:$F$60,5,0),0)</f>
        <v>0</v>
      </c>
      <c r="AA22" s="331">
        <f>IFERROR(VLOOKUP($U22,HomeBroker!$A$30:$N$60,13,0),0)</f>
        <v>0</v>
      </c>
      <c r="AB22" s="198" t="str">
        <f t="shared" si="63"/>
        <v>-</v>
      </c>
      <c r="AC22" s="107">
        <f t="shared" si="70"/>
        <v>0</v>
      </c>
      <c r="AD22" s="395"/>
      <c r="AE22" s="329">
        <f t="shared" ca="1" si="64"/>
        <v>0</v>
      </c>
      <c r="AF22" s="330" t="str">
        <f t="shared" si="65"/>
        <v/>
      </c>
      <c r="AG22" s="330" t="str">
        <f t="shared" si="66"/>
        <v/>
      </c>
      <c r="AH22" s="363">
        <f>IFERROR(VLOOKUP($AG22,HomeBroker!$A$30:$F$60,2,0),0)</f>
        <v>0</v>
      </c>
      <c r="AI22" s="392">
        <f>IFERROR(VLOOKUP($AG22,HomeBroker!$A$30:$F$60,3,0),0)</f>
        <v>0</v>
      </c>
      <c r="AJ22" s="497">
        <f>IFERROR(VLOOKUP($AG22,HomeBroker!$A$30:$F$60,6,0),0)</f>
        <v>0</v>
      </c>
      <c r="AK22" s="392">
        <f>IFERROR(VLOOKUP($AG22,HomeBroker!$A$30:$F$60,4,0),0)</f>
        <v>0</v>
      </c>
      <c r="AL22" s="363">
        <f>IFERROR(VLOOKUP($AG22,HomeBroker!$A$30:$F$60,5,0),0)</f>
        <v>0</v>
      </c>
      <c r="AM22" s="394">
        <f>IFERROR(VLOOKUP($AG22,HomeBroker!$A$30:$N$60,13,0),0)</f>
        <v>0</v>
      </c>
      <c r="AN22" s="61"/>
      <c r="AO22" s="197" t="str">
        <f t="shared" si="67"/>
        <v>-</v>
      </c>
      <c r="AP22" s="61"/>
      <c r="AQ22" s="61"/>
      <c r="AR22" s="61"/>
      <c r="AS22" s="109"/>
      <c r="AT22" s="123" t="s">
        <v>352</v>
      </c>
      <c r="AU22" s="111"/>
      <c r="AV22" s="126"/>
      <c r="AW22" s="127"/>
      <c r="AX22" s="213">
        <f t="shared" si="11"/>
        <v>0</v>
      </c>
      <c r="AY22" s="214">
        <f t="shared" si="12"/>
        <v>0</v>
      </c>
      <c r="AZ22" s="113" t="s">
        <v>402</v>
      </c>
      <c r="BA22" s="111"/>
      <c r="BB22" s="128"/>
      <c r="BC22" s="114"/>
      <c r="BD22" s="215">
        <f t="shared" si="13"/>
        <v>0</v>
      </c>
      <c r="BE22" s="217">
        <f t="shared" si="14"/>
        <v>0</v>
      </c>
      <c r="BF22" s="115" t="s">
        <v>403</v>
      </c>
      <c r="BG22" s="111"/>
      <c r="BH22" s="114"/>
      <c r="BI22" s="218">
        <f t="shared" si="15"/>
        <v>0</v>
      </c>
      <c r="BJ22" s="219">
        <f t="shared" si="16"/>
        <v>0</v>
      </c>
      <c r="DE22" s="116">
        <f t="shared" si="17"/>
        <v>3752.2677937500007</v>
      </c>
      <c r="DF22" s="117">
        <f t="shared" si="18"/>
        <v>0</v>
      </c>
      <c r="DG22" s="117">
        <f t="shared" si="19"/>
        <v>0</v>
      </c>
      <c r="DH22" s="117">
        <f t="shared" si="20"/>
        <v>0</v>
      </c>
      <c r="DI22" s="117">
        <f t="shared" si="21"/>
        <v>0</v>
      </c>
      <c r="DJ22" s="117">
        <f t="shared" si="22"/>
        <v>0</v>
      </c>
      <c r="DK22" s="117">
        <f t="shared" si="23"/>
        <v>0</v>
      </c>
      <c r="DL22" s="117">
        <f t="shared" si="24"/>
        <v>0</v>
      </c>
      <c r="DM22" s="117">
        <f t="shared" si="25"/>
        <v>0</v>
      </c>
      <c r="DN22" s="117">
        <f t="shared" si="26"/>
        <v>0</v>
      </c>
      <c r="DO22" s="117">
        <f t="shared" si="27"/>
        <v>0</v>
      </c>
      <c r="DP22" s="117">
        <f t="shared" si="28"/>
        <v>0</v>
      </c>
      <c r="DQ22" s="117">
        <f t="shared" si="29"/>
        <v>0</v>
      </c>
      <c r="DR22" s="117">
        <f t="shared" si="30"/>
        <v>0</v>
      </c>
      <c r="DS22" s="117">
        <f t="shared" si="31"/>
        <v>0</v>
      </c>
      <c r="DT22" s="117">
        <f t="shared" si="32"/>
        <v>0</v>
      </c>
      <c r="DU22" s="117">
        <f t="shared" si="33"/>
        <v>0</v>
      </c>
      <c r="DV22" s="117">
        <f t="shared" si="34"/>
        <v>0</v>
      </c>
      <c r="DW22" s="117">
        <f t="shared" si="35"/>
        <v>0</v>
      </c>
      <c r="DX22" s="117">
        <f t="shared" si="36"/>
        <v>0</v>
      </c>
      <c r="DY22" s="117">
        <f t="shared" si="37"/>
        <v>0</v>
      </c>
      <c r="DZ22" s="117">
        <f t="shared" si="38"/>
        <v>0</v>
      </c>
      <c r="EA22" s="117">
        <f t="shared" si="39"/>
        <v>0</v>
      </c>
      <c r="EB22" s="117">
        <f t="shared" si="40"/>
        <v>0</v>
      </c>
      <c r="EC22" s="117">
        <f t="shared" si="41"/>
        <v>0</v>
      </c>
      <c r="ED22" s="117">
        <f t="shared" si="42"/>
        <v>0</v>
      </c>
      <c r="EE22" s="117">
        <f t="shared" si="43"/>
        <v>0</v>
      </c>
      <c r="EF22" s="117">
        <f t="shared" si="44"/>
        <v>0</v>
      </c>
      <c r="EG22" s="117">
        <f t="shared" si="45"/>
        <v>0</v>
      </c>
      <c r="EH22" s="117">
        <f t="shared" si="46"/>
        <v>0</v>
      </c>
      <c r="EI22" s="117">
        <f t="shared" si="47"/>
        <v>0</v>
      </c>
      <c r="EJ22" s="117">
        <f t="shared" si="48"/>
        <v>0</v>
      </c>
      <c r="EK22" s="117">
        <f t="shared" si="49"/>
        <v>0</v>
      </c>
      <c r="EL22" s="117">
        <f t="shared" si="50"/>
        <v>0</v>
      </c>
      <c r="EM22" s="117">
        <f t="shared" si="51"/>
        <v>0</v>
      </c>
      <c r="EN22" s="117">
        <f t="shared" si="52"/>
        <v>0</v>
      </c>
      <c r="EO22" s="118"/>
      <c r="EP22" s="119">
        <f t="shared" si="53"/>
        <v>0</v>
      </c>
      <c r="EQ22" s="118"/>
      <c r="ER22" s="125"/>
      <c r="ES22" s="121"/>
      <c r="ET22" s="122">
        <f t="shared" si="54"/>
        <v>-104264.26</v>
      </c>
      <c r="EU22" s="71"/>
      <c r="EV22" s="116">
        <f t="shared" si="55"/>
        <v>3752.2677937500007</v>
      </c>
      <c r="EW22" s="117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7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7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7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7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7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7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7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7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7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7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7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7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7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7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7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7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7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7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7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7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7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7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7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7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7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7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7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7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7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7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7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7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7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7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8"/>
      <c r="GG22" s="119">
        <f t="shared" ca="1" si="56"/>
        <v>0</v>
      </c>
      <c r="GH22" s="118"/>
      <c r="GI22" s="125"/>
      <c r="GJ22" s="121"/>
      <c r="GK22" s="122">
        <f t="shared" ca="1" si="57"/>
        <v>-104264.26</v>
      </c>
    </row>
    <row r="23" spans="1:193" ht="15">
      <c r="A23" s="386" t="s">
        <v>401</v>
      </c>
      <c r="B23" s="202"/>
      <c r="C23" s="199"/>
      <c r="D23" s="398"/>
      <c r="E23" s="399">
        <f t="shared" si="0"/>
        <v>0</v>
      </c>
      <c r="F23" s="400">
        <f t="shared" si="1"/>
        <v>0</v>
      </c>
      <c r="G23" s="201" t="str">
        <f t="shared" si="2"/>
        <v/>
      </c>
      <c r="H23" s="404">
        <f t="shared" si="58"/>
        <v>0</v>
      </c>
      <c r="I23" s="732">
        <f t="shared" si="3"/>
        <v>0</v>
      </c>
      <c r="J23" s="61"/>
      <c r="K23" s="373">
        <f t="shared" si="72"/>
        <v>0.27628156250000035</v>
      </c>
      <c r="L23" s="502">
        <f t="shared" si="71"/>
        <v>3939.881183437501</v>
      </c>
      <c r="M23" s="423">
        <f t="shared" si="5"/>
        <v>-104264.26</v>
      </c>
      <c r="N23" s="423">
        <f t="shared" ca="1" si="6"/>
        <v>-104264.26</v>
      </c>
      <c r="O23" s="61"/>
      <c r="P23" s="197" t="str">
        <f t="shared" si="59"/>
        <v>-</v>
      </c>
      <c r="Q23" s="362">
        <f t="shared" si="69"/>
        <v>0</v>
      </c>
      <c r="R23" s="193"/>
      <c r="S23" s="389">
        <f t="shared" ca="1" si="60"/>
        <v>0</v>
      </c>
      <c r="T23" s="330" t="str">
        <f t="shared" si="61"/>
        <v/>
      </c>
      <c r="U23" s="330" t="str">
        <f t="shared" si="62"/>
        <v/>
      </c>
      <c r="V23" s="328">
        <f>IFERROR(VLOOKUP($U23,HomeBroker!$A$30:$F$60,2,0),0)</f>
        <v>0</v>
      </c>
      <c r="W23" s="392">
        <f>IFERROR(VLOOKUP($U23,HomeBroker!$A$30:$F$60,3,0),0)</f>
        <v>0</v>
      </c>
      <c r="X23" s="497">
        <f>IFERROR(VLOOKUP($U23,HomeBroker!$A$30:$F$60,6,0),0)</f>
        <v>0</v>
      </c>
      <c r="Y23" s="391">
        <f>IFERROR(VLOOKUP($U23,HomeBroker!$A$30:$F$60,4,0),0)</f>
        <v>0</v>
      </c>
      <c r="Z23" s="328">
        <f>IFERROR(VLOOKUP($U23,HomeBroker!$A$30:$F$60,5,0),0)</f>
        <v>0</v>
      </c>
      <c r="AA23" s="331">
        <f>IFERROR(VLOOKUP($U23,HomeBroker!$A$30:$N$60,13,0),0)</f>
        <v>0</v>
      </c>
      <c r="AB23" s="198" t="str">
        <f t="shared" si="63"/>
        <v>-</v>
      </c>
      <c r="AC23" s="107">
        <f t="shared" si="70"/>
        <v>0</v>
      </c>
      <c r="AD23" s="193"/>
      <c r="AE23" s="329">
        <f t="shared" ca="1" si="64"/>
        <v>0</v>
      </c>
      <c r="AF23" s="330" t="str">
        <f t="shared" si="65"/>
        <v/>
      </c>
      <c r="AG23" s="330" t="str">
        <f t="shared" si="66"/>
        <v/>
      </c>
      <c r="AH23" s="363">
        <f>IFERROR(VLOOKUP($AG23,HomeBroker!$A$30:$F$60,2,0),0)</f>
        <v>0</v>
      </c>
      <c r="AI23" s="392">
        <f>IFERROR(VLOOKUP($AG23,HomeBroker!$A$30:$F$60,3,0),0)</f>
        <v>0</v>
      </c>
      <c r="AJ23" s="497">
        <f>IFERROR(VLOOKUP($AG23,HomeBroker!$A$30:$F$60,6,0),0)</f>
        <v>0</v>
      </c>
      <c r="AK23" s="392">
        <f>IFERROR(VLOOKUP($AG23,HomeBroker!$A$30:$F$60,4,0),0)</f>
        <v>0</v>
      </c>
      <c r="AL23" s="363">
        <f>IFERROR(VLOOKUP($AG23,HomeBroker!$A$30:$F$60,5,0),0)</f>
        <v>0</v>
      </c>
      <c r="AM23" s="394">
        <f>IFERROR(VLOOKUP($AG23,HomeBroker!$A$30:$N$60,13,0),0)</f>
        <v>0</v>
      </c>
      <c r="AN23" s="61"/>
      <c r="AO23" s="197" t="str">
        <f t="shared" si="67"/>
        <v>-</v>
      </c>
      <c r="AP23" s="61"/>
      <c r="AQ23" s="61"/>
      <c r="AR23" s="61"/>
      <c r="AS23" s="109"/>
      <c r="AT23" s="123" t="s">
        <v>352</v>
      </c>
      <c r="AU23" s="111"/>
      <c r="AV23" s="126"/>
      <c r="AW23" s="127"/>
      <c r="AX23" s="213">
        <f t="shared" si="11"/>
        <v>0</v>
      </c>
      <c r="AY23" s="214">
        <f t="shared" si="12"/>
        <v>0</v>
      </c>
      <c r="AZ23" s="113" t="s">
        <v>402</v>
      </c>
      <c r="BA23" s="111"/>
      <c r="BB23" s="128"/>
      <c r="BC23" s="114"/>
      <c r="BD23" s="215">
        <f t="shared" si="13"/>
        <v>0</v>
      </c>
      <c r="BE23" s="217">
        <f t="shared" si="14"/>
        <v>0</v>
      </c>
      <c r="BF23" s="115" t="s">
        <v>403</v>
      </c>
      <c r="BG23" s="111"/>
      <c r="BH23" s="114"/>
      <c r="BI23" s="218">
        <f t="shared" si="15"/>
        <v>0</v>
      </c>
      <c r="BJ23" s="219">
        <f t="shared" si="16"/>
        <v>0</v>
      </c>
      <c r="DE23" s="116">
        <f t="shared" si="17"/>
        <v>3939.881183437501</v>
      </c>
      <c r="DF23" s="117">
        <f t="shared" si="18"/>
        <v>0</v>
      </c>
      <c r="DG23" s="117">
        <f t="shared" si="19"/>
        <v>0</v>
      </c>
      <c r="DH23" s="117">
        <f t="shared" si="20"/>
        <v>0</v>
      </c>
      <c r="DI23" s="117">
        <f t="shared" si="21"/>
        <v>0</v>
      </c>
      <c r="DJ23" s="117">
        <f t="shared" si="22"/>
        <v>0</v>
      </c>
      <c r="DK23" s="117">
        <f t="shared" si="23"/>
        <v>0</v>
      </c>
      <c r="DL23" s="117">
        <f t="shared" si="24"/>
        <v>0</v>
      </c>
      <c r="DM23" s="117">
        <f t="shared" si="25"/>
        <v>0</v>
      </c>
      <c r="DN23" s="117">
        <f t="shared" si="26"/>
        <v>0</v>
      </c>
      <c r="DO23" s="117">
        <f t="shared" si="27"/>
        <v>0</v>
      </c>
      <c r="DP23" s="117">
        <f t="shared" si="28"/>
        <v>0</v>
      </c>
      <c r="DQ23" s="117">
        <f t="shared" si="29"/>
        <v>0</v>
      </c>
      <c r="DR23" s="117">
        <f t="shared" si="30"/>
        <v>0</v>
      </c>
      <c r="DS23" s="117">
        <f t="shared" si="31"/>
        <v>0</v>
      </c>
      <c r="DT23" s="117">
        <f t="shared" si="32"/>
        <v>0</v>
      </c>
      <c r="DU23" s="117">
        <f t="shared" si="33"/>
        <v>0</v>
      </c>
      <c r="DV23" s="117">
        <f t="shared" si="34"/>
        <v>0</v>
      </c>
      <c r="DW23" s="117">
        <f t="shared" si="35"/>
        <v>0</v>
      </c>
      <c r="DX23" s="117">
        <f t="shared" si="36"/>
        <v>0</v>
      </c>
      <c r="DY23" s="117">
        <f t="shared" si="37"/>
        <v>0</v>
      </c>
      <c r="DZ23" s="117">
        <f t="shared" si="38"/>
        <v>0</v>
      </c>
      <c r="EA23" s="117">
        <f t="shared" si="39"/>
        <v>0</v>
      </c>
      <c r="EB23" s="117">
        <f t="shared" si="40"/>
        <v>0</v>
      </c>
      <c r="EC23" s="117">
        <f t="shared" si="41"/>
        <v>0</v>
      </c>
      <c r="ED23" s="117">
        <f t="shared" si="42"/>
        <v>0</v>
      </c>
      <c r="EE23" s="117">
        <f t="shared" si="43"/>
        <v>0</v>
      </c>
      <c r="EF23" s="117">
        <f t="shared" si="44"/>
        <v>0</v>
      </c>
      <c r="EG23" s="117">
        <f t="shared" si="45"/>
        <v>0</v>
      </c>
      <c r="EH23" s="117">
        <f t="shared" si="46"/>
        <v>0</v>
      </c>
      <c r="EI23" s="117">
        <f t="shared" si="47"/>
        <v>0</v>
      </c>
      <c r="EJ23" s="117">
        <f t="shared" si="48"/>
        <v>0</v>
      </c>
      <c r="EK23" s="117">
        <f t="shared" si="49"/>
        <v>0</v>
      </c>
      <c r="EL23" s="117">
        <f t="shared" si="50"/>
        <v>0</v>
      </c>
      <c r="EM23" s="117">
        <f t="shared" si="51"/>
        <v>0</v>
      </c>
      <c r="EN23" s="117">
        <f t="shared" si="52"/>
        <v>0</v>
      </c>
      <c r="EO23" s="118"/>
      <c r="EP23" s="119">
        <f t="shared" si="53"/>
        <v>0</v>
      </c>
      <c r="EQ23" s="118"/>
      <c r="ER23" s="125"/>
      <c r="ES23" s="121"/>
      <c r="ET23" s="122">
        <f t="shared" si="54"/>
        <v>-104264.26</v>
      </c>
      <c r="EU23" s="71"/>
      <c r="EV23" s="116">
        <f t="shared" si="55"/>
        <v>3939.881183437501</v>
      </c>
      <c r="EW23" s="117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7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7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7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7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7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7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7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7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7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7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7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7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7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7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7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7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7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7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7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7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7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7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7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7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7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7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7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7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7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7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7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7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7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7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8"/>
      <c r="GG23" s="119">
        <f t="shared" ca="1" si="56"/>
        <v>0</v>
      </c>
      <c r="GH23" s="118"/>
      <c r="GI23" s="125"/>
      <c r="GJ23" s="121"/>
      <c r="GK23" s="122">
        <f t="shared" ca="1" si="57"/>
        <v>-104264.26</v>
      </c>
    </row>
    <row r="24" spans="1:193" ht="15">
      <c r="A24" s="386" t="s">
        <v>401</v>
      </c>
      <c r="B24" s="202"/>
      <c r="C24" s="199"/>
      <c r="D24" s="398"/>
      <c r="E24" s="399">
        <f t="shared" si="0"/>
        <v>0</v>
      </c>
      <c r="F24" s="400">
        <f t="shared" si="1"/>
        <v>0</v>
      </c>
      <c r="G24" s="201" t="str">
        <f t="shared" si="2"/>
        <v/>
      </c>
      <c r="H24" s="404">
        <f t="shared" si="58"/>
        <v>0</v>
      </c>
      <c r="I24" s="732">
        <f t="shared" si="3"/>
        <v>0</v>
      </c>
      <c r="J24" s="61"/>
      <c r="K24" s="370">
        <f>IFERROR(+L24/$L$18-1,"")</f>
        <v>0.34009564062500042</v>
      </c>
      <c r="L24" s="501">
        <f t="shared" si="71"/>
        <v>4136.8752426093761</v>
      </c>
      <c r="M24" s="424">
        <f t="shared" si="5"/>
        <v>-104264.26</v>
      </c>
      <c r="N24" s="424">
        <f t="shared" ca="1" si="6"/>
        <v>-104264.26</v>
      </c>
      <c r="O24" s="61"/>
      <c r="P24" s="197" t="str">
        <f t="shared" si="59"/>
        <v>-</v>
      </c>
      <c r="Q24" s="362">
        <f t="shared" si="69"/>
        <v>0</v>
      </c>
      <c r="R24" s="193"/>
      <c r="S24" s="389">
        <f t="shared" ca="1" si="60"/>
        <v>0</v>
      </c>
      <c r="T24" s="330" t="str">
        <f t="shared" si="61"/>
        <v/>
      </c>
      <c r="U24" s="330" t="str">
        <f t="shared" si="62"/>
        <v/>
      </c>
      <c r="V24" s="328">
        <f>IFERROR(VLOOKUP($U24,HomeBroker!$A$30:$F$60,2,0),0)</f>
        <v>0</v>
      </c>
      <c r="W24" s="392">
        <f>IFERROR(VLOOKUP($U24,HomeBroker!$A$30:$F$60,3,0),0)</f>
        <v>0</v>
      </c>
      <c r="X24" s="497">
        <f>IFERROR(VLOOKUP($U24,HomeBroker!$A$30:$F$60,6,0),0)</f>
        <v>0</v>
      </c>
      <c r="Y24" s="391">
        <f>IFERROR(VLOOKUP($U24,HomeBroker!$A$30:$F$60,4,0),0)</f>
        <v>0</v>
      </c>
      <c r="Z24" s="328">
        <f>IFERROR(VLOOKUP($U24,HomeBroker!$A$30:$F$60,5,0),0)</f>
        <v>0</v>
      </c>
      <c r="AA24" s="331">
        <f>IFERROR(VLOOKUP($U24,HomeBroker!$A$30:$N$60,13,0),0)</f>
        <v>0</v>
      </c>
      <c r="AB24" s="198" t="str">
        <f t="shared" si="63"/>
        <v>-</v>
      </c>
      <c r="AC24" s="107">
        <f t="shared" si="70"/>
        <v>0</v>
      </c>
      <c r="AD24" s="193"/>
      <c r="AE24" s="329">
        <f t="shared" ca="1" si="64"/>
        <v>0</v>
      </c>
      <c r="AF24" s="330" t="str">
        <f t="shared" si="65"/>
        <v/>
      </c>
      <c r="AG24" s="330" t="str">
        <f t="shared" si="66"/>
        <v/>
      </c>
      <c r="AH24" s="363">
        <f>IFERROR(VLOOKUP($AG24,HomeBroker!$A$30:$F$60,2,0),0)</f>
        <v>0</v>
      </c>
      <c r="AI24" s="392">
        <f>IFERROR(VLOOKUP($AG24,HomeBroker!$A$30:$F$60,3,0),0)</f>
        <v>0</v>
      </c>
      <c r="AJ24" s="497">
        <f>IFERROR(VLOOKUP($AG24,HomeBroker!$A$30:$F$60,6,0),0)</f>
        <v>0</v>
      </c>
      <c r="AK24" s="392">
        <f>IFERROR(VLOOKUP($AG24,HomeBroker!$A$30:$F$60,4,0),0)</f>
        <v>0</v>
      </c>
      <c r="AL24" s="363">
        <f>IFERROR(VLOOKUP($AG24,HomeBroker!$A$30:$F$60,5,0),0)</f>
        <v>0</v>
      </c>
      <c r="AM24" s="394">
        <f>IFERROR(VLOOKUP($AG24,HomeBroker!$A$30:$N$60,13,0),0)</f>
        <v>0</v>
      </c>
      <c r="AN24" s="61"/>
      <c r="AO24" s="197" t="str">
        <f t="shared" si="67"/>
        <v>-</v>
      </c>
      <c r="AP24" s="61"/>
      <c r="AQ24" s="61"/>
      <c r="AR24" s="61"/>
      <c r="AS24" s="109"/>
      <c r="AT24" s="123" t="s">
        <v>352</v>
      </c>
      <c r="AU24" s="111"/>
      <c r="AV24" s="126"/>
      <c r="AW24" s="127"/>
      <c r="AX24" s="213">
        <f t="shared" si="11"/>
        <v>0</v>
      </c>
      <c r="AY24" s="214">
        <f t="shared" si="12"/>
        <v>0</v>
      </c>
      <c r="AZ24" s="113" t="s">
        <v>402</v>
      </c>
      <c r="BA24" s="111"/>
      <c r="BB24" s="128"/>
      <c r="BC24" s="114"/>
      <c r="BD24" s="215">
        <f t="shared" si="13"/>
        <v>0</v>
      </c>
      <c r="BE24" s="217">
        <f t="shared" si="14"/>
        <v>0</v>
      </c>
      <c r="BF24" s="115" t="s">
        <v>403</v>
      </c>
      <c r="BG24" s="111"/>
      <c r="BH24" s="114"/>
      <c r="BI24" s="218">
        <f t="shared" si="15"/>
        <v>0</v>
      </c>
      <c r="BJ24" s="219">
        <f t="shared" si="16"/>
        <v>0</v>
      </c>
      <c r="DE24" s="116">
        <f t="shared" si="17"/>
        <v>4136.8752426093761</v>
      </c>
      <c r="DF24" s="117">
        <f t="shared" si="18"/>
        <v>0</v>
      </c>
      <c r="DG24" s="117">
        <f t="shared" si="19"/>
        <v>0</v>
      </c>
      <c r="DH24" s="117">
        <f t="shared" si="20"/>
        <v>0</v>
      </c>
      <c r="DI24" s="117">
        <f t="shared" si="21"/>
        <v>0</v>
      </c>
      <c r="DJ24" s="117">
        <f t="shared" si="22"/>
        <v>0</v>
      </c>
      <c r="DK24" s="117">
        <f t="shared" si="23"/>
        <v>0</v>
      </c>
      <c r="DL24" s="117">
        <f t="shared" si="24"/>
        <v>0</v>
      </c>
      <c r="DM24" s="117">
        <f t="shared" si="25"/>
        <v>0</v>
      </c>
      <c r="DN24" s="117">
        <f t="shared" si="26"/>
        <v>0</v>
      </c>
      <c r="DO24" s="117">
        <f t="shared" si="27"/>
        <v>0</v>
      </c>
      <c r="DP24" s="117">
        <f t="shared" si="28"/>
        <v>0</v>
      </c>
      <c r="DQ24" s="117">
        <f t="shared" si="29"/>
        <v>0</v>
      </c>
      <c r="DR24" s="117">
        <f t="shared" si="30"/>
        <v>0</v>
      </c>
      <c r="DS24" s="117">
        <f t="shared" si="31"/>
        <v>0</v>
      </c>
      <c r="DT24" s="117">
        <f t="shared" si="32"/>
        <v>0</v>
      </c>
      <c r="DU24" s="117">
        <f t="shared" si="33"/>
        <v>0</v>
      </c>
      <c r="DV24" s="117">
        <f t="shared" si="34"/>
        <v>0</v>
      </c>
      <c r="DW24" s="117">
        <f t="shared" si="35"/>
        <v>0</v>
      </c>
      <c r="DX24" s="117">
        <f t="shared" si="36"/>
        <v>0</v>
      </c>
      <c r="DY24" s="117">
        <f t="shared" si="37"/>
        <v>0</v>
      </c>
      <c r="DZ24" s="117">
        <f t="shared" si="38"/>
        <v>0</v>
      </c>
      <c r="EA24" s="117">
        <f t="shared" si="39"/>
        <v>0</v>
      </c>
      <c r="EB24" s="117">
        <f t="shared" si="40"/>
        <v>0</v>
      </c>
      <c r="EC24" s="117">
        <f t="shared" si="41"/>
        <v>0</v>
      </c>
      <c r="ED24" s="117">
        <f t="shared" si="42"/>
        <v>0</v>
      </c>
      <c r="EE24" s="117">
        <f t="shared" si="43"/>
        <v>0</v>
      </c>
      <c r="EF24" s="117">
        <f t="shared" si="44"/>
        <v>0</v>
      </c>
      <c r="EG24" s="117">
        <f t="shared" si="45"/>
        <v>0</v>
      </c>
      <c r="EH24" s="117">
        <f t="shared" si="46"/>
        <v>0</v>
      </c>
      <c r="EI24" s="117">
        <f t="shared" si="47"/>
        <v>0</v>
      </c>
      <c r="EJ24" s="117">
        <f t="shared" si="48"/>
        <v>0</v>
      </c>
      <c r="EK24" s="117">
        <f t="shared" si="49"/>
        <v>0</v>
      </c>
      <c r="EL24" s="117">
        <f t="shared" si="50"/>
        <v>0</v>
      </c>
      <c r="EM24" s="117">
        <f t="shared" si="51"/>
        <v>0</v>
      </c>
      <c r="EN24" s="117">
        <f t="shared" si="52"/>
        <v>0</v>
      </c>
      <c r="EO24" s="118"/>
      <c r="EP24" s="119">
        <f t="shared" si="53"/>
        <v>0</v>
      </c>
      <c r="EQ24" s="118"/>
      <c r="ER24" s="125"/>
      <c r="ES24" s="121"/>
      <c r="ET24" s="122">
        <f t="shared" si="54"/>
        <v>-104264.26</v>
      </c>
      <c r="EU24" s="71"/>
      <c r="EV24" s="116">
        <f t="shared" si="55"/>
        <v>4136.8752426093761</v>
      </c>
      <c r="EW24" s="117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7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7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7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7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7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7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7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7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7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7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7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7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7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7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7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7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7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7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7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7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7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7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7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7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7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7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7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7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7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7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7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7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7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7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8"/>
      <c r="GG24" s="119">
        <f t="shared" ca="1" si="56"/>
        <v>0</v>
      </c>
      <c r="GH24" s="118"/>
      <c r="GI24" s="125"/>
      <c r="GJ24" s="121"/>
      <c r="GK24" s="122">
        <f t="shared" ca="1" si="57"/>
        <v>-104264.26</v>
      </c>
    </row>
    <row r="25" spans="1:193" ht="15">
      <c r="A25" s="386" t="s">
        <v>401</v>
      </c>
      <c r="B25" s="202"/>
      <c r="C25" s="199"/>
      <c r="D25" s="398"/>
      <c r="E25" s="399">
        <f t="shared" si="0"/>
        <v>0</v>
      </c>
      <c r="F25" s="400">
        <f t="shared" si="1"/>
        <v>0</v>
      </c>
      <c r="G25" s="201" t="str">
        <f t="shared" si="2"/>
        <v/>
      </c>
      <c r="H25" s="404">
        <f t="shared" si="58"/>
        <v>0</v>
      </c>
      <c r="I25" s="732">
        <f t="shared" si="3"/>
        <v>0</v>
      </c>
      <c r="J25" s="61"/>
      <c r="K25" s="371"/>
      <c r="L25" s="501">
        <f t="shared" si="71"/>
        <v>4343.7190047398453</v>
      </c>
      <c r="M25" s="423">
        <f t="shared" si="5"/>
        <v>1045487.77</v>
      </c>
      <c r="N25" s="423">
        <f t="shared" ca="1" si="6"/>
        <v>-104264.26</v>
      </c>
      <c r="O25" s="61"/>
      <c r="P25" s="197" t="str">
        <f t="shared" si="59"/>
        <v>-</v>
      </c>
      <c r="Q25" s="362">
        <f t="shared" si="69"/>
        <v>0</v>
      </c>
      <c r="R25" s="193"/>
      <c r="S25" s="389">
        <f t="shared" ca="1" si="60"/>
        <v>0</v>
      </c>
      <c r="T25" s="330" t="str">
        <f t="shared" si="61"/>
        <v/>
      </c>
      <c r="U25" s="330" t="str">
        <f t="shared" si="62"/>
        <v/>
      </c>
      <c r="V25" s="328">
        <f>IFERROR(VLOOKUP($U25,HomeBroker!$A$30:$F$60,2,0),0)</f>
        <v>0</v>
      </c>
      <c r="W25" s="392">
        <f>IFERROR(VLOOKUP($U25,HomeBroker!$A$30:$F$60,3,0),0)</f>
        <v>0</v>
      </c>
      <c r="X25" s="497">
        <f>IFERROR(VLOOKUP($U25,HomeBroker!$A$30:$F$60,6,0),0)</f>
        <v>0</v>
      </c>
      <c r="Y25" s="391">
        <f>IFERROR(VLOOKUP($U25,HomeBroker!$A$30:$F$60,4,0),0)</f>
        <v>0</v>
      </c>
      <c r="Z25" s="328">
        <f>IFERROR(VLOOKUP($U25,HomeBroker!$A$30:$F$60,5,0),0)</f>
        <v>0</v>
      </c>
      <c r="AA25" s="331">
        <f>IFERROR(VLOOKUP($U25,HomeBroker!$A$30:$N$60,13,0),0)</f>
        <v>0</v>
      </c>
      <c r="AB25" s="198" t="str">
        <f t="shared" si="63"/>
        <v>-</v>
      </c>
      <c r="AC25" s="107">
        <f t="shared" si="70"/>
        <v>0</v>
      </c>
      <c r="AD25" s="193"/>
      <c r="AE25" s="329">
        <f t="shared" ca="1" si="64"/>
        <v>0</v>
      </c>
      <c r="AF25" s="330" t="str">
        <f t="shared" si="65"/>
        <v/>
      </c>
      <c r="AG25" s="330" t="str">
        <f t="shared" si="66"/>
        <v/>
      </c>
      <c r="AH25" s="363">
        <f>IFERROR(VLOOKUP($AG25,HomeBroker!$A$30:$F$60,2,0),0)</f>
        <v>0</v>
      </c>
      <c r="AI25" s="392">
        <f>IFERROR(VLOOKUP($AG25,HomeBroker!$A$30:$F$60,3,0),0)</f>
        <v>0</v>
      </c>
      <c r="AJ25" s="497">
        <f>IFERROR(VLOOKUP($AG25,HomeBroker!$A$30:$F$60,6,0),0)</f>
        <v>0</v>
      </c>
      <c r="AK25" s="392">
        <f>IFERROR(VLOOKUP($AG25,HomeBroker!$A$30:$F$60,4,0),0)</f>
        <v>0</v>
      </c>
      <c r="AL25" s="363">
        <f>IFERROR(VLOOKUP($AG25,HomeBroker!$A$30:$F$60,5,0),0)</f>
        <v>0</v>
      </c>
      <c r="AM25" s="394">
        <f>IFERROR(VLOOKUP($AG25,HomeBroker!$A$30:$N$60,13,0),0)</f>
        <v>0</v>
      </c>
      <c r="AN25" s="61"/>
      <c r="AO25" s="197" t="str">
        <f t="shared" si="67"/>
        <v>-</v>
      </c>
      <c r="AP25" s="61"/>
      <c r="AQ25" s="61"/>
      <c r="AR25" s="61"/>
      <c r="AS25" s="109"/>
      <c r="AT25" s="123" t="s">
        <v>352</v>
      </c>
      <c r="AU25" s="111"/>
      <c r="AV25" s="126"/>
      <c r="AW25" s="127"/>
      <c r="AX25" s="213">
        <f t="shared" si="11"/>
        <v>0</v>
      </c>
      <c r="AY25" s="214">
        <f t="shared" si="12"/>
        <v>0</v>
      </c>
      <c r="AZ25" s="113" t="s">
        <v>402</v>
      </c>
      <c r="BA25" s="111"/>
      <c r="BB25" s="128"/>
      <c r="BC25" s="114"/>
      <c r="BD25" s="215">
        <f t="shared" si="13"/>
        <v>0</v>
      </c>
      <c r="BE25" s="217">
        <f t="shared" si="14"/>
        <v>0</v>
      </c>
      <c r="BF25" s="115" t="s">
        <v>403</v>
      </c>
      <c r="BG25" s="111"/>
      <c r="BH25" s="114"/>
      <c r="BI25" s="218">
        <f t="shared" si="15"/>
        <v>0</v>
      </c>
      <c r="BJ25" s="219">
        <f t="shared" si="16"/>
        <v>0</v>
      </c>
      <c r="DE25" s="116">
        <f t="shared" si="17"/>
        <v>4343.7190047398453</v>
      </c>
      <c r="DF25" s="117">
        <f t="shared" si="18"/>
        <v>574876.01895938138</v>
      </c>
      <c r="DG25" s="117">
        <f t="shared" si="19"/>
        <v>0</v>
      </c>
      <c r="DH25" s="117">
        <f t="shared" si="20"/>
        <v>0</v>
      </c>
      <c r="DI25" s="117">
        <f t="shared" si="21"/>
        <v>0</v>
      </c>
      <c r="DJ25" s="117">
        <f t="shared" si="22"/>
        <v>0</v>
      </c>
      <c r="DK25" s="117">
        <f t="shared" si="23"/>
        <v>0</v>
      </c>
      <c r="DL25" s="117">
        <f t="shared" si="24"/>
        <v>0</v>
      </c>
      <c r="DM25" s="117">
        <f t="shared" si="25"/>
        <v>0</v>
      </c>
      <c r="DN25" s="117">
        <f t="shared" si="26"/>
        <v>0</v>
      </c>
      <c r="DO25" s="117">
        <f t="shared" si="27"/>
        <v>0</v>
      </c>
      <c r="DP25" s="117">
        <f t="shared" si="28"/>
        <v>0</v>
      </c>
      <c r="DQ25" s="117">
        <f t="shared" si="29"/>
        <v>0</v>
      </c>
      <c r="DR25" s="117">
        <f t="shared" si="30"/>
        <v>0</v>
      </c>
      <c r="DS25" s="117">
        <f t="shared" si="31"/>
        <v>0</v>
      </c>
      <c r="DT25" s="117">
        <f t="shared" si="32"/>
        <v>0</v>
      </c>
      <c r="DU25" s="117">
        <f t="shared" si="33"/>
        <v>0</v>
      </c>
      <c r="DV25" s="117">
        <f t="shared" si="34"/>
        <v>0</v>
      </c>
      <c r="DW25" s="117">
        <f t="shared" si="35"/>
        <v>0</v>
      </c>
      <c r="DX25" s="117">
        <f t="shared" si="36"/>
        <v>0</v>
      </c>
      <c r="DY25" s="117">
        <f t="shared" si="37"/>
        <v>0</v>
      </c>
      <c r="DZ25" s="117">
        <f t="shared" si="38"/>
        <v>0</v>
      </c>
      <c r="EA25" s="117">
        <f t="shared" si="39"/>
        <v>0</v>
      </c>
      <c r="EB25" s="117">
        <f t="shared" si="40"/>
        <v>0</v>
      </c>
      <c r="EC25" s="117">
        <f t="shared" si="41"/>
        <v>0</v>
      </c>
      <c r="ED25" s="117">
        <f t="shared" si="42"/>
        <v>0</v>
      </c>
      <c r="EE25" s="117">
        <f t="shared" si="43"/>
        <v>0</v>
      </c>
      <c r="EF25" s="117">
        <f t="shared" si="44"/>
        <v>0</v>
      </c>
      <c r="EG25" s="117">
        <f t="shared" si="45"/>
        <v>0</v>
      </c>
      <c r="EH25" s="117">
        <f t="shared" si="46"/>
        <v>0</v>
      </c>
      <c r="EI25" s="117">
        <f t="shared" si="47"/>
        <v>0</v>
      </c>
      <c r="EJ25" s="117">
        <f t="shared" si="48"/>
        <v>0</v>
      </c>
      <c r="EK25" s="117">
        <f t="shared" si="49"/>
        <v>0</v>
      </c>
      <c r="EL25" s="117">
        <f t="shared" si="50"/>
        <v>0</v>
      </c>
      <c r="EM25" s="117">
        <f t="shared" si="51"/>
        <v>0</v>
      </c>
      <c r="EN25" s="117">
        <f t="shared" si="52"/>
        <v>0</v>
      </c>
      <c r="EO25" s="118"/>
      <c r="EP25" s="119">
        <f t="shared" si="53"/>
        <v>574876.01895938138</v>
      </c>
      <c r="EQ25" s="118"/>
      <c r="ER25" s="125"/>
      <c r="ES25" s="121"/>
      <c r="ET25" s="122">
        <f t="shared" si="54"/>
        <v>1045487.77</v>
      </c>
      <c r="EU25" s="71"/>
      <c r="EV25" s="116">
        <f t="shared" si="55"/>
        <v>4343.7190047398453</v>
      </c>
      <c r="EW25" s="117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7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7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7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7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7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7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7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7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7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7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7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7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7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7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7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7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7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7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7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7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7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7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7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7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7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7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7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7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7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7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7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7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7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7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8"/>
      <c r="GG25" s="119">
        <f t="shared" ca="1" si="56"/>
        <v>0</v>
      </c>
      <c r="GH25" s="118"/>
      <c r="GI25" s="125"/>
      <c r="GJ25" s="121"/>
      <c r="GK25" s="122">
        <f t="shared" ca="1" si="57"/>
        <v>-104264.26</v>
      </c>
    </row>
    <row r="26" spans="1:193" ht="15">
      <c r="A26" s="386" t="s">
        <v>401</v>
      </c>
      <c r="B26" s="202"/>
      <c r="C26" s="199"/>
      <c r="D26" s="398"/>
      <c r="E26" s="399">
        <f t="shared" si="0"/>
        <v>0</v>
      </c>
      <c r="F26" s="400">
        <f t="shared" si="1"/>
        <v>0</v>
      </c>
      <c r="G26" s="201" t="str">
        <f t="shared" si="2"/>
        <v/>
      </c>
      <c r="H26" s="404">
        <f t="shared" si="58"/>
        <v>0</v>
      </c>
      <c r="I26" s="732">
        <f t="shared" si="3"/>
        <v>0</v>
      </c>
      <c r="J26" s="61"/>
      <c r="K26" s="371"/>
      <c r="L26" s="501">
        <f t="shared" si="71"/>
        <v>4560.9049549768379</v>
      </c>
      <c r="M26" s="423">
        <f t="shared" si="5"/>
        <v>2782975.38</v>
      </c>
      <c r="N26" s="423">
        <f t="shared" ca="1" si="6"/>
        <v>-104264.26</v>
      </c>
      <c r="O26" s="61"/>
      <c r="P26" s="197" t="str">
        <f t="shared" si="59"/>
        <v>-</v>
      </c>
      <c r="Q26" s="362">
        <f t="shared" si="69"/>
        <v>0</v>
      </c>
      <c r="R26" s="193"/>
      <c r="S26" s="389">
        <f t="shared" ca="1" si="60"/>
        <v>0</v>
      </c>
      <c r="T26" s="330" t="str">
        <f t="shared" si="61"/>
        <v/>
      </c>
      <c r="U26" s="330" t="str">
        <f t="shared" si="62"/>
        <v/>
      </c>
      <c r="V26" s="328">
        <f>IFERROR(VLOOKUP($U26,HomeBroker!$A$30:$F$60,2,0),0)</f>
        <v>0</v>
      </c>
      <c r="W26" s="392">
        <f>IFERROR(VLOOKUP($U26,HomeBroker!$A$30:$F$60,3,0),0)</f>
        <v>0</v>
      </c>
      <c r="X26" s="497">
        <f>IFERROR(VLOOKUP($U26,HomeBroker!$A$30:$F$60,6,0),0)</f>
        <v>0</v>
      </c>
      <c r="Y26" s="391">
        <f>IFERROR(VLOOKUP($U26,HomeBroker!$A$30:$F$60,4,0),0)</f>
        <v>0</v>
      </c>
      <c r="Z26" s="328">
        <f>IFERROR(VLOOKUP($U26,HomeBroker!$A$30:$F$60,5,0),0)</f>
        <v>0</v>
      </c>
      <c r="AA26" s="331">
        <f>IFERROR(VLOOKUP($U26,HomeBroker!$A$30:$N$60,13,0),0)</f>
        <v>0</v>
      </c>
      <c r="AB26" s="198" t="str">
        <f t="shared" si="63"/>
        <v>-</v>
      </c>
      <c r="AC26" s="107">
        <f t="shared" si="70"/>
        <v>0</v>
      </c>
      <c r="AD26" s="193"/>
      <c r="AE26" s="329">
        <f t="shared" ca="1" si="64"/>
        <v>0</v>
      </c>
      <c r="AF26" s="330" t="str">
        <f t="shared" si="65"/>
        <v/>
      </c>
      <c r="AG26" s="330" t="str">
        <f t="shared" si="66"/>
        <v/>
      </c>
      <c r="AH26" s="363">
        <f>IFERROR(VLOOKUP($AG26,HomeBroker!$A$30:$F$60,2,0),0)</f>
        <v>0</v>
      </c>
      <c r="AI26" s="392">
        <f>IFERROR(VLOOKUP($AG26,HomeBroker!$A$30:$F$60,3,0),0)</f>
        <v>0</v>
      </c>
      <c r="AJ26" s="497">
        <f>IFERROR(VLOOKUP($AG26,HomeBroker!$A$30:$F$60,6,0),0)</f>
        <v>0</v>
      </c>
      <c r="AK26" s="392">
        <f>IFERROR(VLOOKUP($AG26,HomeBroker!$A$30:$F$60,4,0),0)</f>
        <v>0</v>
      </c>
      <c r="AL26" s="363">
        <f>IFERROR(VLOOKUP($AG26,HomeBroker!$A$30:$F$60,5,0),0)</f>
        <v>0</v>
      </c>
      <c r="AM26" s="394">
        <f>IFERROR(VLOOKUP($AG26,HomeBroker!$A$30:$N$60,13,0),0)</f>
        <v>0</v>
      </c>
      <c r="AN26" s="61"/>
      <c r="AO26" s="197" t="str">
        <f t="shared" si="67"/>
        <v>-</v>
      </c>
      <c r="AP26" s="61"/>
      <c r="AQ26" s="61"/>
      <c r="AR26" s="61"/>
      <c r="AS26" s="109"/>
      <c r="AT26" s="123" t="s">
        <v>352</v>
      </c>
      <c r="AU26" s="111"/>
      <c r="AV26" s="126"/>
      <c r="AW26" s="127"/>
      <c r="AX26" s="213">
        <f t="shared" si="11"/>
        <v>0</v>
      </c>
      <c r="AY26" s="214">
        <f t="shared" si="12"/>
        <v>0</v>
      </c>
      <c r="AZ26" s="113" t="s">
        <v>402</v>
      </c>
      <c r="BA26" s="111"/>
      <c r="BB26" s="128"/>
      <c r="BC26" s="114"/>
      <c r="BD26" s="215">
        <f t="shared" si="13"/>
        <v>0</v>
      </c>
      <c r="BE26" s="217">
        <f t="shared" si="14"/>
        <v>0</v>
      </c>
      <c r="BF26" s="115" t="s">
        <v>403</v>
      </c>
      <c r="BG26" s="111"/>
      <c r="BH26" s="114"/>
      <c r="BI26" s="218">
        <f t="shared" si="15"/>
        <v>0</v>
      </c>
      <c r="BJ26" s="219">
        <f t="shared" si="16"/>
        <v>0</v>
      </c>
      <c r="DE26" s="116">
        <f t="shared" si="17"/>
        <v>4560.9049549768379</v>
      </c>
      <c r="DF26" s="117">
        <f t="shared" si="18"/>
        <v>1443619.8199073514</v>
      </c>
      <c r="DG26" s="117">
        <f t="shared" si="19"/>
        <v>0</v>
      </c>
      <c r="DH26" s="117">
        <f t="shared" si="20"/>
        <v>0</v>
      </c>
      <c r="DI26" s="117">
        <f t="shared" si="21"/>
        <v>0</v>
      </c>
      <c r="DJ26" s="117">
        <f t="shared" si="22"/>
        <v>0</v>
      </c>
      <c r="DK26" s="117">
        <f t="shared" si="23"/>
        <v>0</v>
      </c>
      <c r="DL26" s="117">
        <f t="shared" si="24"/>
        <v>0</v>
      </c>
      <c r="DM26" s="117">
        <f t="shared" si="25"/>
        <v>0</v>
      </c>
      <c r="DN26" s="117">
        <f t="shared" si="26"/>
        <v>0</v>
      </c>
      <c r="DO26" s="117">
        <f t="shared" si="27"/>
        <v>0</v>
      </c>
      <c r="DP26" s="117">
        <f t="shared" si="28"/>
        <v>0</v>
      </c>
      <c r="DQ26" s="117">
        <f t="shared" si="29"/>
        <v>0</v>
      </c>
      <c r="DR26" s="117">
        <f t="shared" si="30"/>
        <v>0</v>
      </c>
      <c r="DS26" s="117">
        <f t="shared" si="31"/>
        <v>0</v>
      </c>
      <c r="DT26" s="117">
        <f t="shared" si="32"/>
        <v>0</v>
      </c>
      <c r="DU26" s="117">
        <f t="shared" si="33"/>
        <v>0</v>
      </c>
      <c r="DV26" s="117">
        <f t="shared" si="34"/>
        <v>0</v>
      </c>
      <c r="DW26" s="117">
        <f t="shared" si="35"/>
        <v>0</v>
      </c>
      <c r="DX26" s="117">
        <f t="shared" si="36"/>
        <v>0</v>
      </c>
      <c r="DY26" s="117">
        <f t="shared" si="37"/>
        <v>0</v>
      </c>
      <c r="DZ26" s="117">
        <f t="shared" si="38"/>
        <v>0</v>
      </c>
      <c r="EA26" s="117">
        <f t="shared" si="39"/>
        <v>0</v>
      </c>
      <c r="EB26" s="117">
        <f t="shared" si="40"/>
        <v>0</v>
      </c>
      <c r="EC26" s="117">
        <f t="shared" si="41"/>
        <v>0</v>
      </c>
      <c r="ED26" s="117">
        <f t="shared" si="42"/>
        <v>0</v>
      </c>
      <c r="EE26" s="117">
        <f t="shared" si="43"/>
        <v>0</v>
      </c>
      <c r="EF26" s="117">
        <f t="shared" si="44"/>
        <v>0</v>
      </c>
      <c r="EG26" s="117">
        <f t="shared" si="45"/>
        <v>0</v>
      </c>
      <c r="EH26" s="117">
        <f t="shared" si="46"/>
        <v>0</v>
      </c>
      <c r="EI26" s="117">
        <f t="shared" si="47"/>
        <v>0</v>
      </c>
      <c r="EJ26" s="117">
        <f t="shared" si="48"/>
        <v>0</v>
      </c>
      <c r="EK26" s="117">
        <f t="shared" si="49"/>
        <v>0</v>
      </c>
      <c r="EL26" s="117">
        <f t="shared" si="50"/>
        <v>0</v>
      </c>
      <c r="EM26" s="117">
        <f t="shared" si="51"/>
        <v>0</v>
      </c>
      <c r="EN26" s="117">
        <f t="shared" si="52"/>
        <v>0</v>
      </c>
      <c r="EO26" s="118"/>
      <c r="EP26" s="119">
        <f t="shared" si="53"/>
        <v>1443619.8199073514</v>
      </c>
      <c r="EQ26" s="118"/>
      <c r="ER26" s="125"/>
      <c r="ES26" s="121"/>
      <c r="ET26" s="122">
        <f t="shared" si="54"/>
        <v>2782975.38</v>
      </c>
      <c r="EU26" s="71"/>
      <c r="EV26" s="116">
        <f t="shared" si="55"/>
        <v>4560.9049549768379</v>
      </c>
      <c r="EW26" s="117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7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7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7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7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7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7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7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7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7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7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7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7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7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7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7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7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7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7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7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7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7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7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7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7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7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7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7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7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7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7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7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7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7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7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8"/>
      <c r="GG26" s="119">
        <f t="shared" ca="1" si="56"/>
        <v>0</v>
      </c>
      <c r="GH26" s="118"/>
      <c r="GI26" s="125"/>
      <c r="GJ26" s="121"/>
      <c r="GK26" s="122">
        <f t="shared" ca="1" si="57"/>
        <v>-104264.26</v>
      </c>
    </row>
    <row r="27" spans="1:193" ht="15">
      <c r="A27" s="386" t="s">
        <v>401</v>
      </c>
      <c r="B27" s="204"/>
      <c r="C27" s="199"/>
      <c r="D27" s="398"/>
      <c r="E27" s="399">
        <f t="shared" si="0"/>
        <v>0</v>
      </c>
      <c r="F27" s="400">
        <f t="shared" si="1"/>
        <v>0</v>
      </c>
      <c r="G27" s="201" t="str">
        <f t="shared" si="2"/>
        <v/>
      </c>
      <c r="H27" s="404">
        <f t="shared" si="58"/>
        <v>0</v>
      </c>
      <c r="I27" s="732">
        <f t="shared" si="3"/>
        <v>0</v>
      </c>
      <c r="J27" s="61"/>
      <c r="K27" s="371"/>
      <c r="L27" s="501">
        <f t="shared" si="71"/>
        <v>4788.9502027256804</v>
      </c>
      <c r="M27" s="424">
        <f t="shared" si="5"/>
        <v>4607337.3600000003</v>
      </c>
      <c r="N27" s="424">
        <f t="shared" ca="1" si="6"/>
        <v>-104264.26</v>
      </c>
      <c r="O27" s="61"/>
      <c r="P27" s="197" t="str">
        <f t="shared" si="59"/>
        <v>-</v>
      </c>
      <c r="Q27" s="362">
        <f t="shared" si="69"/>
        <v>0</v>
      </c>
      <c r="R27" s="193"/>
      <c r="S27" s="389">
        <f t="shared" ca="1" si="60"/>
        <v>0</v>
      </c>
      <c r="T27" s="33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0" t="str">
        <f t="shared" si="62"/>
        <v/>
      </c>
      <c r="V27" s="328">
        <f>IFERROR(VLOOKUP($U27,HomeBroker!$A$30:$F$60,2,0),0)</f>
        <v>0</v>
      </c>
      <c r="W27" s="392">
        <f>IFERROR(VLOOKUP($U27,HomeBroker!$A$30:$F$60,3,0),0)</f>
        <v>0</v>
      </c>
      <c r="X27" s="497">
        <f>IFERROR(VLOOKUP($U27,HomeBroker!$A$30:$F$60,6,0),0)</f>
        <v>0</v>
      </c>
      <c r="Y27" s="391">
        <f>IFERROR(VLOOKUP($U27,HomeBroker!$A$30:$F$60,4,0),0)</f>
        <v>0</v>
      </c>
      <c r="Z27" s="328">
        <f>IFERROR(VLOOKUP($U27,HomeBroker!$A$30:$F$60,5,0),0)</f>
        <v>0</v>
      </c>
      <c r="AA27" s="331">
        <f>IFERROR(VLOOKUP($U27,HomeBroker!$A$30:$N$60,13,0),0)</f>
        <v>0</v>
      </c>
      <c r="AB27" s="198" t="str">
        <f t="shared" si="63"/>
        <v>-</v>
      </c>
      <c r="AC27" s="107">
        <f t="shared" si="70"/>
        <v>0</v>
      </c>
      <c r="AD27" s="129"/>
      <c r="AE27" s="329">
        <f t="shared" ca="1" si="64"/>
        <v>0</v>
      </c>
      <c r="AF27" s="33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63">
        <f>IFERROR(VLOOKUP($AG27,HomeBroker!$A$30:$F$60,2,0),0)</f>
        <v>0</v>
      </c>
      <c r="AI27" s="392">
        <f>IFERROR(VLOOKUP($AG27,HomeBroker!$A$30:$F$60,3,0),0)</f>
        <v>0</v>
      </c>
      <c r="AJ27" s="497">
        <f>IFERROR(VLOOKUP($AG27,HomeBroker!$A$30:$F$60,6,0),0)</f>
        <v>0</v>
      </c>
      <c r="AK27" s="392">
        <f>IFERROR(VLOOKUP($AG27,HomeBroker!$A$30:$F$60,4,0),0)</f>
        <v>0</v>
      </c>
      <c r="AL27" s="363">
        <f>IFERROR(VLOOKUP($AG27,HomeBroker!$A$30:$F$60,5,0),0)</f>
        <v>0</v>
      </c>
      <c r="AM27" s="394">
        <f>IFERROR(VLOOKUP($AG27,HomeBroker!$A$30:$N$60,13,0),0)</f>
        <v>0</v>
      </c>
      <c r="AN27" s="61"/>
      <c r="AO27" s="197" t="str">
        <f t="shared" si="67"/>
        <v>-</v>
      </c>
      <c r="AP27" s="61"/>
      <c r="AQ27" s="61"/>
      <c r="AR27" s="61"/>
      <c r="AS27" s="109"/>
      <c r="AT27" s="123" t="s">
        <v>352</v>
      </c>
      <c r="AU27" s="111"/>
      <c r="AV27" s="126"/>
      <c r="AW27" s="127"/>
      <c r="AX27" s="213">
        <f t="shared" si="11"/>
        <v>0</v>
      </c>
      <c r="AY27" s="214">
        <f t="shared" si="12"/>
        <v>0</v>
      </c>
      <c r="AZ27" s="113" t="s">
        <v>402</v>
      </c>
      <c r="BA27" s="111"/>
      <c r="BB27" s="128"/>
      <c r="BC27" s="114"/>
      <c r="BD27" s="215">
        <f t="shared" si="13"/>
        <v>0</v>
      </c>
      <c r="BE27" s="217">
        <f t="shared" si="14"/>
        <v>0</v>
      </c>
      <c r="BF27" s="115" t="s">
        <v>403</v>
      </c>
      <c r="BG27" s="111"/>
      <c r="BH27" s="114"/>
      <c r="BI27" s="218">
        <f t="shared" si="15"/>
        <v>0</v>
      </c>
      <c r="BJ27" s="219">
        <f t="shared" si="16"/>
        <v>0</v>
      </c>
      <c r="DE27" s="116">
        <f t="shared" si="17"/>
        <v>4788.9502027256804</v>
      </c>
      <c r="DF27" s="117">
        <f t="shared" si="18"/>
        <v>2355800.8109027212</v>
      </c>
      <c r="DG27" s="117">
        <f t="shared" si="19"/>
        <v>0</v>
      </c>
      <c r="DH27" s="117">
        <f t="shared" si="20"/>
        <v>0</v>
      </c>
      <c r="DI27" s="117">
        <f t="shared" si="21"/>
        <v>0</v>
      </c>
      <c r="DJ27" s="117">
        <f t="shared" si="22"/>
        <v>0</v>
      </c>
      <c r="DK27" s="117">
        <f t="shared" si="23"/>
        <v>0</v>
      </c>
      <c r="DL27" s="117">
        <f t="shared" si="24"/>
        <v>0</v>
      </c>
      <c r="DM27" s="117">
        <f t="shared" si="25"/>
        <v>0</v>
      </c>
      <c r="DN27" s="117">
        <f t="shared" si="26"/>
        <v>0</v>
      </c>
      <c r="DO27" s="117">
        <f t="shared" si="27"/>
        <v>0</v>
      </c>
      <c r="DP27" s="117">
        <f t="shared" si="28"/>
        <v>0</v>
      </c>
      <c r="DQ27" s="117">
        <f t="shared" si="29"/>
        <v>0</v>
      </c>
      <c r="DR27" s="117">
        <f t="shared" si="30"/>
        <v>0</v>
      </c>
      <c r="DS27" s="117">
        <f t="shared" si="31"/>
        <v>0</v>
      </c>
      <c r="DT27" s="117">
        <f t="shared" si="32"/>
        <v>0</v>
      </c>
      <c r="DU27" s="117">
        <f t="shared" si="33"/>
        <v>0</v>
      </c>
      <c r="DV27" s="117">
        <f t="shared" si="34"/>
        <v>0</v>
      </c>
      <c r="DW27" s="117">
        <f t="shared" si="35"/>
        <v>0</v>
      </c>
      <c r="DX27" s="117">
        <f t="shared" si="36"/>
        <v>0</v>
      </c>
      <c r="DY27" s="117">
        <f t="shared" si="37"/>
        <v>0</v>
      </c>
      <c r="DZ27" s="117">
        <f t="shared" si="38"/>
        <v>0</v>
      </c>
      <c r="EA27" s="117">
        <f t="shared" si="39"/>
        <v>0</v>
      </c>
      <c r="EB27" s="117">
        <f t="shared" si="40"/>
        <v>0</v>
      </c>
      <c r="EC27" s="117">
        <f t="shared" si="41"/>
        <v>0</v>
      </c>
      <c r="ED27" s="117">
        <f t="shared" si="42"/>
        <v>0</v>
      </c>
      <c r="EE27" s="117">
        <f t="shared" si="43"/>
        <v>0</v>
      </c>
      <c r="EF27" s="117">
        <f t="shared" si="44"/>
        <v>0</v>
      </c>
      <c r="EG27" s="117">
        <f t="shared" si="45"/>
        <v>0</v>
      </c>
      <c r="EH27" s="117">
        <f t="shared" si="46"/>
        <v>0</v>
      </c>
      <c r="EI27" s="117">
        <f t="shared" si="47"/>
        <v>0</v>
      </c>
      <c r="EJ27" s="117">
        <f t="shared" si="48"/>
        <v>0</v>
      </c>
      <c r="EK27" s="117">
        <f t="shared" si="49"/>
        <v>0</v>
      </c>
      <c r="EL27" s="117">
        <f t="shared" si="50"/>
        <v>0</v>
      </c>
      <c r="EM27" s="117">
        <f t="shared" si="51"/>
        <v>0</v>
      </c>
      <c r="EN27" s="117">
        <f t="shared" si="52"/>
        <v>0</v>
      </c>
      <c r="EO27" s="118"/>
      <c r="EP27" s="119">
        <f t="shared" si="53"/>
        <v>2355800.8109027212</v>
      </c>
      <c r="EQ27" s="118"/>
      <c r="ER27" s="125"/>
      <c r="ES27" s="121"/>
      <c r="ET27" s="122">
        <f t="shared" si="54"/>
        <v>4607337.3600000003</v>
      </c>
      <c r="EU27" s="71"/>
      <c r="EV27" s="116">
        <f t="shared" si="55"/>
        <v>4788.9502027256804</v>
      </c>
      <c r="EW27" s="117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7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7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7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7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7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7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7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7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7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7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7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7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7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7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7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7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7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7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7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7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7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7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7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7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7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7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7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7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7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7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7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7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7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7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8"/>
      <c r="GG27" s="119">
        <f t="shared" ca="1" si="56"/>
        <v>0</v>
      </c>
      <c r="GH27" s="118"/>
      <c r="GI27" s="125"/>
      <c r="GJ27" s="121"/>
      <c r="GK27" s="122">
        <f t="shared" ca="1" si="57"/>
        <v>-104264.26</v>
      </c>
    </row>
    <row r="28" spans="1:193" ht="15">
      <c r="A28" s="386" t="s">
        <v>401</v>
      </c>
      <c r="B28" s="202"/>
      <c r="C28" s="199"/>
      <c r="D28" s="398"/>
      <c r="E28" s="399">
        <f t="shared" si="0"/>
        <v>0</v>
      </c>
      <c r="F28" s="400">
        <f t="shared" si="1"/>
        <v>0</v>
      </c>
      <c r="G28" s="201" t="str">
        <f t="shared" si="2"/>
        <v/>
      </c>
      <c r="H28" s="404">
        <f t="shared" si="58"/>
        <v>0</v>
      </c>
      <c r="I28" s="732">
        <f t="shared" si="3"/>
        <v>0</v>
      </c>
      <c r="J28" s="61"/>
      <c r="K28" s="374"/>
      <c r="L28" s="501">
        <f t="shared" si="71"/>
        <v>5028.3977128619645</v>
      </c>
      <c r="M28" s="423">
        <f t="shared" si="5"/>
        <v>6522917.4400000004</v>
      </c>
      <c r="N28" s="423">
        <f t="shared" ca="1" si="6"/>
        <v>-104264.26</v>
      </c>
      <c r="O28" s="61"/>
      <c r="P28" s="197" t="str">
        <f t="shared" si="59"/>
        <v>-</v>
      </c>
      <c r="Q28" s="362">
        <f t="shared" si="69"/>
        <v>0</v>
      </c>
      <c r="R28" s="193"/>
      <c r="S28" s="389">
        <f t="shared" ca="1" si="60"/>
        <v>0</v>
      </c>
      <c r="T28" s="330" t="str">
        <f t="shared" si="73"/>
        <v/>
      </c>
      <c r="U28" s="330" t="str">
        <f t="shared" si="62"/>
        <v/>
      </c>
      <c r="V28" s="328">
        <f>IFERROR(VLOOKUP($U28,HomeBroker!$A$30:$F$60,2,0),0)</f>
        <v>0</v>
      </c>
      <c r="W28" s="392">
        <f>IFERROR(VLOOKUP($U28,HomeBroker!$A$30:$F$60,3,0),0)</f>
        <v>0</v>
      </c>
      <c r="X28" s="497">
        <f>IFERROR(VLOOKUP($U28,HomeBroker!$A$30:$F$60,6,0),0)</f>
        <v>0</v>
      </c>
      <c r="Y28" s="391">
        <f>IFERROR(VLOOKUP($U28,HomeBroker!$A$30:$F$60,4,0),0)</f>
        <v>0</v>
      </c>
      <c r="Z28" s="328">
        <f>IFERROR(VLOOKUP($U28,HomeBroker!$A$30:$F$60,5,0),0)</f>
        <v>0</v>
      </c>
      <c r="AA28" s="331">
        <f>IFERROR(VLOOKUP($U28,HomeBroker!$A$30:$N$60,13,0),0)</f>
        <v>0</v>
      </c>
      <c r="AB28" s="198" t="str">
        <f t="shared" si="63"/>
        <v>-</v>
      </c>
      <c r="AC28" s="107">
        <f t="shared" si="70"/>
        <v>0</v>
      </c>
      <c r="AD28" s="129"/>
      <c r="AE28" s="329">
        <f t="shared" ca="1" si="64"/>
        <v>0</v>
      </c>
      <c r="AF28" s="330" t="str">
        <f t="shared" si="74"/>
        <v/>
      </c>
      <c r="AG28" s="330" t="str">
        <f t="shared" si="75"/>
        <v/>
      </c>
      <c r="AH28" s="363">
        <f>IFERROR(VLOOKUP($AG28,HomeBroker!$A$30:$F$60,2,0),0)</f>
        <v>0</v>
      </c>
      <c r="AI28" s="392">
        <f>IFERROR(VLOOKUP($AG28,HomeBroker!$A$30:$F$60,3,0),0)</f>
        <v>0</v>
      </c>
      <c r="AJ28" s="497">
        <f>IFERROR(VLOOKUP($AG28,HomeBroker!$A$30:$F$60,6,0),0)</f>
        <v>0</v>
      </c>
      <c r="AK28" s="392">
        <f>IFERROR(VLOOKUP($AG28,HomeBroker!$A$30:$F$60,4,0),0)</f>
        <v>0</v>
      </c>
      <c r="AL28" s="363">
        <f>IFERROR(VLOOKUP($AG28,HomeBroker!$A$30:$F$60,5,0),0)</f>
        <v>0</v>
      </c>
      <c r="AM28" s="394">
        <f>IFERROR(VLOOKUP($AG28,HomeBroker!$A$30:$N$60,13,0),0)</f>
        <v>0</v>
      </c>
      <c r="AN28" s="61"/>
      <c r="AO28" s="197" t="str">
        <f t="shared" si="67"/>
        <v>-</v>
      </c>
      <c r="AP28" s="61"/>
      <c r="AQ28" s="61"/>
      <c r="AR28" s="61"/>
      <c r="AS28" s="109"/>
      <c r="AT28" s="123" t="s">
        <v>352</v>
      </c>
      <c r="AU28" s="111"/>
      <c r="AV28" s="126"/>
      <c r="AW28" s="127"/>
      <c r="AX28" s="213">
        <f t="shared" si="11"/>
        <v>0</v>
      </c>
      <c r="AY28" s="214">
        <f t="shared" si="12"/>
        <v>0</v>
      </c>
      <c r="AZ28" s="113" t="s">
        <v>402</v>
      </c>
      <c r="BA28" s="111"/>
      <c r="BB28" s="128"/>
      <c r="BC28" s="114"/>
      <c r="BD28" s="215">
        <f t="shared" si="13"/>
        <v>0</v>
      </c>
      <c r="BE28" s="217">
        <f t="shared" si="14"/>
        <v>0</v>
      </c>
      <c r="BF28" s="115" t="s">
        <v>403</v>
      </c>
      <c r="BG28" s="111"/>
      <c r="BH28" s="114"/>
      <c r="BI28" s="218">
        <f t="shared" si="15"/>
        <v>0</v>
      </c>
      <c r="BJ28" s="219">
        <f t="shared" si="16"/>
        <v>0</v>
      </c>
      <c r="DE28" s="116">
        <f t="shared" si="17"/>
        <v>5028.3977128619645</v>
      </c>
      <c r="DF28" s="117">
        <f t="shared" si="18"/>
        <v>3313590.8514478579</v>
      </c>
      <c r="DG28" s="117">
        <f t="shared" si="19"/>
        <v>0</v>
      </c>
      <c r="DH28" s="117">
        <f t="shared" si="20"/>
        <v>0</v>
      </c>
      <c r="DI28" s="117">
        <f t="shared" si="21"/>
        <v>0</v>
      </c>
      <c r="DJ28" s="117">
        <f t="shared" si="22"/>
        <v>0</v>
      </c>
      <c r="DK28" s="117">
        <f t="shared" si="23"/>
        <v>0</v>
      </c>
      <c r="DL28" s="117">
        <f t="shared" si="24"/>
        <v>0</v>
      </c>
      <c r="DM28" s="117">
        <f t="shared" si="25"/>
        <v>0</v>
      </c>
      <c r="DN28" s="117">
        <f t="shared" si="26"/>
        <v>0</v>
      </c>
      <c r="DO28" s="117">
        <f t="shared" si="27"/>
        <v>0</v>
      </c>
      <c r="DP28" s="117">
        <f t="shared" si="28"/>
        <v>0</v>
      </c>
      <c r="DQ28" s="117">
        <f t="shared" si="29"/>
        <v>0</v>
      </c>
      <c r="DR28" s="117">
        <f t="shared" si="30"/>
        <v>0</v>
      </c>
      <c r="DS28" s="117">
        <f t="shared" si="31"/>
        <v>0</v>
      </c>
      <c r="DT28" s="117">
        <f t="shared" si="32"/>
        <v>0</v>
      </c>
      <c r="DU28" s="117">
        <f t="shared" si="33"/>
        <v>0</v>
      </c>
      <c r="DV28" s="117">
        <f t="shared" si="34"/>
        <v>0</v>
      </c>
      <c r="DW28" s="117">
        <f t="shared" si="35"/>
        <v>0</v>
      </c>
      <c r="DX28" s="117">
        <f t="shared" si="36"/>
        <v>0</v>
      </c>
      <c r="DY28" s="117">
        <f t="shared" si="37"/>
        <v>0</v>
      </c>
      <c r="DZ28" s="117">
        <f t="shared" si="38"/>
        <v>0</v>
      </c>
      <c r="EA28" s="117">
        <f t="shared" si="39"/>
        <v>0</v>
      </c>
      <c r="EB28" s="117">
        <f t="shared" si="40"/>
        <v>0</v>
      </c>
      <c r="EC28" s="117">
        <f t="shared" si="41"/>
        <v>0</v>
      </c>
      <c r="ED28" s="117">
        <f t="shared" si="42"/>
        <v>0</v>
      </c>
      <c r="EE28" s="117">
        <f t="shared" si="43"/>
        <v>0</v>
      </c>
      <c r="EF28" s="117">
        <f t="shared" si="44"/>
        <v>0</v>
      </c>
      <c r="EG28" s="117">
        <f t="shared" si="45"/>
        <v>0</v>
      </c>
      <c r="EH28" s="117">
        <f t="shared" si="46"/>
        <v>0</v>
      </c>
      <c r="EI28" s="117">
        <f t="shared" si="47"/>
        <v>0</v>
      </c>
      <c r="EJ28" s="117">
        <f t="shared" si="48"/>
        <v>0</v>
      </c>
      <c r="EK28" s="117">
        <f t="shared" si="49"/>
        <v>0</v>
      </c>
      <c r="EL28" s="117">
        <f t="shared" si="50"/>
        <v>0</v>
      </c>
      <c r="EM28" s="117">
        <f t="shared" si="51"/>
        <v>0</v>
      </c>
      <c r="EN28" s="117">
        <f t="shared" si="52"/>
        <v>0</v>
      </c>
      <c r="EO28" s="118"/>
      <c r="EP28" s="119">
        <f t="shared" si="53"/>
        <v>3313590.8514478579</v>
      </c>
      <c r="EQ28" s="118"/>
      <c r="ER28" s="125"/>
      <c r="ES28" s="121"/>
      <c r="ET28" s="122">
        <f t="shared" si="54"/>
        <v>6522917.4400000004</v>
      </c>
      <c r="EU28" s="71"/>
      <c r="EV28" s="116">
        <f t="shared" si="55"/>
        <v>5028.3977128619645</v>
      </c>
      <c r="EW28" s="117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7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7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7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7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7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7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7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7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7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7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7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7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7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7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7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7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7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7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7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7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7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7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7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7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7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7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7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7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7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7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7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7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7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7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8"/>
      <c r="GG28" s="119">
        <f t="shared" ca="1" si="56"/>
        <v>0</v>
      </c>
      <c r="GH28" s="118"/>
      <c r="GI28" s="125"/>
      <c r="GJ28" s="121"/>
      <c r="GK28" s="122">
        <f t="shared" ca="1" si="57"/>
        <v>-104264.26</v>
      </c>
    </row>
    <row r="29" spans="1:193" ht="15">
      <c r="A29" s="386" t="s">
        <v>401</v>
      </c>
      <c r="B29" s="202"/>
      <c r="C29" s="199"/>
      <c r="D29" s="398"/>
      <c r="E29" s="399">
        <f t="shared" si="0"/>
        <v>0</v>
      </c>
      <c r="F29" s="400">
        <f t="shared" si="1"/>
        <v>0</v>
      </c>
      <c r="G29" s="201" t="str">
        <f t="shared" si="2"/>
        <v/>
      </c>
      <c r="H29" s="404">
        <f t="shared" si="58"/>
        <v>0</v>
      </c>
      <c r="I29" s="732">
        <f t="shared" si="3"/>
        <v>0</v>
      </c>
      <c r="J29" s="61"/>
      <c r="K29" s="105">
        <f>IFERROR(+L29/$L$18-1,"")</f>
        <v>0.71033935811631443</v>
      </c>
      <c r="L29" s="503">
        <f t="shared" si="71"/>
        <v>5279.817598505063</v>
      </c>
      <c r="M29" s="423">
        <f t="shared" si="5"/>
        <v>8534276.5199999996</v>
      </c>
      <c r="N29" s="423">
        <f t="shared" ca="1" si="6"/>
        <v>-104264.26</v>
      </c>
      <c r="O29" s="61"/>
      <c r="P29" s="197" t="str">
        <f t="shared" si="59"/>
        <v>-</v>
      </c>
      <c r="Q29" s="362">
        <f t="shared" si="69"/>
        <v>0</v>
      </c>
      <c r="R29" s="193"/>
      <c r="S29" s="389">
        <f t="shared" ca="1" si="60"/>
        <v>0</v>
      </c>
      <c r="T29" s="330" t="str">
        <f t="shared" si="73"/>
        <v/>
      </c>
      <c r="U29" s="330" t="str">
        <f t="shared" si="62"/>
        <v/>
      </c>
      <c r="V29" s="328">
        <f>IFERROR(VLOOKUP($U29,HomeBroker!$A$30:$F$60,2,0),0)</f>
        <v>0</v>
      </c>
      <c r="W29" s="392">
        <f>IFERROR(VLOOKUP($U29,HomeBroker!$A$30:$F$60,3,0),0)</f>
        <v>0</v>
      </c>
      <c r="X29" s="497">
        <f>IFERROR(VLOOKUP($U29,HomeBroker!$A$30:$F$60,6,0),0)</f>
        <v>0</v>
      </c>
      <c r="Y29" s="391">
        <f>IFERROR(VLOOKUP($U29,HomeBroker!$A$30:$F$60,4,0),0)</f>
        <v>0</v>
      </c>
      <c r="Z29" s="328">
        <f>IFERROR(VLOOKUP($U29,HomeBroker!$A$30:$F$60,5,0),0)</f>
        <v>0</v>
      </c>
      <c r="AA29" s="331">
        <f>IFERROR(VLOOKUP($U29,HomeBroker!$A$30:$N$60,13,0),0)</f>
        <v>0</v>
      </c>
      <c r="AB29" s="198" t="str">
        <f t="shared" si="63"/>
        <v>-</v>
      </c>
      <c r="AC29" s="107">
        <f t="shared" si="70"/>
        <v>0</v>
      </c>
      <c r="AD29" s="129"/>
      <c r="AE29" s="329">
        <f t="shared" ca="1" si="64"/>
        <v>0</v>
      </c>
      <c r="AF29" s="330" t="str">
        <f t="shared" si="74"/>
        <v/>
      </c>
      <c r="AG29" s="330" t="str">
        <f t="shared" si="75"/>
        <v/>
      </c>
      <c r="AH29" s="363">
        <f>IFERROR(VLOOKUP($AG29,HomeBroker!$A$30:$F$60,2,0),0)</f>
        <v>0</v>
      </c>
      <c r="AI29" s="392">
        <f>IFERROR(VLOOKUP($AG29,HomeBroker!$A$30:$F$60,3,0),0)</f>
        <v>0</v>
      </c>
      <c r="AJ29" s="497">
        <f>IFERROR(VLOOKUP($AG29,HomeBroker!$A$30:$F$60,6,0),0)</f>
        <v>0</v>
      </c>
      <c r="AK29" s="392">
        <f>IFERROR(VLOOKUP($AG29,HomeBroker!$A$30:$F$60,4,0),0)</f>
        <v>0</v>
      </c>
      <c r="AL29" s="363">
        <f>IFERROR(VLOOKUP($AG29,HomeBroker!$A$30:$F$60,5,0),0)</f>
        <v>0</v>
      </c>
      <c r="AM29" s="394">
        <f>IFERROR(VLOOKUP($AG29,HomeBroker!$A$30:$N$60,13,0),0)</f>
        <v>0</v>
      </c>
      <c r="AN29" s="61"/>
      <c r="AO29" s="197" t="str">
        <f t="shared" si="67"/>
        <v>-</v>
      </c>
      <c r="AP29" s="61"/>
      <c r="AQ29" s="61"/>
      <c r="AR29" s="61"/>
      <c r="AS29" s="109"/>
      <c r="AT29" s="123" t="s">
        <v>352</v>
      </c>
      <c r="AU29" s="111"/>
      <c r="AV29" s="126"/>
      <c r="AW29" s="127"/>
      <c r="AX29" s="213">
        <f t="shared" si="11"/>
        <v>0</v>
      </c>
      <c r="AY29" s="214">
        <f t="shared" si="12"/>
        <v>0</v>
      </c>
      <c r="AZ29" s="113" t="s">
        <v>402</v>
      </c>
      <c r="BA29" s="111"/>
      <c r="BB29" s="128"/>
      <c r="BC29" s="114"/>
      <c r="BD29" s="215">
        <f t="shared" si="13"/>
        <v>0</v>
      </c>
      <c r="BE29" s="217">
        <f t="shared" si="14"/>
        <v>0</v>
      </c>
      <c r="BF29" s="115" t="s">
        <v>403</v>
      </c>
      <c r="BG29" s="111"/>
      <c r="BH29" s="114"/>
      <c r="BI29" s="218">
        <f t="shared" si="15"/>
        <v>0</v>
      </c>
      <c r="BJ29" s="219">
        <f t="shared" si="16"/>
        <v>0</v>
      </c>
      <c r="DE29" s="116">
        <f t="shared" si="17"/>
        <v>5279.817598505063</v>
      </c>
      <c r="DF29" s="117">
        <f t="shared" si="18"/>
        <v>4319270.3940202519</v>
      </c>
      <c r="DG29" s="117">
        <f t="shared" si="19"/>
        <v>0</v>
      </c>
      <c r="DH29" s="117">
        <f t="shared" si="20"/>
        <v>0</v>
      </c>
      <c r="DI29" s="117">
        <f t="shared" si="21"/>
        <v>0</v>
      </c>
      <c r="DJ29" s="117">
        <f t="shared" si="22"/>
        <v>0</v>
      </c>
      <c r="DK29" s="117">
        <f t="shared" si="23"/>
        <v>0</v>
      </c>
      <c r="DL29" s="117">
        <f t="shared" si="24"/>
        <v>0</v>
      </c>
      <c r="DM29" s="117">
        <f t="shared" si="25"/>
        <v>0</v>
      </c>
      <c r="DN29" s="117">
        <f t="shared" si="26"/>
        <v>0</v>
      </c>
      <c r="DO29" s="117">
        <f t="shared" si="27"/>
        <v>0</v>
      </c>
      <c r="DP29" s="117">
        <f t="shared" si="28"/>
        <v>0</v>
      </c>
      <c r="DQ29" s="117">
        <f t="shared" si="29"/>
        <v>0</v>
      </c>
      <c r="DR29" s="117">
        <f t="shared" si="30"/>
        <v>0</v>
      </c>
      <c r="DS29" s="117">
        <f t="shared" si="31"/>
        <v>0</v>
      </c>
      <c r="DT29" s="117">
        <f t="shared" si="32"/>
        <v>0</v>
      </c>
      <c r="DU29" s="117">
        <f t="shared" si="33"/>
        <v>0</v>
      </c>
      <c r="DV29" s="117">
        <f t="shared" si="34"/>
        <v>0</v>
      </c>
      <c r="DW29" s="117">
        <f t="shared" si="35"/>
        <v>0</v>
      </c>
      <c r="DX29" s="117">
        <f t="shared" si="36"/>
        <v>0</v>
      </c>
      <c r="DY29" s="117">
        <f t="shared" si="37"/>
        <v>0</v>
      </c>
      <c r="DZ29" s="117">
        <f t="shared" si="38"/>
        <v>0</v>
      </c>
      <c r="EA29" s="117">
        <f t="shared" si="39"/>
        <v>0</v>
      </c>
      <c r="EB29" s="117">
        <f t="shared" si="40"/>
        <v>0</v>
      </c>
      <c r="EC29" s="117">
        <f t="shared" si="41"/>
        <v>0</v>
      </c>
      <c r="ED29" s="117">
        <f t="shared" si="42"/>
        <v>0</v>
      </c>
      <c r="EE29" s="117">
        <f t="shared" si="43"/>
        <v>0</v>
      </c>
      <c r="EF29" s="117">
        <f t="shared" si="44"/>
        <v>0</v>
      </c>
      <c r="EG29" s="117">
        <f t="shared" si="45"/>
        <v>0</v>
      </c>
      <c r="EH29" s="117">
        <f t="shared" si="46"/>
        <v>0</v>
      </c>
      <c r="EI29" s="117">
        <f t="shared" si="47"/>
        <v>0</v>
      </c>
      <c r="EJ29" s="117">
        <f t="shared" si="48"/>
        <v>0</v>
      </c>
      <c r="EK29" s="117">
        <f t="shared" si="49"/>
        <v>0</v>
      </c>
      <c r="EL29" s="117">
        <f t="shared" si="50"/>
        <v>0</v>
      </c>
      <c r="EM29" s="117">
        <f t="shared" si="51"/>
        <v>0</v>
      </c>
      <c r="EN29" s="117">
        <f t="shared" si="52"/>
        <v>0</v>
      </c>
      <c r="EO29" s="118"/>
      <c r="EP29" s="119">
        <f t="shared" si="53"/>
        <v>4319270.3940202519</v>
      </c>
      <c r="EQ29" s="118"/>
      <c r="ER29" s="125"/>
      <c r="ES29" s="121"/>
      <c r="ET29" s="122">
        <f t="shared" si="54"/>
        <v>8534276.5199999996</v>
      </c>
      <c r="EU29" s="71"/>
      <c r="EV29" s="116">
        <f t="shared" si="55"/>
        <v>5279.817598505063</v>
      </c>
      <c r="EW29" s="117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7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7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7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7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7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7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7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7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7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7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7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7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7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7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7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7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7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7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7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7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7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7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7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7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7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7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7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7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7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7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7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7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7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7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8"/>
      <c r="GG29" s="119">
        <f t="shared" ca="1" si="56"/>
        <v>0</v>
      </c>
      <c r="GH29" s="118"/>
      <c r="GI29" s="125"/>
      <c r="GJ29" s="121"/>
      <c r="GK29" s="122">
        <f t="shared" ca="1" si="57"/>
        <v>-104264.26</v>
      </c>
    </row>
    <row r="30" spans="1:193" ht="15">
      <c r="A30" s="386" t="s">
        <v>401</v>
      </c>
      <c r="B30" s="202"/>
      <c r="C30" s="199"/>
      <c r="D30" s="398"/>
      <c r="E30" s="399">
        <f t="shared" si="0"/>
        <v>0</v>
      </c>
      <c r="F30" s="400">
        <f t="shared" si="1"/>
        <v>0</v>
      </c>
      <c r="G30" s="201" t="str">
        <f t="shared" si="2"/>
        <v/>
      </c>
      <c r="H30" s="404">
        <f t="shared" si="58"/>
        <v>0</v>
      </c>
      <c r="I30" s="732">
        <f t="shared" si="3"/>
        <v>0</v>
      </c>
      <c r="J30" s="61"/>
      <c r="K30" s="105"/>
      <c r="L30" s="503">
        <f t="shared" si="71"/>
        <v>5543.8084784303164</v>
      </c>
      <c r="M30" s="424">
        <f t="shared" si="5"/>
        <v>10646203.560000001</v>
      </c>
      <c r="N30" s="424">
        <f t="shared" ca="1" si="6"/>
        <v>-104264.26</v>
      </c>
      <c r="O30" s="61"/>
      <c r="P30" s="197" t="str">
        <f t="shared" si="59"/>
        <v>-</v>
      </c>
      <c r="Q30" s="362">
        <f t="shared" si="69"/>
        <v>0</v>
      </c>
      <c r="R30" s="193"/>
      <c r="S30" s="389">
        <f t="shared" ca="1" si="60"/>
        <v>0</v>
      </c>
      <c r="T30" s="330" t="str">
        <f t="shared" si="73"/>
        <v/>
      </c>
      <c r="U30" s="330" t="str">
        <f t="shared" si="62"/>
        <v/>
      </c>
      <c r="V30" s="328">
        <f>IFERROR(VLOOKUP($U30,HomeBroker!$A$30:$F$60,2,0),0)</f>
        <v>0</v>
      </c>
      <c r="W30" s="392">
        <f>IFERROR(VLOOKUP($U30,HomeBroker!$A$30:$F$60,3,0),0)</f>
        <v>0</v>
      </c>
      <c r="X30" s="497">
        <f>IFERROR(VLOOKUP($U30,HomeBroker!$A$30:$F$60,6,0),0)</f>
        <v>0</v>
      </c>
      <c r="Y30" s="391">
        <f>IFERROR(VLOOKUP($U30,HomeBroker!$A$30:$F$60,4,0),0)</f>
        <v>0</v>
      </c>
      <c r="Z30" s="328">
        <f>IFERROR(VLOOKUP($U30,HomeBroker!$A$30:$F$60,5,0),0)</f>
        <v>0</v>
      </c>
      <c r="AA30" s="331">
        <f>IFERROR(VLOOKUP($U30,HomeBroker!$A$30:$N$60,13,0),0)</f>
        <v>0</v>
      </c>
      <c r="AB30" s="198" t="str">
        <f t="shared" si="63"/>
        <v>-</v>
      </c>
      <c r="AC30" s="107">
        <f t="shared" si="70"/>
        <v>0</v>
      </c>
      <c r="AD30" s="129"/>
      <c r="AE30" s="329">
        <f t="shared" ca="1" si="64"/>
        <v>0</v>
      </c>
      <c r="AF30" s="330" t="str">
        <f t="shared" si="74"/>
        <v/>
      </c>
      <c r="AG30" s="330" t="str">
        <f t="shared" si="75"/>
        <v/>
      </c>
      <c r="AH30" s="363">
        <f>IFERROR(VLOOKUP($AG30,HomeBroker!$A$30:$F$60,2,0),0)</f>
        <v>0</v>
      </c>
      <c r="AI30" s="392">
        <f>IFERROR(VLOOKUP($AG30,HomeBroker!$A$30:$F$60,3,0),0)</f>
        <v>0</v>
      </c>
      <c r="AJ30" s="497">
        <f>IFERROR(VLOOKUP($AG30,HomeBroker!$A$30:$F$60,6,0),0)</f>
        <v>0</v>
      </c>
      <c r="AK30" s="392">
        <f>IFERROR(VLOOKUP($AG30,HomeBroker!$A$30:$F$60,4,0),0)</f>
        <v>0</v>
      </c>
      <c r="AL30" s="363">
        <f>IFERROR(VLOOKUP($AG30,HomeBroker!$A$30:$F$60,5,0),0)</f>
        <v>0</v>
      </c>
      <c r="AM30" s="394">
        <f>IFERROR(VLOOKUP($AG30,HomeBroker!$A$30:$N$60,13,0),0)</f>
        <v>0</v>
      </c>
      <c r="AN30" s="61"/>
      <c r="AO30" s="197" t="str">
        <f t="shared" si="67"/>
        <v>-</v>
      </c>
      <c r="AP30" s="61"/>
      <c r="AQ30" s="61"/>
      <c r="AR30" s="61"/>
      <c r="AS30" s="109"/>
      <c r="AT30" s="123" t="s">
        <v>352</v>
      </c>
      <c r="AU30" s="111"/>
      <c r="AV30" s="126"/>
      <c r="AW30" s="127"/>
      <c r="AX30" s="213">
        <f t="shared" si="11"/>
        <v>0</v>
      </c>
      <c r="AY30" s="214">
        <f t="shared" si="12"/>
        <v>0</v>
      </c>
      <c r="AZ30" s="113" t="s">
        <v>402</v>
      </c>
      <c r="BA30" s="111"/>
      <c r="BB30" s="128"/>
      <c r="BC30" s="114"/>
      <c r="BD30" s="215">
        <f t="shared" si="13"/>
        <v>0</v>
      </c>
      <c r="BE30" s="217">
        <f t="shared" si="14"/>
        <v>0</v>
      </c>
      <c r="BF30" s="115" t="s">
        <v>403</v>
      </c>
      <c r="BG30" s="111"/>
      <c r="BH30" s="114"/>
      <c r="BI30" s="218">
        <f t="shared" si="15"/>
        <v>0</v>
      </c>
      <c r="BJ30" s="219">
        <f t="shared" si="16"/>
        <v>0</v>
      </c>
      <c r="DE30" s="116">
        <f t="shared" si="17"/>
        <v>5543.8084784303164</v>
      </c>
      <c r="DF30" s="117">
        <f t="shared" si="18"/>
        <v>5375233.9137212653</v>
      </c>
      <c r="DG30" s="117">
        <f t="shared" si="19"/>
        <v>0</v>
      </c>
      <c r="DH30" s="117">
        <f t="shared" si="20"/>
        <v>0</v>
      </c>
      <c r="DI30" s="117">
        <f t="shared" si="21"/>
        <v>0</v>
      </c>
      <c r="DJ30" s="117">
        <f t="shared" si="22"/>
        <v>0</v>
      </c>
      <c r="DK30" s="117">
        <f t="shared" si="23"/>
        <v>0</v>
      </c>
      <c r="DL30" s="117">
        <f t="shared" si="24"/>
        <v>0</v>
      </c>
      <c r="DM30" s="117">
        <f t="shared" si="25"/>
        <v>0</v>
      </c>
      <c r="DN30" s="117">
        <f t="shared" si="26"/>
        <v>0</v>
      </c>
      <c r="DO30" s="117">
        <f t="shared" si="27"/>
        <v>0</v>
      </c>
      <c r="DP30" s="117">
        <f t="shared" si="28"/>
        <v>0</v>
      </c>
      <c r="DQ30" s="117">
        <f t="shared" si="29"/>
        <v>0</v>
      </c>
      <c r="DR30" s="117">
        <f t="shared" si="30"/>
        <v>0</v>
      </c>
      <c r="DS30" s="117">
        <f t="shared" si="31"/>
        <v>0</v>
      </c>
      <c r="DT30" s="117">
        <f t="shared" si="32"/>
        <v>0</v>
      </c>
      <c r="DU30" s="117">
        <f t="shared" si="33"/>
        <v>0</v>
      </c>
      <c r="DV30" s="117">
        <f t="shared" si="34"/>
        <v>0</v>
      </c>
      <c r="DW30" s="117">
        <f t="shared" si="35"/>
        <v>0</v>
      </c>
      <c r="DX30" s="117">
        <f t="shared" si="36"/>
        <v>0</v>
      </c>
      <c r="DY30" s="117">
        <f t="shared" si="37"/>
        <v>0</v>
      </c>
      <c r="DZ30" s="117">
        <f t="shared" si="38"/>
        <v>0</v>
      </c>
      <c r="EA30" s="117">
        <f t="shared" si="39"/>
        <v>0</v>
      </c>
      <c r="EB30" s="117">
        <f t="shared" si="40"/>
        <v>0</v>
      </c>
      <c r="EC30" s="117">
        <f t="shared" si="41"/>
        <v>0</v>
      </c>
      <c r="ED30" s="117">
        <f t="shared" si="42"/>
        <v>0</v>
      </c>
      <c r="EE30" s="117">
        <f t="shared" si="43"/>
        <v>0</v>
      </c>
      <c r="EF30" s="117">
        <f t="shared" si="44"/>
        <v>0</v>
      </c>
      <c r="EG30" s="117">
        <f t="shared" si="45"/>
        <v>0</v>
      </c>
      <c r="EH30" s="117">
        <f t="shared" si="46"/>
        <v>0</v>
      </c>
      <c r="EI30" s="117">
        <f t="shared" si="47"/>
        <v>0</v>
      </c>
      <c r="EJ30" s="117">
        <f t="shared" si="48"/>
        <v>0</v>
      </c>
      <c r="EK30" s="117">
        <f t="shared" si="49"/>
        <v>0</v>
      </c>
      <c r="EL30" s="117">
        <f t="shared" si="50"/>
        <v>0</v>
      </c>
      <c r="EM30" s="117">
        <f t="shared" si="51"/>
        <v>0</v>
      </c>
      <c r="EN30" s="117">
        <f t="shared" si="52"/>
        <v>0</v>
      </c>
      <c r="EO30" s="118"/>
      <c r="EP30" s="119">
        <f t="shared" si="53"/>
        <v>5375233.9137212653</v>
      </c>
      <c r="EQ30" s="118"/>
      <c r="ER30" s="125"/>
      <c r="ES30" s="121"/>
      <c r="ET30" s="122">
        <f t="shared" si="54"/>
        <v>10646203.560000001</v>
      </c>
      <c r="EU30" s="71"/>
      <c r="EV30" s="116">
        <f t="shared" si="55"/>
        <v>5543.8084784303164</v>
      </c>
      <c r="EW30" s="117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7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7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7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7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7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7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7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7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7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7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7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7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7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7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7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7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7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7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7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7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7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7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7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7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7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7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7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7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7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7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7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7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7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7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8"/>
      <c r="GG30" s="119">
        <f t="shared" ca="1" si="56"/>
        <v>0</v>
      </c>
      <c r="GH30" s="118"/>
      <c r="GI30" s="125"/>
      <c r="GJ30" s="121"/>
      <c r="GK30" s="122">
        <f t="shared" ca="1" si="57"/>
        <v>-104264.26</v>
      </c>
    </row>
    <row r="31" spans="1:193" ht="15">
      <c r="A31" s="386" t="s">
        <v>401</v>
      </c>
      <c r="B31" s="202"/>
      <c r="C31" s="199"/>
      <c r="D31" s="398"/>
      <c r="E31" s="399">
        <f t="shared" si="0"/>
        <v>0</v>
      </c>
      <c r="F31" s="400">
        <f t="shared" si="1"/>
        <v>0</v>
      </c>
      <c r="G31" s="201" t="str">
        <f t="shared" si="2"/>
        <v/>
      </c>
      <c r="H31" s="404">
        <f t="shared" si="58"/>
        <v>0</v>
      </c>
      <c r="I31" s="732">
        <f t="shared" si="3"/>
        <v>0</v>
      </c>
      <c r="J31" s="61"/>
      <c r="K31" s="105"/>
      <c r="L31" s="503">
        <f t="shared" si="71"/>
        <v>5820.9989023518328</v>
      </c>
      <c r="M31" s="423">
        <f t="shared" si="5"/>
        <v>12863726.949999999</v>
      </c>
      <c r="N31" s="423">
        <f t="shared" ca="1" si="6"/>
        <v>-104264.26</v>
      </c>
      <c r="O31" s="61"/>
      <c r="P31" s="197" t="str">
        <f t="shared" si="59"/>
        <v>-</v>
      </c>
      <c r="Q31" s="362">
        <f t="shared" si="69"/>
        <v>0</v>
      </c>
      <c r="R31" s="193"/>
      <c r="S31" s="389">
        <f t="shared" ca="1" si="60"/>
        <v>0</v>
      </c>
      <c r="T31" s="330" t="str">
        <f t="shared" si="73"/>
        <v/>
      </c>
      <c r="U31" s="330" t="str">
        <f t="shared" si="62"/>
        <v/>
      </c>
      <c r="V31" s="328">
        <f>IFERROR(VLOOKUP($U31,HomeBroker!$A$30:$F$60,2,0),0)</f>
        <v>0</v>
      </c>
      <c r="W31" s="392">
        <f>IFERROR(VLOOKUP($U31,HomeBroker!$A$30:$F$60,3,0),0)</f>
        <v>0</v>
      </c>
      <c r="X31" s="497">
        <f>IFERROR(VLOOKUP($U31,HomeBroker!$A$30:$F$60,6,0),0)</f>
        <v>0</v>
      </c>
      <c r="Y31" s="391">
        <f>IFERROR(VLOOKUP($U31,HomeBroker!$A$30:$F$60,4,0),0)</f>
        <v>0</v>
      </c>
      <c r="Z31" s="328">
        <f>IFERROR(VLOOKUP($U31,HomeBroker!$A$30:$F$60,5,0),0)</f>
        <v>0</v>
      </c>
      <c r="AA31" s="331">
        <f>IFERROR(VLOOKUP($U31,HomeBroker!$A$30:$N$60,13,0),0)</f>
        <v>0</v>
      </c>
      <c r="AB31" s="198" t="str">
        <f t="shared" si="63"/>
        <v>-</v>
      </c>
      <c r="AC31" s="107">
        <f t="shared" si="70"/>
        <v>0</v>
      </c>
      <c r="AD31" s="129"/>
      <c r="AE31" s="329">
        <f t="shared" ca="1" si="64"/>
        <v>0</v>
      </c>
      <c r="AF31" s="330" t="str">
        <f t="shared" si="74"/>
        <v/>
      </c>
      <c r="AG31" s="330" t="str">
        <f t="shared" si="75"/>
        <v/>
      </c>
      <c r="AH31" s="363">
        <f>IFERROR(VLOOKUP($AG31,HomeBroker!$A$30:$F$60,2,0),0)</f>
        <v>0</v>
      </c>
      <c r="AI31" s="392">
        <f>IFERROR(VLOOKUP($AG31,HomeBroker!$A$30:$F$60,3,0),0)</f>
        <v>0</v>
      </c>
      <c r="AJ31" s="497">
        <f>IFERROR(VLOOKUP($AG31,HomeBroker!$A$30:$F$60,6,0),0)</f>
        <v>0</v>
      </c>
      <c r="AK31" s="392">
        <f>IFERROR(VLOOKUP($AG31,HomeBroker!$A$30:$F$60,4,0),0)</f>
        <v>0</v>
      </c>
      <c r="AL31" s="363">
        <f>IFERROR(VLOOKUP($AG31,HomeBroker!$A$30:$F$60,5,0),0)</f>
        <v>0</v>
      </c>
      <c r="AM31" s="394">
        <f>IFERROR(VLOOKUP($AG31,HomeBroker!$A$30:$N$60,13,0),0)</f>
        <v>0</v>
      </c>
      <c r="AN31" s="61"/>
      <c r="AO31" s="197" t="str">
        <f t="shared" si="67"/>
        <v>-</v>
      </c>
      <c r="AP31" s="61"/>
      <c r="AQ31" s="61"/>
      <c r="AR31" s="61"/>
      <c r="AS31" s="109"/>
      <c r="AT31" s="123" t="s">
        <v>352</v>
      </c>
      <c r="AU31" s="111"/>
      <c r="AV31" s="126"/>
      <c r="AW31" s="127"/>
      <c r="AX31" s="213">
        <f t="shared" si="11"/>
        <v>0</v>
      </c>
      <c r="AY31" s="214">
        <f t="shared" si="12"/>
        <v>0</v>
      </c>
      <c r="AZ31" s="113" t="s">
        <v>402</v>
      </c>
      <c r="BA31" s="111"/>
      <c r="BB31" s="128"/>
      <c r="BC31" s="114"/>
      <c r="BD31" s="215">
        <f t="shared" si="13"/>
        <v>0</v>
      </c>
      <c r="BE31" s="217">
        <f t="shared" si="14"/>
        <v>0</v>
      </c>
      <c r="BF31" s="115" t="s">
        <v>403</v>
      </c>
      <c r="BG31" s="111"/>
      <c r="BH31" s="114"/>
      <c r="BI31" s="218">
        <f t="shared" si="15"/>
        <v>0</v>
      </c>
      <c r="BJ31" s="219">
        <f t="shared" si="16"/>
        <v>0</v>
      </c>
      <c r="DE31" s="116">
        <f t="shared" si="17"/>
        <v>5820.9989023518328</v>
      </c>
      <c r="DF31" s="117">
        <f t="shared" si="18"/>
        <v>6483995.6094073318</v>
      </c>
      <c r="DG31" s="117">
        <f t="shared" si="19"/>
        <v>0</v>
      </c>
      <c r="DH31" s="117">
        <f t="shared" si="20"/>
        <v>0</v>
      </c>
      <c r="DI31" s="117">
        <f t="shared" si="21"/>
        <v>0</v>
      </c>
      <c r="DJ31" s="117">
        <f t="shared" si="22"/>
        <v>0</v>
      </c>
      <c r="DK31" s="117">
        <f t="shared" si="23"/>
        <v>0</v>
      </c>
      <c r="DL31" s="117">
        <f t="shared" si="24"/>
        <v>0</v>
      </c>
      <c r="DM31" s="117">
        <f t="shared" si="25"/>
        <v>0</v>
      </c>
      <c r="DN31" s="117">
        <f t="shared" si="26"/>
        <v>0</v>
      </c>
      <c r="DO31" s="117">
        <f t="shared" si="27"/>
        <v>0</v>
      </c>
      <c r="DP31" s="117">
        <f t="shared" si="28"/>
        <v>0</v>
      </c>
      <c r="DQ31" s="117">
        <f t="shared" si="29"/>
        <v>0</v>
      </c>
      <c r="DR31" s="117">
        <f t="shared" si="30"/>
        <v>0</v>
      </c>
      <c r="DS31" s="117">
        <f t="shared" si="31"/>
        <v>0</v>
      </c>
      <c r="DT31" s="117">
        <f t="shared" si="32"/>
        <v>0</v>
      </c>
      <c r="DU31" s="117">
        <f t="shared" si="33"/>
        <v>0</v>
      </c>
      <c r="DV31" s="117">
        <f t="shared" si="34"/>
        <v>0</v>
      </c>
      <c r="DW31" s="117">
        <f t="shared" si="35"/>
        <v>0</v>
      </c>
      <c r="DX31" s="117">
        <f t="shared" si="36"/>
        <v>0</v>
      </c>
      <c r="DY31" s="117">
        <f t="shared" si="37"/>
        <v>0</v>
      </c>
      <c r="DZ31" s="117">
        <f t="shared" si="38"/>
        <v>0</v>
      </c>
      <c r="EA31" s="117">
        <f t="shared" si="39"/>
        <v>0</v>
      </c>
      <c r="EB31" s="117">
        <f t="shared" si="40"/>
        <v>0</v>
      </c>
      <c r="EC31" s="117">
        <f t="shared" si="41"/>
        <v>0</v>
      </c>
      <c r="ED31" s="117">
        <f t="shared" si="42"/>
        <v>0</v>
      </c>
      <c r="EE31" s="117">
        <f t="shared" si="43"/>
        <v>0</v>
      </c>
      <c r="EF31" s="117">
        <f t="shared" si="44"/>
        <v>0</v>
      </c>
      <c r="EG31" s="117">
        <f t="shared" si="45"/>
        <v>0</v>
      </c>
      <c r="EH31" s="117">
        <f t="shared" si="46"/>
        <v>0</v>
      </c>
      <c r="EI31" s="117">
        <f t="shared" si="47"/>
        <v>0</v>
      </c>
      <c r="EJ31" s="117">
        <f t="shared" si="48"/>
        <v>0</v>
      </c>
      <c r="EK31" s="117">
        <f t="shared" si="49"/>
        <v>0</v>
      </c>
      <c r="EL31" s="117">
        <f t="shared" si="50"/>
        <v>0</v>
      </c>
      <c r="EM31" s="117">
        <f t="shared" si="51"/>
        <v>0</v>
      </c>
      <c r="EN31" s="117">
        <f t="shared" si="52"/>
        <v>0</v>
      </c>
      <c r="EO31" s="118"/>
      <c r="EP31" s="119">
        <f t="shared" si="53"/>
        <v>6483995.6094073318</v>
      </c>
      <c r="EQ31" s="118"/>
      <c r="ER31" s="125"/>
      <c r="ES31" s="121"/>
      <c r="ET31" s="122">
        <f t="shared" si="54"/>
        <v>12863726.949999999</v>
      </c>
      <c r="EU31" s="71"/>
      <c r="EV31" s="116">
        <f t="shared" si="55"/>
        <v>5820.9989023518328</v>
      </c>
      <c r="EW31" s="117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7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7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7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7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7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7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7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7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7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7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7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7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7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7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7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7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7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7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7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7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7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7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7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7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7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7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7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7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7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7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7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7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7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7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8"/>
      <c r="GG31" s="119">
        <f t="shared" ca="1" si="56"/>
        <v>0</v>
      </c>
      <c r="GH31" s="118"/>
      <c r="GI31" s="125"/>
      <c r="GJ31" s="121"/>
      <c r="GK31" s="122">
        <f t="shared" ca="1" si="57"/>
        <v>-104264.26</v>
      </c>
    </row>
    <row r="32" spans="1:193" ht="15">
      <c r="A32" s="386" t="s">
        <v>401</v>
      </c>
      <c r="B32" s="202"/>
      <c r="C32" s="199"/>
      <c r="D32" s="398"/>
      <c r="E32" s="399">
        <f t="shared" si="0"/>
        <v>0</v>
      </c>
      <c r="F32" s="400">
        <f t="shared" si="1"/>
        <v>0</v>
      </c>
      <c r="G32" s="201" t="str">
        <f t="shared" si="2"/>
        <v/>
      </c>
      <c r="H32" s="404">
        <f t="shared" si="58"/>
        <v>0</v>
      </c>
      <c r="I32" s="732">
        <f t="shared" si="3"/>
        <v>0</v>
      </c>
      <c r="J32" s="61"/>
      <c r="K32" s="105"/>
      <c r="L32" s="503">
        <f t="shared" si="71"/>
        <v>6112.0488474694248</v>
      </c>
      <c r="M32" s="423">
        <f t="shared" si="5"/>
        <v>15192126.52</v>
      </c>
      <c r="N32" s="423">
        <f t="shared" ca="1" si="6"/>
        <v>-104264.26</v>
      </c>
      <c r="O32" s="61"/>
      <c r="P32" s="197" t="str">
        <f t="shared" si="59"/>
        <v>-</v>
      </c>
      <c r="Q32" s="362">
        <f t="shared" si="69"/>
        <v>0</v>
      </c>
      <c r="R32" s="193"/>
      <c r="S32" s="389">
        <f t="shared" ca="1" si="60"/>
        <v>0</v>
      </c>
      <c r="T32" s="330" t="str">
        <f t="shared" si="73"/>
        <v/>
      </c>
      <c r="U32" s="330" t="str">
        <f t="shared" si="62"/>
        <v/>
      </c>
      <c r="V32" s="328">
        <f>IFERROR(VLOOKUP($U32,HomeBroker!$A$30:$F$60,2,0),0)</f>
        <v>0</v>
      </c>
      <c r="W32" s="392">
        <f>IFERROR(VLOOKUP($U32,HomeBroker!$A$30:$F$60,3,0),0)</f>
        <v>0</v>
      </c>
      <c r="X32" s="497">
        <f>IFERROR(VLOOKUP($U32,HomeBroker!$A$30:$F$60,6,0),0)</f>
        <v>0</v>
      </c>
      <c r="Y32" s="391">
        <f>IFERROR(VLOOKUP($U32,HomeBroker!$A$30:$F$60,4,0),0)</f>
        <v>0</v>
      </c>
      <c r="Z32" s="328">
        <f>IFERROR(VLOOKUP($U32,HomeBroker!$A$30:$F$60,5,0),0)</f>
        <v>0</v>
      </c>
      <c r="AA32" s="331">
        <f>IFERROR(VLOOKUP($U32,HomeBroker!$A$30:$N$60,13,0),0)</f>
        <v>0</v>
      </c>
      <c r="AB32" s="198" t="str">
        <f t="shared" si="63"/>
        <v>-</v>
      </c>
      <c r="AC32" s="107">
        <f t="shared" si="70"/>
        <v>0</v>
      </c>
      <c r="AD32" s="129"/>
      <c r="AE32" s="329">
        <f t="shared" ca="1" si="64"/>
        <v>0</v>
      </c>
      <c r="AF32" s="330" t="str">
        <f t="shared" si="74"/>
        <v/>
      </c>
      <c r="AG32" s="330" t="str">
        <f t="shared" si="75"/>
        <v/>
      </c>
      <c r="AH32" s="363">
        <f>IFERROR(VLOOKUP($AG32,HomeBroker!$A$30:$F$60,2,0),0)</f>
        <v>0</v>
      </c>
      <c r="AI32" s="392">
        <f>IFERROR(VLOOKUP($AG32,HomeBroker!$A$30:$F$60,3,0),0)</f>
        <v>0</v>
      </c>
      <c r="AJ32" s="497">
        <f>IFERROR(VLOOKUP($AG32,HomeBroker!$A$30:$F$60,6,0),0)</f>
        <v>0</v>
      </c>
      <c r="AK32" s="392">
        <f>IFERROR(VLOOKUP($AG32,HomeBroker!$A$30:$F$60,4,0),0)</f>
        <v>0</v>
      </c>
      <c r="AL32" s="363">
        <f>IFERROR(VLOOKUP($AG32,HomeBroker!$A$30:$F$60,5,0),0)</f>
        <v>0</v>
      </c>
      <c r="AM32" s="394">
        <f>IFERROR(VLOOKUP($AG32,HomeBroker!$A$30:$N$60,13,0),0)</f>
        <v>0</v>
      </c>
      <c r="AN32" s="61"/>
      <c r="AO32" s="197" t="str">
        <f t="shared" si="67"/>
        <v>-</v>
      </c>
      <c r="AP32" s="61"/>
      <c r="AQ32" s="61"/>
      <c r="AR32" s="61"/>
      <c r="AS32" s="109"/>
      <c r="AT32" s="123" t="s">
        <v>352</v>
      </c>
      <c r="AU32" s="111"/>
      <c r="AV32" s="126"/>
      <c r="AW32" s="127"/>
      <c r="AX32" s="213">
        <f t="shared" si="11"/>
        <v>0</v>
      </c>
      <c r="AY32" s="214">
        <f t="shared" si="12"/>
        <v>0</v>
      </c>
      <c r="AZ32" s="113" t="s">
        <v>402</v>
      </c>
      <c r="BA32" s="111"/>
      <c r="BB32" s="128"/>
      <c r="BC32" s="114"/>
      <c r="BD32" s="215">
        <f t="shared" si="13"/>
        <v>0</v>
      </c>
      <c r="BE32" s="217">
        <f t="shared" si="14"/>
        <v>0</v>
      </c>
      <c r="BF32" s="115" t="s">
        <v>403</v>
      </c>
      <c r="BG32" s="111"/>
      <c r="BH32" s="114"/>
      <c r="BI32" s="218">
        <f t="shared" si="15"/>
        <v>0</v>
      </c>
      <c r="BJ32" s="219">
        <f t="shared" si="16"/>
        <v>0</v>
      </c>
      <c r="DE32" s="116">
        <f t="shared" si="17"/>
        <v>6112.0488474694248</v>
      </c>
      <c r="DF32" s="117">
        <f t="shared" si="18"/>
        <v>7648195.3898776993</v>
      </c>
      <c r="DG32" s="117">
        <f t="shared" si="19"/>
        <v>0</v>
      </c>
      <c r="DH32" s="117">
        <f t="shared" si="20"/>
        <v>0</v>
      </c>
      <c r="DI32" s="117">
        <f t="shared" si="21"/>
        <v>0</v>
      </c>
      <c r="DJ32" s="117">
        <f t="shared" si="22"/>
        <v>0</v>
      </c>
      <c r="DK32" s="117">
        <f t="shared" si="23"/>
        <v>0</v>
      </c>
      <c r="DL32" s="117">
        <f t="shared" si="24"/>
        <v>0</v>
      </c>
      <c r="DM32" s="117">
        <f t="shared" si="25"/>
        <v>0</v>
      </c>
      <c r="DN32" s="117">
        <f t="shared" si="26"/>
        <v>0</v>
      </c>
      <c r="DO32" s="117">
        <f t="shared" si="27"/>
        <v>0</v>
      </c>
      <c r="DP32" s="117">
        <f t="shared" si="28"/>
        <v>0</v>
      </c>
      <c r="DQ32" s="117">
        <f t="shared" si="29"/>
        <v>0</v>
      </c>
      <c r="DR32" s="117">
        <f t="shared" si="30"/>
        <v>0</v>
      </c>
      <c r="DS32" s="117">
        <f t="shared" si="31"/>
        <v>0</v>
      </c>
      <c r="DT32" s="117">
        <f t="shared" si="32"/>
        <v>0</v>
      </c>
      <c r="DU32" s="117">
        <f t="shared" si="33"/>
        <v>0</v>
      </c>
      <c r="DV32" s="117">
        <f t="shared" si="34"/>
        <v>0</v>
      </c>
      <c r="DW32" s="117">
        <f t="shared" si="35"/>
        <v>0</v>
      </c>
      <c r="DX32" s="117">
        <f t="shared" si="36"/>
        <v>0</v>
      </c>
      <c r="DY32" s="117">
        <f t="shared" si="37"/>
        <v>0</v>
      </c>
      <c r="DZ32" s="117">
        <f t="shared" si="38"/>
        <v>0</v>
      </c>
      <c r="EA32" s="117">
        <f t="shared" si="39"/>
        <v>0</v>
      </c>
      <c r="EB32" s="117">
        <f t="shared" si="40"/>
        <v>0</v>
      </c>
      <c r="EC32" s="117">
        <f t="shared" si="41"/>
        <v>0</v>
      </c>
      <c r="ED32" s="117">
        <f t="shared" si="42"/>
        <v>0</v>
      </c>
      <c r="EE32" s="117">
        <f t="shared" si="43"/>
        <v>0</v>
      </c>
      <c r="EF32" s="117">
        <f t="shared" si="44"/>
        <v>0</v>
      </c>
      <c r="EG32" s="117">
        <f t="shared" si="45"/>
        <v>0</v>
      </c>
      <c r="EH32" s="117">
        <f t="shared" si="46"/>
        <v>0</v>
      </c>
      <c r="EI32" s="117">
        <f t="shared" si="47"/>
        <v>0</v>
      </c>
      <c r="EJ32" s="117">
        <f t="shared" si="48"/>
        <v>0</v>
      </c>
      <c r="EK32" s="117">
        <f t="shared" si="49"/>
        <v>0</v>
      </c>
      <c r="EL32" s="117">
        <f t="shared" si="50"/>
        <v>0</v>
      </c>
      <c r="EM32" s="117">
        <f t="shared" si="51"/>
        <v>0</v>
      </c>
      <c r="EN32" s="117">
        <f t="shared" si="52"/>
        <v>0</v>
      </c>
      <c r="EO32" s="118"/>
      <c r="EP32" s="119">
        <f t="shared" si="53"/>
        <v>7648195.3898776993</v>
      </c>
      <c r="EQ32" s="118"/>
      <c r="ER32" s="125"/>
      <c r="ES32" s="121"/>
      <c r="ET32" s="122">
        <f t="shared" si="54"/>
        <v>15192126.52</v>
      </c>
      <c r="EU32" s="71"/>
      <c r="EV32" s="116">
        <f t="shared" si="55"/>
        <v>6112.0488474694248</v>
      </c>
      <c r="EW32" s="117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7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7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7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7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7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7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7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7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7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7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7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7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7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7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7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7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7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7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7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7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7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7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7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7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7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7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7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7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7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7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7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7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7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7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8"/>
      <c r="GG32" s="119">
        <f t="shared" ca="1" si="56"/>
        <v>0</v>
      </c>
      <c r="GH32" s="118"/>
      <c r="GI32" s="125"/>
      <c r="GJ32" s="121"/>
      <c r="GK32" s="122">
        <f t="shared" ca="1" si="57"/>
        <v>-104264.26</v>
      </c>
    </row>
    <row r="33" spans="1:193" ht="15">
      <c r="A33" s="386" t="s">
        <v>401</v>
      </c>
      <c r="B33" s="202"/>
      <c r="C33" s="199"/>
      <c r="D33" s="398"/>
      <c r="E33" s="399">
        <f t="shared" si="0"/>
        <v>0</v>
      </c>
      <c r="F33" s="400">
        <f t="shared" si="1"/>
        <v>0</v>
      </c>
      <c r="G33" s="201" t="str">
        <f t="shared" si="2"/>
        <v/>
      </c>
      <c r="H33" s="404">
        <f t="shared" si="58"/>
        <v>0</v>
      </c>
      <c r="I33" s="732">
        <f t="shared" si="3"/>
        <v>0</v>
      </c>
      <c r="J33" s="61"/>
      <c r="K33" s="105"/>
      <c r="L33" s="503">
        <f t="shared" si="71"/>
        <v>6417.6512898428964</v>
      </c>
      <c r="M33" s="424">
        <f t="shared" si="5"/>
        <v>17636946.050000001</v>
      </c>
      <c r="N33" s="424">
        <f t="shared" ca="1" si="6"/>
        <v>-104264.26</v>
      </c>
      <c r="O33" s="61"/>
      <c r="P33" s="197" t="str">
        <f t="shared" si="59"/>
        <v>-</v>
      </c>
      <c r="Q33" s="362">
        <f t="shared" si="69"/>
        <v>0</v>
      </c>
      <c r="R33" s="193"/>
      <c r="S33" s="389">
        <f t="shared" ca="1" si="60"/>
        <v>0</v>
      </c>
      <c r="T33" s="330" t="str">
        <f t="shared" si="73"/>
        <v/>
      </c>
      <c r="U33" s="330" t="str">
        <f t="shared" si="62"/>
        <v/>
      </c>
      <c r="V33" s="328">
        <f>IFERROR(VLOOKUP($U33,HomeBroker!$A$30:$F$60,2,0),0)</f>
        <v>0</v>
      </c>
      <c r="W33" s="392">
        <f>IFERROR(VLOOKUP($U33,HomeBroker!$A$30:$F$60,3,0),0)</f>
        <v>0</v>
      </c>
      <c r="X33" s="497">
        <f>IFERROR(VLOOKUP($U33,HomeBroker!$A$30:$F$60,6,0),0)</f>
        <v>0</v>
      </c>
      <c r="Y33" s="391">
        <f>IFERROR(VLOOKUP($U33,HomeBroker!$A$30:$F$60,4,0),0)</f>
        <v>0</v>
      </c>
      <c r="Z33" s="328">
        <f>IFERROR(VLOOKUP($U33,HomeBroker!$A$30:$F$60,5,0),0)</f>
        <v>0</v>
      </c>
      <c r="AA33" s="331">
        <f>IFERROR(VLOOKUP($U33,HomeBroker!$A$30:$N$60,13,0),0)</f>
        <v>0</v>
      </c>
      <c r="AB33" s="198" t="str">
        <f t="shared" si="63"/>
        <v>-</v>
      </c>
      <c r="AC33" s="107">
        <f t="shared" si="70"/>
        <v>0</v>
      </c>
      <c r="AD33" s="129"/>
      <c r="AE33" s="329">
        <f t="shared" ca="1" si="64"/>
        <v>0</v>
      </c>
      <c r="AF33" s="330" t="str">
        <f t="shared" si="74"/>
        <v/>
      </c>
      <c r="AG33" s="330" t="str">
        <f t="shared" si="75"/>
        <v/>
      </c>
      <c r="AH33" s="363">
        <f>IFERROR(VLOOKUP($AG33,HomeBroker!$A$30:$F$60,2,0),0)</f>
        <v>0</v>
      </c>
      <c r="AI33" s="392">
        <f>IFERROR(VLOOKUP($AG33,HomeBroker!$A$30:$F$60,3,0),0)</f>
        <v>0</v>
      </c>
      <c r="AJ33" s="497">
        <f>IFERROR(VLOOKUP($AG33,HomeBroker!$A$30:$F$60,6,0),0)</f>
        <v>0</v>
      </c>
      <c r="AK33" s="392">
        <f>IFERROR(VLOOKUP($AG33,HomeBroker!$A$30:$F$60,4,0),0)</f>
        <v>0</v>
      </c>
      <c r="AL33" s="363">
        <f>IFERROR(VLOOKUP($AG33,HomeBroker!$A$30:$F$60,5,0),0)</f>
        <v>0</v>
      </c>
      <c r="AM33" s="394">
        <f>IFERROR(VLOOKUP($AG33,HomeBroker!$A$30:$N$60,13,0),0)</f>
        <v>0</v>
      </c>
      <c r="AN33" s="61"/>
      <c r="AO33" s="197" t="str">
        <f t="shared" si="67"/>
        <v>-</v>
      </c>
      <c r="AP33" s="61"/>
      <c r="AQ33" s="61"/>
      <c r="AR33" s="61"/>
      <c r="AS33" s="109"/>
      <c r="AT33" s="123" t="s">
        <v>352</v>
      </c>
      <c r="AU33" s="111"/>
      <c r="AV33" s="126"/>
      <c r="AW33" s="127"/>
      <c r="AX33" s="213">
        <f t="shared" si="11"/>
        <v>0</v>
      </c>
      <c r="AY33" s="214">
        <f t="shared" si="12"/>
        <v>0</v>
      </c>
      <c r="AZ33" s="113" t="s">
        <v>402</v>
      </c>
      <c r="BA33" s="111"/>
      <c r="BB33" s="128"/>
      <c r="BC33" s="114"/>
      <c r="BD33" s="215">
        <f t="shared" si="13"/>
        <v>0</v>
      </c>
      <c r="BE33" s="217">
        <f t="shared" si="14"/>
        <v>0</v>
      </c>
      <c r="BF33" s="115" t="s">
        <v>403</v>
      </c>
      <c r="BG33" s="111"/>
      <c r="BH33" s="114"/>
      <c r="BI33" s="218">
        <f t="shared" si="15"/>
        <v>0</v>
      </c>
      <c r="BJ33" s="219">
        <f t="shared" si="16"/>
        <v>0</v>
      </c>
      <c r="DE33" s="116">
        <f t="shared" si="17"/>
        <v>6417.6512898428964</v>
      </c>
      <c r="DF33" s="117">
        <f t="shared" si="18"/>
        <v>8870605.1593715865</v>
      </c>
      <c r="DG33" s="117">
        <f t="shared" si="19"/>
        <v>0</v>
      </c>
      <c r="DH33" s="117">
        <f t="shared" si="20"/>
        <v>0</v>
      </c>
      <c r="DI33" s="117">
        <f t="shared" si="21"/>
        <v>0</v>
      </c>
      <c r="DJ33" s="117">
        <f t="shared" si="22"/>
        <v>0</v>
      </c>
      <c r="DK33" s="117">
        <f t="shared" si="23"/>
        <v>0</v>
      </c>
      <c r="DL33" s="117">
        <f t="shared" si="24"/>
        <v>0</v>
      </c>
      <c r="DM33" s="117">
        <f t="shared" si="25"/>
        <v>0</v>
      </c>
      <c r="DN33" s="117">
        <f t="shared" si="26"/>
        <v>0</v>
      </c>
      <c r="DO33" s="117">
        <f t="shared" si="27"/>
        <v>0</v>
      </c>
      <c r="DP33" s="117">
        <f t="shared" si="28"/>
        <v>0</v>
      </c>
      <c r="DQ33" s="117">
        <f t="shared" si="29"/>
        <v>0</v>
      </c>
      <c r="DR33" s="117">
        <f t="shared" si="30"/>
        <v>0</v>
      </c>
      <c r="DS33" s="117">
        <f t="shared" si="31"/>
        <v>0</v>
      </c>
      <c r="DT33" s="117">
        <f t="shared" si="32"/>
        <v>0</v>
      </c>
      <c r="DU33" s="117">
        <f t="shared" si="33"/>
        <v>0</v>
      </c>
      <c r="DV33" s="117">
        <f t="shared" si="34"/>
        <v>0</v>
      </c>
      <c r="DW33" s="117">
        <f t="shared" si="35"/>
        <v>0</v>
      </c>
      <c r="DX33" s="117">
        <f t="shared" si="36"/>
        <v>0</v>
      </c>
      <c r="DY33" s="117">
        <f t="shared" si="37"/>
        <v>0</v>
      </c>
      <c r="DZ33" s="117">
        <f t="shared" si="38"/>
        <v>0</v>
      </c>
      <c r="EA33" s="117">
        <f t="shared" si="39"/>
        <v>0</v>
      </c>
      <c r="EB33" s="117">
        <f t="shared" si="40"/>
        <v>0</v>
      </c>
      <c r="EC33" s="117">
        <f t="shared" si="41"/>
        <v>0</v>
      </c>
      <c r="ED33" s="117">
        <f t="shared" si="42"/>
        <v>0</v>
      </c>
      <c r="EE33" s="117">
        <f t="shared" si="43"/>
        <v>0</v>
      </c>
      <c r="EF33" s="117">
        <f t="shared" si="44"/>
        <v>0</v>
      </c>
      <c r="EG33" s="117">
        <f t="shared" si="45"/>
        <v>0</v>
      </c>
      <c r="EH33" s="117">
        <f t="shared" si="46"/>
        <v>0</v>
      </c>
      <c r="EI33" s="117">
        <f t="shared" si="47"/>
        <v>0</v>
      </c>
      <c r="EJ33" s="117">
        <f t="shared" si="48"/>
        <v>0</v>
      </c>
      <c r="EK33" s="117">
        <f t="shared" si="49"/>
        <v>0</v>
      </c>
      <c r="EL33" s="117">
        <f t="shared" si="50"/>
        <v>0</v>
      </c>
      <c r="EM33" s="117">
        <f t="shared" si="51"/>
        <v>0</v>
      </c>
      <c r="EN33" s="117">
        <f t="shared" si="52"/>
        <v>0</v>
      </c>
      <c r="EO33" s="118"/>
      <c r="EP33" s="119">
        <f t="shared" si="53"/>
        <v>8870605.1593715865</v>
      </c>
      <c r="EQ33" s="118"/>
      <c r="ER33" s="125"/>
      <c r="ES33" s="121"/>
      <c r="ET33" s="122">
        <f t="shared" si="54"/>
        <v>17636946.050000001</v>
      </c>
      <c r="EU33" s="71"/>
      <c r="EV33" s="116">
        <f t="shared" si="55"/>
        <v>6417.6512898428964</v>
      </c>
      <c r="EW33" s="117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7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7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7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7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7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7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7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7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7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7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7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7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7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7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7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7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7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7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7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7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7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7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7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7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7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7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7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7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7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7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7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7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7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7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8"/>
      <c r="GG33" s="119">
        <f t="shared" ca="1" si="56"/>
        <v>0</v>
      </c>
      <c r="GH33" s="118"/>
      <c r="GI33" s="125"/>
      <c r="GJ33" s="121"/>
      <c r="GK33" s="122">
        <f t="shared" ca="1" si="57"/>
        <v>-104264.26</v>
      </c>
    </row>
    <row r="34" spans="1:193" ht="15.75" thickBot="1">
      <c r="A34" s="386" t="s">
        <v>401</v>
      </c>
      <c r="B34" s="202"/>
      <c r="C34" s="199"/>
      <c r="D34" s="398"/>
      <c r="E34" s="399">
        <f t="shared" si="0"/>
        <v>0</v>
      </c>
      <c r="F34" s="400">
        <f t="shared" si="1"/>
        <v>0</v>
      </c>
      <c r="G34" s="201" t="str">
        <f t="shared" si="2"/>
        <v/>
      </c>
      <c r="H34" s="404">
        <f t="shared" si="58"/>
        <v>0</v>
      </c>
      <c r="I34" s="732">
        <f t="shared" si="3"/>
        <v>0</v>
      </c>
      <c r="J34" s="61"/>
      <c r="K34" s="132"/>
      <c r="L34" s="504">
        <f t="shared" si="71"/>
        <v>6738.5338543350417</v>
      </c>
      <c r="M34" s="425">
        <f t="shared" si="5"/>
        <v>20204006.57</v>
      </c>
      <c r="N34" s="425">
        <f t="shared" ca="1" si="6"/>
        <v>-104264.26</v>
      </c>
      <c r="O34" s="133"/>
      <c r="P34" s="197" t="str">
        <f t="shared" si="59"/>
        <v>-</v>
      </c>
      <c r="Q34" s="362">
        <f t="shared" si="69"/>
        <v>0</v>
      </c>
      <c r="R34" s="193"/>
      <c r="S34" s="389">
        <f t="shared" ca="1" si="60"/>
        <v>0</v>
      </c>
      <c r="T34" s="330" t="str">
        <f t="shared" si="73"/>
        <v/>
      </c>
      <c r="U34" s="330" t="str">
        <f t="shared" si="62"/>
        <v/>
      </c>
      <c r="V34" s="328">
        <f>IFERROR(VLOOKUP($U34,HomeBroker!$A$30:$F$60,2,0),0)</f>
        <v>0</v>
      </c>
      <c r="W34" s="392">
        <f>IFERROR(VLOOKUP($U34,HomeBroker!$A$30:$F$60,3,0),0)</f>
        <v>0</v>
      </c>
      <c r="X34" s="497">
        <f>IFERROR(VLOOKUP($U34,HomeBroker!$A$30:$F$60,6,0),0)</f>
        <v>0</v>
      </c>
      <c r="Y34" s="391">
        <f>IFERROR(VLOOKUP($U34,HomeBroker!$A$30:$F$60,4,0),0)</f>
        <v>0</v>
      </c>
      <c r="Z34" s="328">
        <f>IFERROR(VLOOKUP($U34,HomeBroker!$A$30:$F$60,5,0),0)</f>
        <v>0</v>
      </c>
      <c r="AA34" s="331">
        <f>IFERROR(VLOOKUP($U34,HomeBroker!$A$30:$N$60,13,0),0)</f>
        <v>0</v>
      </c>
      <c r="AB34" s="198" t="str">
        <f t="shared" si="63"/>
        <v>-</v>
      </c>
      <c r="AC34" s="107">
        <f t="shared" si="70"/>
        <v>0</v>
      </c>
      <c r="AD34" s="108"/>
      <c r="AE34" s="329">
        <f t="shared" ca="1" si="64"/>
        <v>0</v>
      </c>
      <c r="AF34" s="330" t="str">
        <f t="shared" si="74"/>
        <v/>
      </c>
      <c r="AG34" s="330" t="str">
        <f t="shared" si="75"/>
        <v/>
      </c>
      <c r="AH34" s="363">
        <f>IFERROR(VLOOKUP($AG34,HomeBroker!$A$30:$F$60,2,0),0)</f>
        <v>0</v>
      </c>
      <c r="AI34" s="392">
        <f>IFERROR(VLOOKUP($AG34,HomeBroker!$A$30:$F$60,3,0),0)</f>
        <v>0</v>
      </c>
      <c r="AJ34" s="497">
        <f>IFERROR(VLOOKUP($AG34,HomeBroker!$A$30:$F$60,6,0),0)</f>
        <v>0</v>
      </c>
      <c r="AK34" s="392">
        <f>IFERROR(VLOOKUP($AG34,HomeBroker!$A$30:$F$60,4,0),0)</f>
        <v>0</v>
      </c>
      <c r="AL34" s="363">
        <f>IFERROR(VLOOKUP($AG34,HomeBroker!$A$30:$F$60,5,0),0)</f>
        <v>0</v>
      </c>
      <c r="AM34" s="394">
        <f>IFERROR(VLOOKUP($AG34,HomeBroker!$A$30:$N$60,13,0),0)</f>
        <v>0</v>
      </c>
      <c r="AN34" s="61"/>
      <c r="AO34" s="197" t="str">
        <f t="shared" si="67"/>
        <v>-</v>
      </c>
      <c r="AP34" s="61"/>
      <c r="AQ34" s="61"/>
      <c r="AR34" s="61"/>
      <c r="AS34" s="109"/>
      <c r="AT34" s="123" t="s">
        <v>352</v>
      </c>
      <c r="AU34" s="111"/>
      <c r="AV34" s="126"/>
      <c r="AW34" s="127"/>
      <c r="AX34" s="213">
        <f t="shared" si="11"/>
        <v>0</v>
      </c>
      <c r="AY34" s="214">
        <f t="shared" si="12"/>
        <v>0</v>
      </c>
      <c r="AZ34" s="113" t="s">
        <v>402</v>
      </c>
      <c r="BA34" s="111"/>
      <c r="BB34" s="128"/>
      <c r="BC34" s="114"/>
      <c r="BD34" s="215">
        <f t="shared" si="13"/>
        <v>0</v>
      </c>
      <c r="BE34" s="217">
        <f t="shared" si="14"/>
        <v>0</v>
      </c>
      <c r="BF34" s="115" t="s">
        <v>403</v>
      </c>
      <c r="BG34" s="111"/>
      <c r="BH34" s="114"/>
      <c r="BI34" s="218">
        <f t="shared" si="15"/>
        <v>0</v>
      </c>
      <c r="BJ34" s="219">
        <f t="shared" si="16"/>
        <v>0</v>
      </c>
      <c r="DE34" s="116">
        <f t="shared" si="17"/>
        <v>6738.5338543350417</v>
      </c>
      <c r="DF34" s="117">
        <f t="shared" si="18"/>
        <v>10154135.417340167</v>
      </c>
      <c r="DG34" s="117">
        <f t="shared" si="19"/>
        <v>0</v>
      </c>
      <c r="DH34" s="117">
        <f t="shared" si="20"/>
        <v>0</v>
      </c>
      <c r="DI34" s="117">
        <f t="shared" si="21"/>
        <v>0</v>
      </c>
      <c r="DJ34" s="117">
        <f t="shared" si="22"/>
        <v>0</v>
      </c>
      <c r="DK34" s="117">
        <f t="shared" si="23"/>
        <v>0</v>
      </c>
      <c r="DL34" s="117">
        <f t="shared" si="24"/>
        <v>0</v>
      </c>
      <c r="DM34" s="117">
        <f t="shared" si="25"/>
        <v>0</v>
      </c>
      <c r="DN34" s="117">
        <f t="shared" si="26"/>
        <v>0</v>
      </c>
      <c r="DO34" s="117">
        <f t="shared" si="27"/>
        <v>0</v>
      </c>
      <c r="DP34" s="117">
        <f t="shared" si="28"/>
        <v>0</v>
      </c>
      <c r="DQ34" s="117">
        <f t="shared" si="29"/>
        <v>0</v>
      </c>
      <c r="DR34" s="117">
        <f t="shared" si="30"/>
        <v>0</v>
      </c>
      <c r="DS34" s="117">
        <f t="shared" si="31"/>
        <v>0</v>
      </c>
      <c r="DT34" s="117">
        <f t="shared" si="32"/>
        <v>0</v>
      </c>
      <c r="DU34" s="117">
        <f t="shared" si="33"/>
        <v>0</v>
      </c>
      <c r="DV34" s="117">
        <f t="shared" si="34"/>
        <v>0</v>
      </c>
      <c r="DW34" s="117">
        <f t="shared" si="35"/>
        <v>0</v>
      </c>
      <c r="DX34" s="117">
        <f t="shared" si="36"/>
        <v>0</v>
      </c>
      <c r="DY34" s="117">
        <f t="shared" si="37"/>
        <v>0</v>
      </c>
      <c r="DZ34" s="117">
        <f t="shared" si="38"/>
        <v>0</v>
      </c>
      <c r="EA34" s="117">
        <f t="shared" si="39"/>
        <v>0</v>
      </c>
      <c r="EB34" s="117">
        <f t="shared" si="40"/>
        <v>0</v>
      </c>
      <c r="EC34" s="117">
        <f t="shared" si="41"/>
        <v>0</v>
      </c>
      <c r="ED34" s="117">
        <f t="shared" si="42"/>
        <v>0</v>
      </c>
      <c r="EE34" s="117">
        <f t="shared" si="43"/>
        <v>0</v>
      </c>
      <c r="EF34" s="117">
        <f t="shared" si="44"/>
        <v>0</v>
      </c>
      <c r="EG34" s="117">
        <f t="shared" si="45"/>
        <v>0</v>
      </c>
      <c r="EH34" s="117">
        <f t="shared" si="46"/>
        <v>0</v>
      </c>
      <c r="EI34" s="117">
        <f t="shared" si="47"/>
        <v>0</v>
      </c>
      <c r="EJ34" s="117">
        <f t="shared" si="48"/>
        <v>0</v>
      </c>
      <c r="EK34" s="117">
        <f t="shared" si="49"/>
        <v>0</v>
      </c>
      <c r="EL34" s="117">
        <f t="shared" si="50"/>
        <v>0</v>
      </c>
      <c r="EM34" s="117">
        <f t="shared" si="51"/>
        <v>0</v>
      </c>
      <c r="EN34" s="117">
        <f t="shared" si="52"/>
        <v>0</v>
      </c>
      <c r="EO34" s="118"/>
      <c r="EP34" s="119">
        <f t="shared" si="53"/>
        <v>10154135.417340167</v>
      </c>
      <c r="EQ34" s="118"/>
      <c r="ER34" s="134"/>
      <c r="ES34" s="135"/>
      <c r="ET34" s="136">
        <f t="shared" si="54"/>
        <v>20204006.57</v>
      </c>
      <c r="EU34" s="71"/>
      <c r="EV34" s="116">
        <f t="shared" si="55"/>
        <v>6738.5338543350417</v>
      </c>
      <c r="EW34" s="117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7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7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7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7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7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7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7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7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7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7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7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7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7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7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7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7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7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7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7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7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7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7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7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7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7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7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7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7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7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7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7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7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7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7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8"/>
      <c r="GG34" s="119">
        <f t="shared" ca="1" si="56"/>
        <v>0</v>
      </c>
      <c r="GH34" s="118"/>
      <c r="GI34" s="134"/>
      <c r="GJ34" s="135"/>
      <c r="GK34" s="136">
        <f t="shared" ca="1" si="57"/>
        <v>-104264.26</v>
      </c>
    </row>
    <row r="35" spans="1:193" ht="15">
      <c r="A35" s="386" t="s">
        <v>401</v>
      </c>
      <c r="B35" s="202"/>
      <c r="C35" s="199"/>
      <c r="D35" s="398"/>
      <c r="E35" s="399">
        <f t="shared" si="0"/>
        <v>0</v>
      </c>
      <c r="F35" s="400">
        <f t="shared" ref="F35:F66" si="76">IF(B35&gt;0,+B35*D35*(1+($N$53+0.002)*1.21)*-100,B35*D35*(1-($N$53+0.002)*1.21)*-100)</f>
        <v>0</v>
      </c>
      <c r="G35" s="201" t="str">
        <f t="shared" si="2"/>
        <v/>
      </c>
      <c r="H35" s="404">
        <f t="shared" si="58"/>
        <v>0</v>
      </c>
      <c r="I35" s="732">
        <f t="shared" si="3"/>
        <v>0</v>
      </c>
      <c r="J35" s="61"/>
      <c r="K35" s="137"/>
      <c r="L35" s="137"/>
      <c r="M35" s="137"/>
      <c r="N35" s="137"/>
      <c r="O35" s="61"/>
      <c r="P35" s="197" t="str">
        <f t="shared" si="59"/>
        <v>-</v>
      </c>
      <c r="Q35" s="362">
        <f t="shared" si="69"/>
        <v>0</v>
      </c>
      <c r="R35" s="193"/>
      <c r="S35" s="389">
        <f t="shared" ca="1" si="60"/>
        <v>0</v>
      </c>
      <c r="T35" s="330" t="str">
        <f t="shared" si="73"/>
        <v/>
      </c>
      <c r="U35" s="330" t="str">
        <f t="shared" si="62"/>
        <v/>
      </c>
      <c r="V35" s="328">
        <f>IFERROR(VLOOKUP($U35,HomeBroker!$A$30:$F$60,2,0),0)</f>
        <v>0</v>
      </c>
      <c r="W35" s="392">
        <f>IFERROR(VLOOKUP($U35,HomeBroker!$A$30:$F$60,3,0),0)</f>
        <v>0</v>
      </c>
      <c r="X35" s="497">
        <f>IFERROR(VLOOKUP($U35,HomeBroker!$A$30:$F$60,6,0),0)</f>
        <v>0</v>
      </c>
      <c r="Y35" s="391">
        <f>IFERROR(VLOOKUP($U35,HomeBroker!$A$30:$F$60,4,0),0)</f>
        <v>0</v>
      </c>
      <c r="Z35" s="328">
        <f>IFERROR(VLOOKUP($U35,HomeBroker!$A$30:$F$60,5,0),0)</f>
        <v>0</v>
      </c>
      <c r="AA35" s="331">
        <f>IFERROR(VLOOKUP($U35,HomeBroker!$A$30:$N$60,13,0),0)</f>
        <v>0</v>
      </c>
      <c r="AB35" s="198" t="str">
        <f t="shared" si="63"/>
        <v>-</v>
      </c>
      <c r="AC35" s="107">
        <f t="shared" si="70"/>
        <v>0</v>
      </c>
      <c r="AD35" s="108"/>
      <c r="AE35" s="329">
        <f t="shared" ca="1" si="64"/>
        <v>0</v>
      </c>
      <c r="AF35" s="330" t="str">
        <f t="shared" si="74"/>
        <v/>
      </c>
      <c r="AG35" s="330" t="str">
        <f t="shared" si="75"/>
        <v/>
      </c>
      <c r="AH35" s="363">
        <f>IFERROR(VLOOKUP($AG35,HomeBroker!$A$30:$F$60,2,0),0)</f>
        <v>0</v>
      </c>
      <c r="AI35" s="392">
        <f>IFERROR(VLOOKUP($AG35,HomeBroker!$A$30:$F$60,3,0),0)</f>
        <v>0</v>
      </c>
      <c r="AJ35" s="497">
        <f>IFERROR(VLOOKUP($AG35,HomeBroker!$A$30:$F$60,6,0),0)</f>
        <v>0</v>
      </c>
      <c r="AK35" s="392">
        <f>IFERROR(VLOOKUP($AG35,HomeBroker!$A$30:$F$60,4,0),0)</f>
        <v>0</v>
      </c>
      <c r="AL35" s="363">
        <f>IFERROR(VLOOKUP($AG35,HomeBroker!$A$30:$F$60,5,0),0)</f>
        <v>0</v>
      </c>
      <c r="AM35" s="394">
        <f>IFERROR(VLOOKUP($AG35,HomeBroker!$A$30:$N$60,13,0),0)</f>
        <v>0</v>
      </c>
      <c r="AN35" s="61"/>
      <c r="AO35" s="197" t="str">
        <f t="shared" si="67"/>
        <v>-</v>
      </c>
      <c r="AP35" s="61"/>
      <c r="AQ35" s="61"/>
      <c r="AR35" s="61"/>
      <c r="AS35" s="109"/>
      <c r="AT35" s="123" t="s">
        <v>352</v>
      </c>
      <c r="AU35" s="111"/>
      <c r="AV35" s="126"/>
      <c r="AW35" s="127"/>
      <c r="AX35" s="213">
        <f t="shared" si="11"/>
        <v>0</v>
      </c>
      <c r="AY35" s="214">
        <f t="shared" si="12"/>
        <v>0</v>
      </c>
      <c r="AZ35" s="113" t="s">
        <v>402</v>
      </c>
      <c r="BA35" s="111"/>
      <c r="BB35" s="128"/>
      <c r="BC35" s="114"/>
      <c r="BD35" s="215">
        <f t="shared" si="13"/>
        <v>0</v>
      </c>
      <c r="BE35" s="217">
        <f t="shared" si="14"/>
        <v>0</v>
      </c>
      <c r="BF35" s="115" t="s">
        <v>403</v>
      </c>
      <c r="BG35" s="111"/>
      <c r="BH35" s="114"/>
      <c r="BI35" s="218">
        <f t="shared" si="15"/>
        <v>0</v>
      </c>
      <c r="BJ35" s="219">
        <f t="shared" si="16"/>
        <v>0</v>
      </c>
      <c r="DE35" s="138" t="s">
        <v>349</v>
      </c>
      <c r="DF35" s="139" t="s">
        <v>404</v>
      </c>
      <c r="DG35" s="139" t="s">
        <v>405</v>
      </c>
      <c r="DH35" s="139" t="s">
        <v>406</v>
      </c>
      <c r="DI35" s="139" t="s">
        <v>407</v>
      </c>
      <c r="DJ35" s="139" t="s">
        <v>408</v>
      </c>
      <c r="DK35" s="139" t="s">
        <v>409</v>
      </c>
      <c r="DL35" s="139" t="s">
        <v>410</v>
      </c>
      <c r="DM35" s="139" t="s">
        <v>411</v>
      </c>
      <c r="DN35" s="139" t="s">
        <v>412</v>
      </c>
      <c r="DO35" s="139" t="s">
        <v>413</v>
      </c>
      <c r="DP35" s="139" t="s">
        <v>414</v>
      </c>
      <c r="DQ35" s="139" t="s">
        <v>415</v>
      </c>
      <c r="DR35" s="139" t="s">
        <v>416</v>
      </c>
      <c r="DS35" s="139" t="s">
        <v>417</v>
      </c>
      <c r="DT35" s="139" t="s">
        <v>418</v>
      </c>
      <c r="DU35" s="139" t="s">
        <v>419</v>
      </c>
      <c r="DV35" s="139" t="s">
        <v>420</v>
      </c>
      <c r="DW35" s="139" t="s">
        <v>421</v>
      </c>
      <c r="DX35" s="139" t="s">
        <v>422</v>
      </c>
      <c r="DY35" s="139" t="s">
        <v>423</v>
      </c>
      <c r="DZ35" s="139" t="s">
        <v>424</v>
      </c>
      <c r="EA35" s="139" t="s">
        <v>425</v>
      </c>
      <c r="EB35" s="139" t="s">
        <v>426</v>
      </c>
      <c r="EC35" s="139" t="s">
        <v>427</v>
      </c>
      <c r="ED35" s="139" t="s">
        <v>428</v>
      </c>
      <c r="EE35" s="139" t="s">
        <v>429</v>
      </c>
      <c r="EF35" s="139" t="s">
        <v>430</v>
      </c>
      <c r="EG35" s="139" t="s">
        <v>431</v>
      </c>
      <c r="EH35" s="139" t="s">
        <v>432</v>
      </c>
      <c r="EI35" s="139" t="s">
        <v>433</v>
      </c>
      <c r="EJ35" s="139" t="s">
        <v>434</v>
      </c>
      <c r="EK35" s="139" t="s">
        <v>435</v>
      </c>
      <c r="EL35" s="139" t="s">
        <v>436</v>
      </c>
      <c r="EM35" s="139" t="s">
        <v>437</v>
      </c>
      <c r="EN35" s="139" t="s">
        <v>438</v>
      </c>
      <c r="EO35" s="140" t="s">
        <v>439</v>
      </c>
      <c r="EP35" s="140" t="s">
        <v>440</v>
      </c>
      <c r="EQ35" s="140" t="s">
        <v>441</v>
      </c>
      <c r="ER35" s="140" t="s">
        <v>409</v>
      </c>
      <c r="ES35" s="118"/>
      <c r="ET35" s="141" t="s">
        <v>399</v>
      </c>
      <c r="EU35" s="71"/>
      <c r="EV35" s="138" t="s">
        <v>349</v>
      </c>
      <c r="EW35" s="139" t="s">
        <v>404</v>
      </c>
      <c r="EX35" s="139" t="s">
        <v>405</v>
      </c>
      <c r="EY35" s="139" t="s">
        <v>406</v>
      </c>
      <c r="EZ35" s="139" t="s">
        <v>407</v>
      </c>
      <c r="FA35" s="139" t="s">
        <v>408</v>
      </c>
      <c r="FB35" s="139" t="s">
        <v>409</v>
      </c>
      <c r="FC35" s="139" t="s">
        <v>410</v>
      </c>
      <c r="FD35" s="139" t="s">
        <v>411</v>
      </c>
      <c r="FE35" s="139" t="s">
        <v>412</v>
      </c>
      <c r="FF35" s="139" t="s">
        <v>413</v>
      </c>
      <c r="FG35" s="139" t="s">
        <v>414</v>
      </c>
      <c r="FH35" s="139" t="s">
        <v>415</v>
      </c>
      <c r="FI35" s="139" t="s">
        <v>416</v>
      </c>
      <c r="FJ35" s="139" t="s">
        <v>417</v>
      </c>
      <c r="FK35" s="139" t="s">
        <v>418</v>
      </c>
      <c r="FL35" s="139" t="s">
        <v>419</v>
      </c>
      <c r="FM35" s="139" t="s">
        <v>420</v>
      </c>
      <c r="FN35" s="139" t="s">
        <v>421</v>
      </c>
      <c r="FO35" s="139" t="s">
        <v>422</v>
      </c>
      <c r="FP35" s="139" t="s">
        <v>423</v>
      </c>
      <c r="FQ35" s="139" t="s">
        <v>424</v>
      </c>
      <c r="FR35" s="139" t="s">
        <v>425</v>
      </c>
      <c r="FS35" s="139" t="s">
        <v>426</v>
      </c>
      <c r="FT35" s="139" t="s">
        <v>427</v>
      </c>
      <c r="FU35" s="139" t="s">
        <v>428</v>
      </c>
      <c r="FV35" s="139" t="s">
        <v>429</v>
      </c>
      <c r="FW35" s="139" t="s">
        <v>430</v>
      </c>
      <c r="FX35" s="139" t="s">
        <v>431</v>
      </c>
      <c r="FY35" s="139" t="s">
        <v>432</v>
      </c>
      <c r="FZ35" s="139" t="s">
        <v>433</v>
      </c>
      <c r="GA35" s="139" t="s">
        <v>434</v>
      </c>
      <c r="GB35" s="139" t="s">
        <v>435</v>
      </c>
      <c r="GC35" s="139" t="s">
        <v>436</v>
      </c>
      <c r="GD35" s="139" t="s">
        <v>437</v>
      </c>
      <c r="GE35" s="139" t="s">
        <v>438</v>
      </c>
      <c r="GF35" s="140" t="s">
        <v>439</v>
      </c>
      <c r="GG35" s="140" t="s">
        <v>440</v>
      </c>
      <c r="GH35" s="140" t="s">
        <v>441</v>
      </c>
      <c r="GI35" s="140" t="s">
        <v>409</v>
      </c>
      <c r="GJ35" s="118"/>
      <c r="GK35" s="141" t="s">
        <v>399</v>
      </c>
    </row>
    <row r="36" spans="1:193" ht="15">
      <c r="A36" s="386" t="s">
        <v>401</v>
      </c>
      <c r="B36" s="202"/>
      <c r="C36" s="199"/>
      <c r="D36" s="398"/>
      <c r="E36" s="399">
        <f t="shared" si="0"/>
        <v>0</v>
      </c>
      <c r="F36" s="400">
        <f t="shared" si="76"/>
        <v>0</v>
      </c>
      <c r="G36" s="201" t="str">
        <f t="shared" si="2"/>
        <v/>
      </c>
      <c r="H36" s="404">
        <f t="shared" si="58"/>
        <v>0</v>
      </c>
      <c r="I36" s="732">
        <f t="shared" si="3"/>
        <v>0</v>
      </c>
      <c r="J36" s="61"/>
      <c r="K36" s="830" t="s">
        <v>442</v>
      </c>
      <c r="L36" s="827"/>
      <c r="M36" s="828"/>
      <c r="N36" s="377">
        <f>SUM(AY:AY)+SUM(BE:BE)+SUM(BJ:BJ)+$F$76</f>
        <v>-104264.26399999998</v>
      </c>
      <c r="O36" s="61"/>
      <c r="P36" s="197" t="str">
        <f t="shared" si="59"/>
        <v>-</v>
      </c>
      <c r="Q36" s="362">
        <f t="shared" si="69"/>
        <v>0</v>
      </c>
      <c r="R36" s="193"/>
      <c r="S36" s="389">
        <f t="shared" ca="1" si="60"/>
        <v>0</v>
      </c>
      <c r="T36" s="330" t="str">
        <f t="shared" si="73"/>
        <v/>
      </c>
      <c r="U36" s="330" t="str">
        <f t="shared" si="62"/>
        <v/>
      </c>
      <c r="V36" s="328">
        <f>IFERROR(VLOOKUP($U36,HomeBroker!$A$30:$F$60,2,0),0)</f>
        <v>0</v>
      </c>
      <c r="W36" s="392">
        <f>IFERROR(VLOOKUP($U36,HomeBroker!$A$30:$F$60,3,0),0)</f>
        <v>0</v>
      </c>
      <c r="X36" s="497">
        <f>IFERROR(VLOOKUP($U36,HomeBroker!$A$30:$F$60,6,0),0)</f>
        <v>0</v>
      </c>
      <c r="Y36" s="391">
        <f>IFERROR(VLOOKUP($U36,HomeBroker!$A$30:$F$60,4,0),0)</f>
        <v>0</v>
      </c>
      <c r="Z36" s="328">
        <f>IFERROR(VLOOKUP($U36,HomeBroker!$A$30:$F$60,5,0),0)</f>
        <v>0</v>
      </c>
      <c r="AA36" s="331">
        <f>IFERROR(VLOOKUP($U36,HomeBroker!$A$30:$N$60,13,0),0)</f>
        <v>0</v>
      </c>
      <c r="AB36" s="198" t="str">
        <f t="shared" si="63"/>
        <v>-</v>
      </c>
      <c r="AC36" s="107">
        <f t="shared" si="70"/>
        <v>0</v>
      </c>
      <c r="AD36" s="108"/>
      <c r="AE36" s="329">
        <f t="shared" ca="1" si="64"/>
        <v>0</v>
      </c>
      <c r="AF36" s="330" t="str">
        <f t="shared" si="74"/>
        <v/>
      </c>
      <c r="AG36" s="330" t="str">
        <f t="shared" si="75"/>
        <v/>
      </c>
      <c r="AH36" s="363">
        <f>IFERROR(VLOOKUP($AG36,HomeBroker!$A$30:$F$60,2,0),0)</f>
        <v>0</v>
      </c>
      <c r="AI36" s="392">
        <f>IFERROR(VLOOKUP($AG36,HomeBroker!$A$30:$F$60,3,0),0)</f>
        <v>0</v>
      </c>
      <c r="AJ36" s="497">
        <f>IFERROR(VLOOKUP($AG36,HomeBroker!$A$30:$F$60,6,0),0)</f>
        <v>0</v>
      </c>
      <c r="AK36" s="392">
        <f>IFERROR(VLOOKUP($AG36,HomeBroker!$A$30:$F$60,4,0),0)</f>
        <v>0</v>
      </c>
      <c r="AL36" s="363">
        <f>IFERROR(VLOOKUP($AG36,HomeBroker!$A$30:$F$60,5,0),0)</f>
        <v>0</v>
      </c>
      <c r="AM36" s="394">
        <f>IFERROR(VLOOKUP($AG36,HomeBroker!$A$30:$N$60,13,0),0)</f>
        <v>0</v>
      </c>
      <c r="AN36" s="61"/>
      <c r="AO36" s="106" t="str">
        <f t="shared" si="67"/>
        <v>-</v>
      </c>
      <c r="AP36" s="61"/>
      <c r="AQ36" s="61"/>
      <c r="AR36" s="61"/>
      <c r="AS36" s="109"/>
      <c r="AT36" s="123" t="s">
        <v>352</v>
      </c>
      <c r="AU36" s="111"/>
      <c r="AV36" s="126"/>
      <c r="AW36" s="127"/>
      <c r="AX36" s="213">
        <f t="shared" si="11"/>
        <v>0</v>
      </c>
      <c r="AY36" s="214">
        <f t="shared" si="12"/>
        <v>0</v>
      </c>
      <c r="AZ36" s="113" t="s">
        <v>402</v>
      </c>
      <c r="BA36" s="111"/>
      <c r="BB36" s="128"/>
      <c r="BC36" s="114"/>
      <c r="BD36" s="215">
        <f t="shared" si="13"/>
        <v>0</v>
      </c>
      <c r="BE36" s="217">
        <f t="shared" si="14"/>
        <v>0</v>
      </c>
      <c r="BF36" s="115" t="s">
        <v>403</v>
      </c>
      <c r="BG36" s="111"/>
      <c r="BH36" s="114"/>
      <c r="BI36" s="218">
        <f t="shared" si="15"/>
        <v>0</v>
      </c>
      <c r="BJ36" s="219">
        <f t="shared" si="16"/>
        <v>0</v>
      </c>
      <c r="DE36" s="116">
        <f t="shared" ref="DE36:DE67" si="77">DE3</f>
        <v>1430.1800275031574</v>
      </c>
      <c r="DF36" s="117">
        <f t="shared" ref="DF36:DF67" si="78">IF($DE36&lt;$C$38,$B$38*100*($C$38-$DE36),0)</f>
        <v>0</v>
      </c>
      <c r="DG36" s="117">
        <f t="shared" ref="DG36:DG67" si="79">IF($DE36&lt;$C$39,$B$39*100*($C$39-$DE36),0)</f>
        <v>0</v>
      </c>
      <c r="DH36" s="117">
        <f t="shared" ref="DH36:DH67" si="80">IF($DE36&lt;$C$40,$B$40*100*($C$40-$DE36),0)</f>
        <v>0</v>
      </c>
      <c r="DI36" s="117">
        <f t="shared" ref="DI36:DI67" si="81">IF($DE36&lt;$C$41,$B$41*100*($C$41-$DE36),0)</f>
        <v>0</v>
      </c>
      <c r="DJ36" s="117">
        <f t="shared" ref="DJ36:DJ67" si="82">IF($DE36&lt;$C$42,$B$42*100*($C$42-$DE36),0)</f>
        <v>0</v>
      </c>
      <c r="DK36" s="117">
        <f t="shared" ref="DK36:DK67" si="83">IF($DE36&lt;$C$43,$B$43*100*($C$43-$DE36),0)</f>
        <v>0</v>
      </c>
      <c r="DL36" s="117">
        <f t="shared" ref="DL36:DL67" si="84">IF($DE36&lt;$C$44,$B$44*100*($C$44-$DE36),0)</f>
        <v>0</v>
      </c>
      <c r="DM36" s="117">
        <f t="shared" ref="DM36:DM67" si="85">IF($DE36&lt;$C$45,$B$45*100*($C$45-$DE36),0)</f>
        <v>0</v>
      </c>
      <c r="DN36" s="117">
        <f t="shared" ref="DN36:DN67" si="86">IF($DE36&lt;$C$46,$B$46*100*($C$46-$DE36),0)</f>
        <v>0</v>
      </c>
      <c r="DO36" s="117">
        <f t="shared" ref="DO36:DO67" si="87">IF($DE36&lt;$C$47,$B$47*100*($C$47-$DE36),0)</f>
        <v>0</v>
      </c>
      <c r="DP36" s="117">
        <f t="shared" ref="DP36:DP67" si="88">IF($DE36&lt;$C$48,$B$48*100*($C$48-$DE36),0)</f>
        <v>0</v>
      </c>
      <c r="DQ36" s="117">
        <f t="shared" ref="DQ36:DQ67" si="89">IF($DE36&lt;$C$49,$B$49*100*($C$49-$DE36),0)</f>
        <v>0</v>
      </c>
      <c r="DR36" s="117">
        <f t="shared" ref="DR36:DR67" si="90">IF($DE36&lt;$C$50,$B$50*100*($C$50-$DE36),0)</f>
        <v>0</v>
      </c>
      <c r="DS36" s="117">
        <f t="shared" ref="DS36:DS67" si="91">IF($DE36&lt;$C$51,$B$51*100*($C$51-$DE36),0)</f>
        <v>0</v>
      </c>
      <c r="DT36" s="117">
        <f t="shared" ref="DT36:DT67" si="92">IF($DE36&lt;$C$52,$B$52*100*($C$52-$DE36),0)</f>
        <v>0</v>
      </c>
      <c r="DU36" s="117">
        <f t="shared" ref="DU36:DU67" si="93">IF($DE36&lt;$C$53,$B$53*100*($C$53-$DE36),0)</f>
        <v>0</v>
      </c>
      <c r="DV36" s="117">
        <f t="shared" ref="DV36:DV67" si="94">IF($DE36&lt;$C$54,$B$54*100*($C$54-$DE36),0)</f>
        <v>0</v>
      </c>
      <c r="DW36" s="117">
        <f t="shared" ref="DW36:DW67" si="95">IF($DE36&lt;$C$55,$B$55*100*($C$55-$DE36),0)</f>
        <v>0</v>
      </c>
      <c r="DX36" s="117">
        <f t="shared" ref="DX36:DX67" si="96">IF($DE36&lt;$C$56,$B$56*100*($C$56-$DE36),0)</f>
        <v>0</v>
      </c>
      <c r="DY36" s="117">
        <f t="shared" ref="DY36:DY67" si="97">IF($DE36&lt;$C$57,$B$57*100*($C$57-$DE36),0)</f>
        <v>0</v>
      </c>
      <c r="DZ36" s="117">
        <f t="shared" ref="DZ36:DZ67" si="98">IF($DE36&lt;$C$58,$B$58*100*($C$58-$DE36),0)</f>
        <v>0</v>
      </c>
      <c r="EA36" s="117">
        <f t="shared" ref="EA36:EA67" si="99">IF($DE36&lt;$C$59,$B$59*100*($C$59-$DE36),0)</f>
        <v>0</v>
      </c>
      <c r="EB36" s="117">
        <f t="shared" ref="EB36:EB67" si="100">IF($DE36&lt;$C$60,$B$60*100*($C$60-$DE36),0)</f>
        <v>0</v>
      </c>
      <c r="EC36" s="117">
        <f t="shared" ref="EC36:EC67" si="101">IF($DE36&lt;$C$61,$B$61*100*($C$61-$DE36),0)</f>
        <v>0</v>
      </c>
      <c r="ED36" s="117">
        <f t="shared" ref="ED36:ED67" si="102">IF($DE36&lt;$C$62,$B$62*100*($C$62-$DE36),0)</f>
        <v>0</v>
      </c>
      <c r="EE36" s="117">
        <f t="shared" ref="EE36:EE67" si="103">IF($DE36&lt;$C$63,$B$63*100*($C$63-$DE36),0)</f>
        <v>0</v>
      </c>
      <c r="EF36" s="117">
        <f t="shared" ref="EF36:EF67" si="104">IF($DE36&lt;$C$64,$B$64*100*($C$64-$DE36),0)</f>
        <v>0</v>
      </c>
      <c r="EG36" s="117">
        <f t="shared" ref="EG36:EG67" si="105">IF($DE36&lt;$C$65,$B$65*100*($C$65-$DE36),0)</f>
        <v>0</v>
      </c>
      <c r="EH36" s="117">
        <f t="shared" ref="EH36:EH67" si="106">IF($DE36&lt;$C$66,$B$66*100*($C$66-$DE36),0)</f>
        <v>0</v>
      </c>
      <c r="EI36" s="117">
        <f t="shared" ref="EI36:EI67" si="107">IF($DE36&lt;$C$67,$B$67*100*($C$67-$DE36),0)</f>
        <v>0</v>
      </c>
      <c r="EJ36" s="117">
        <f t="shared" ref="EJ36:EJ67" si="108">IF($DE36&lt;$C$68,$B$68*100*($C$68-$DE36),0)</f>
        <v>0</v>
      </c>
      <c r="EK36" s="117">
        <f t="shared" ref="EK36:EK67" si="109">IF($DE36&lt;$C$69,$B$69*100*($C$69-$DE36),0)</f>
        <v>0</v>
      </c>
      <c r="EL36" s="117">
        <f t="shared" ref="EL36:EL67" si="110">IF($DE36&lt;$C$70,$B$70*100*($C$70-$DE36),0)</f>
        <v>0</v>
      </c>
      <c r="EM36" s="117">
        <f t="shared" ref="EM36:EM67" si="111">IF($DE36&lt;$C$71,$B$71*100*($C$71-$DE36),0)</f>
        <v>0</v>
      </c>
      <c r="EN36" s="117">
        <f t="shared" ref="EN36:EN67" si="112">IF($DE36&lt;$C$72,$B$72*100*($C$72-$DE36),0)</f>
        <v>0</v>
      </c>
      <c r="EO36" s="117">
        <f t="shared" ref="EO36:EO67" si="113">$DE36*$B$73</f>
        <v>0</v>
      </c>
      <c r="EP36" s="117">
        <f t="shared" ref="EP36:EP67" si="114">$DE36*$B$74</f>
        <v>0</v>
      </c>
      <c r="EQ36" s="117">
        <f t="shared" ref="EQ36:EQ67" si="115">$DE36*$B$75</f>
        <v>0</v>
      </c>
      <c r="ER36" s="117">
        <f t="shared" ref="ER36:ER67" si="116">$DE36*$AB$43</f>
        <v>0</v>
      </c>
      <c r="ES36" s="118"/>
      <c r="ET36" s="142">
        <f t="shared" ref="ET36:ET67" si="117">SUM(DF36:ER36)</f>
        <v>0</v>
      </c>
      <c r="EU36" s="71"/>
      <c r="EV36" s="116">
        <f t="shared" ref="EV36:EV67" si="118">EV3</f>
        <v>1430.1800275031574</v>
      </c>
      <c r="EW36" s="117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7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7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7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7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7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7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7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7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7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7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7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7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7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7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7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7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7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7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7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7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7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7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7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7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7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7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7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7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7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7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7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7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7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7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7">
        <f t="shared" ref="GF36:GF67" si="119">$EV36*$B$73</f>
        <v>0</v>
      </c>
      <c r="GG36" s="117">
        <f t="shared" ref="GG36:GG67" si="120">$EV36*$B$74</f>
        <v>0</v>
      </c>
      <c r="GH36" s="117">
        <f t="shared" ref="GH36:GH67" si="121">$EV36*$B$75</f>
        <v>0</v>
      </c>
      <c r="GI36" s="117">
        <f t="shared" ref="GI36:GI67" si="122">$EV36*$AB$43</f>
        <v>0</v>
      </c>
      <c r="GJ36" s="118"/>
      <c r="GK36" s="142">
        <f t="shared" ref="GK36:GK67" ca="1" si="123">SUM(EW36:GI36)</f>
        <v>0</v>
      </c>
    </row>
    <row r="37" spans="1:193" ht="15">
      <c r="A37" s="387" t="s">
        <v>401</v>
      </c>
      <c r="B37" s="379"/>
      <c r="C37" s="380"/>
      <c r="D37" s="401"/>
      <c r="E37" s="402">
        <f t="shared" si="0"/>
        <v>0</v>
      </c>
      <c r="F37" s="403">
        <f t="shared" si="76"/>
        <v>0</v>
      </c>
      <c r="G37" s="381" t="str">
        <f t="shared" si="2"/>
        <v/>
      </c>
      <c r="H37" s="405">
        <f t="shared" si="58"/>
        <v>0</v>
      </c>
      <c r="I37" s="733">
        <f t="shared" si="3"/>
        <v>0</v>
      </c>
      <c r="J37" s="61"/>
      <c r="K37" s="830" t="s">
        <v>443</v>
      </c>
      <c r="L37" s="827"/>
      <c r="M37" s="828"/>
      <c r="N37" s="37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119735.73600000002</v>
      </c>
      <c r="O37" s="61"/>
      <c r="P37" s="197" t="str">
        <f t="shared" si="59"/>
        <v>-</v>
      </c>
      <c r="Q37" s="362">
        <f t="shared" si="69"/>
        <v>0</v>
      </c>
      <c r="R37" s="193"/>
      <c r="S37" s="389">
        <f t="shared" ca="1" si="60"/>
        <v>0</v>
      </c>
      <c r="T37" s="330" t="str">
        <f t="shared" si="73"/>
        <v/>
      </c>
      <c r="U37" s="330" t="str">
        <f t="shared" si="62"/>
        <v/>
      </c>
      <c r="V37" s="328">
        <f>IFERROR(VLOOKUP($U37,HomeBroker!$A$30:$F$60,2,0),0)</f>
        <v>0</v>
      </c>
      <c r="W37" s="392">
        <f>IFERROR(VLOOKUP($U37,HomeBroker!$A$30:$F$60,3,0),0)</f>
        <v>0</v>
      </c>
      <c r="X37" s="497">
        <f>IFERROR(VLOOKUP($U37,HomeBroker!$A$30:$F$60,6,0),0)</f>
        <v>0</v>
      </c>
      <c r="Y37" s="391">
        <f>IFERROR(VLOOKUP($U37,HomeBroker!$A$30:$F$60,4,0),0)</f>
        <v>0</v>
      </c>
      <c r="Z37" s="328">
        <f>IFERROR(VLOOKUP($U37,HomeBroker!$A$30:$F$60,5,0),0)</f>
        <v>0</v>
      </c>
      <c r="AA37" s="331">
        <f>IFERROR(VLOOKUP($U37,HomeBroker!$A$30:$N$60,13,0),0)</f>
        <v>0</v>
      </c>
      <c r="AB37" s="198" t="str">
        <f t="shared" si="63"/>
        <v>-</v>
      </c>
      <c r="AC37" s="107">
        <f t="shared" si="70"/>
        <v>0</v>
      </c>
      <c r="AD37" s="108"/>
      <c r="AE37" s="329">
        <f t="shared" ca="1" si="64"/>
        <v>0</v>
      </c>
      <c r="AF37" s="330" t="str">
        <f t="shared" si="74"/>
        <v/>
      </c>
      <c r="AG37" s="330" t="str">
        <f t="shared" si="75"/>
        <v/>
      </c>
      <c r="AH37" s="363">
        <f>IFERROR(VLOOKUP($AG37,HomeBroker!$A$30:$F$60,2,0),0)</f>
        <v>0</v>
      </c>
      <c r="AI37" s="392">
        <f>IFERROR(VLOOKUP($AG37,HomeBroker!$A$30:$F$60,3,0),0)</f>
        <v>0</v>
      </c>
      <c r="AJ37" s="497">
        <f>IFERROR(VLOOKUP($AG37,HomeBroker!$A$30:$F$60,6,0),0)</f>
        <v>0</v>
      </c>
      <c r="AK37" s="392">
        <f>IFERROR(VLOOKUP($AG37,HomeBroker!$A$30:$F$60,4,0),0)</f>
        <v>0</v>
      </c>
      <c r="AL37" s="363">
        <f>IFERROR(VLOOKUP($AG37,HomeBroker!$A$30:$F$60,5,0),0)</f>
        <v>0</v>
      </c>
      <c r="AM37" s="394">
        <f>IFERROR(VLOOKUP($AG37,HomeBroker!$A$30:$N$60,13,0),0)</f>
        <v>0</v>
      </c>
      <c r="AN37" s="61"/>
      <c r="AO37" s="106" t="str">
        <f t="shared" si="67"/>
        <v>-</v>
      </c>
      <c r="AP37" s="61"/>
      <c r="AQ37" s="61"/>
      <c r="AR37" s="61"/>
      <c r="AS37" s="109"/>
      <c r="AT37" s="123" t="s">
        <v>352</v>
      </c>
      <c r="AU37" s="111"/>
      <c r="AV37" s="126"/>
      <c r="AW37" s="127"/>
      <c r="AX37" s="213">
        <f t="shared" si="11"/>
        <v>0</v>
      </c>
      <c r="AY37" s="214">
        <f t="shared" si="12"/>
        <v>0</v>
      </c>
      <c r="AZ37" s="113" t="s">
        <v>402</v>
      </c>
      <c r="BA37" s="111"/>
      <c r="BB37" s="128"/>
      <c r="BC37" s="114"/>
      <c r="BD37" s="215">
        <f t="shared" si="13"/>
        <v>0</v>
      </c>
      <c r="BE37" s="217">
        <f t="shared" si="14"/>
        <v>0</v>
      </c>
      <c r="BF37" s="115" t="s">
        <v>403</v>
      </c>
      <c r="BG37" s="111"/>
      <c r="BH37" s="114"/>
      <c r="BI37" s="218">
        <f t="shared" si="15"/>
        <v>0</v>
      </c>
      <c r="BJ37" s="219">
        <f t="shared" si="16"/>
        <v>0</v>
      </c>
      <c r="DE37" s="116">
        <f t="shared" si="77"/>
        <v>1505.4526605296394</v>
      </c>
      <c r="DF37" s="117">
        <f t="shared" si="78"/>
        <v>0</v>
      </c>
      <c r="DG37" s="117">
        <f t="shared" si="79"/>
        <v>0</v>
      </c>
      <c r="DH37" s="117">
        <f t="shared" si="80"/>
        <v>0</v>
      </c>
      <c r="DI37" s="117">
        <f t="shared" si="81"/>
        <v>0</v>
      </c>
      <c r="DJ37" s="117">
        <f t="shared" si="82"/>
        <v>0</v>
      </c>
      <c r="DK37" s="117">
        <f t="shared" si="83"/>
        <v>0</v>
      </c>
      <c r="DL37" s="117">
        <f t="shared" si="84"/>
        <v>0</v>
      </c>
      <c r="DM37" s="117">
        <f t="shared" si="85"/>
        <v>0</v>
      </c>
      <c r="DN37" s="117">
        <f t="shared" si="86"/>
        <v>0</v>
      </c>
      <c r="DO37" s="117">
        <f t="shared" si="87"/>
        <v>0</v>
      </c>
      <c r="DP37" s="117">
        <f t="shared" si="88"/>
        <v>0</v>
      </c>
      <c r="DQ37" s="117">
        <f t="shared" si="89"/>
        <v>0</v>
      </c>
      <c r="DR37" s="117">
        <f t="shared" si="90"/>
        <v>0</v>
      </c>
      <c r="DS37" s="117">
        <f t="shared" si="91"/>
        <v>0</v>
      </c>
      <c r="DT37" s="117">
        <f t="shared" si="92"/>
        <v>0</v>
      </c>
      <c r="DU37" s="117">
        <f t="shared" si="93"/>
        <v>0</v>
      </c>
      <c r="DV37" s="117">
        <f t="shared" si="94"/>
        <v>0</v>
      </c>
      <c r="DW37" s="117">
        <f t="shared" si="95"/>
        <v>0</v>
      </c>
      <c r="DX37" s="117">
        <f t="shared" si="96"/>
        <v>0</v>
      </c>
      <c r="DY37" s="117">
        <f t="shared" si="97"/>
        <v>0</v>
      </c>
      <c r="DZ37" s="117">
        <f t="shared" si="98"/>
        <v>0</v>
      </c>
      <c r="EA37" s="117">
        <f t="shared" si="99"/>
        <v>0</v>
      </c>
      <c r="EB37" s="117">
        <f t="shared" si="100"/>
        <v>0</v>
      </c>
      <c r="EC37" s="117">
        <f t="shared" si="101"/>
        <v>0</v>
      </c>
      <c r="ED37" s="117">
        <f t="shared" si="102"/>
        <v>0</v>
      </c>
      <c r="EE37" s="117">
        <f t="shared" si="103"/>
        <v>0</v>
      </c>
      <c r="EF37" s="117">
        <f t="shared" si="104"/>
        <v>0</v>
      </c>
      <c r="EG37" s="117">
        <f t="shared" si="105"/>
        <v>0</v>
      </c>
      <c r="EH37" s="117">
        <f t="shared" si="106"/>
        <v>0</v>
      </c>
      <c r="EI37" s="117">
        <f t="shared" si="107"/>
        <v>0</v>
      </c>
      <c r="EJ37" s="117">
        <f t="shared" si="108"/>
        <v>0</v>
      </c>
      <c r="EK37" s="117">
        <f t="shared" si="109"/>
        <v>0</v>
      </c>
      <c r="EL37" s="117">
        <f t="shared" si="110"/>
        <v>0</v>
      </c>
      <c r="EM37" s="117">
        <f t="shared" si="111"/>
        <v>0</v>
      </c>
      <c r="EN37" s="117">
        <f t="shared" si="112"/>
        <v>0</v>
      </c>
      <c r="EO37" s="117">
        <f t="shared" si="113"/>
        <v>0</v>
      </c>
      <c r="EP37" s="117">
        <f t="shared" si="114"/>
        <v>0</v>
      </c>
      <c r="EQ37" s="117">
        <f t="shared" si="115"/>
        <v>0</v>
      </c>
      <c r="ER37" s="117">
        <f t="shared" si="116"/>
        <v>0</v>
      </c>
      <c r="ES37" s="118"/>
      <c r="ET37" s="142">
        <f t="shared" si="117"/>
        <v>0</v>
      </c>
      <c r="EU37" s="71"/>
      <c r="EV37" s="116">
        <f t="shared" si="118"/>
        <v>1505.4526605296394</v>
      </c>
      <c r="EW37" s="117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7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7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7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7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7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7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7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7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7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7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7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7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7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7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7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7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7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7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7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7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7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7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7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7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7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7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7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7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7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7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7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7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7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7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7">
        <f t="shared" si="119"/>
        <v>0</v>
      </c>
      <c r="GG37" s="117">
        <f t="shared" si="120"/>
        <v>0</v>
      </c>
      <c r="GH37" s="117">
        <f t="shared" si="121"/>
        <v>0</v>
      </c>
      <c r="GI37" s="117">
        <f t="shared" si="122"/>
        <v>0</v>
      </c>
      <c r="GJ37" s="118"/>
      <c r="GK37" s="142">
        <f t="shared" ca="1" si="123"/>
        <v>0</v>
      </c>
    </row>
    <row r="38" spans="1:193">
      <c r="A38" s="388" t="s">
        <v>401</v>
      </c>
      <c r="B38" s="143"/>
      <c r="C38" s="199"/>
      <c r="D38" s="200"/>
      <c r="E38" s="406">
        <f t="shared" si="0"/>
        <v>0</v>
      </c>
      <c r="F38" s="407">
        <f t="shared" si="76"/>
        <v>0</v>
      </c>
      <c r="G38" s="201" t="str">
        <f>IFERROR(VLOOKUP(C38,$AD$3:$AM$50,7,0),"")</f>
        <v/>
      </c>
      <c r="H38" s="416">
        <f t="shared" si="58"/>
        <v>0</v>
      </c>
      <c r="I38" s="735">
        <f t="shared" si="3"/>
        <v>0</v>
      </c>
      <c r="J38" s="61"/>
      <c r="K38" s="831" t="s">
        <v>444</v>
      </c>
      <c r="L38" s="827"/>
      <c r="M38" s="828"/>
      <c r="N38" s="144">
        <f>SUM(Q3:Q42)</f>
        <v>40</v>
      </c>
      <c r="O38" s="61"/>
      <c r="P38" s="197" t="str">
        <f t="shared" si="59"/>
        <v>-</v>
      </c>
      <c r="Q38" s="362">
        <f t="shared" si="69"/>
        <v>0</v>
      </c>
      <c r="R38" s="193"/>
      <c r="S38" s="389">
        <f t="shared" ca="1" si="60"/>
        <v>0</v>
      </c>
      <c r="T38" s="330" t="str">
        <f t="shared" si="73"/>
        <v/>
      </c>
      <c r="U38" s="330" t="str">
        <f t="shared" si="62"/>
        <v/>
      </c>
      <c r="V38" s="328">
        <f>IFERROR(VLOOKUP($U38,HomeBroker!$A$30:$F$60,2,0),0)</f>
        <v>0</v>
      </c>
      <c r="W38" s="392">
        <f>IFERROR(VLOOKUP($U38,HomeBroker!$A$30:$F$60,3,0),0)</f>
        <v>0</v>
      </c>
      <c r="X38" s="497">
        <f>IFERROR(VLOOKUP($U38,HomeBroker!$A$30:$F$60,6,0),0)</f>
        <v>0</v>
      </c>
      <c r="Y38" s="391">
        <f>IFERROR(VLOOKUP($U38,HomeBroker!$A$30:$F$60,4,0),0)</f>
        <v>0</v>
      </c>
      <c r="Z38" s="328">
        <f>IFERROR(VLOOKUP($U38,HomeBroker!$A$30:$F$60,5,0),0)</f>
        <v>0</v>
      </c>
      <c r="AA38" s="331">
        <f>IFERROR(VLOOKUP($U38,HomeBroker!$A$30:$N$60,13,0),0)</f>
        <v>0</v>
      </c>
      <c r="AB38" s="198" t="str">
        <f t="shared" si="63"/>
        <v>-</v>
      </c>
      <c r="AC38" s="107">
        <f t="shared" si="70"/>
        <v>0</v>
      </c>
      <c r="AD38" s="108"/>
      <c r="AE38" s="329">
        <f t="shared" ca="1" si="64"/>
        <v>0</v>
      </c>
      <c r="AF38" s="330" t="str">
        <f t="shared" si="74"/>
        <v/>
      </c>
      <c r="AG38" s="330" t="str">
        <f t="shared" si="75"/>
        <v/>
      </c>
      <c r="AH38" s="363">
        <f>IFERROR(VLOOKUP($AG38,HomeBroker!$A$30:$F$60,2,0),0)</f>
        <v>0</v>
      </c>
      <c r="AI38" s="392">
        <f>IFERROR(VLOOKUP($AG38,HomeBroker!$A$30:$F$60,3,0),0)</f>
        <v>0</v>
      </c>
      <c r="AJ38" s="497">
        <f>IFERROR(VLOOKUP($AG38,HomeBroker!$A$30:$F$60,6,0),0)</f>
        <v>0</v>
      </c>
      <c r="AK38" s="392">
        <f>IFERROR(VLOOKUP($AG38,HomeBroker!$A$30:$F$60,4,0),0)</f>
        <v>0</v>
      </c>
      <c r="AL38" s="363">
        <f>IFERROR(VLOOKUP($AG38,HomeBroker!$A$30:$F$60,5,0),0)</f>
        <v>0</v>
      </c>
      <c r="AM38" s="394">
        <f>IFERROR(VLOOKUP($AG38,HomeBroker!$A$30:$N$60,13,0),0)</f>
        <v>0</v>
      </c>
      <c r="AN38" s="61"/>
      <c r="AO38" s="106" t="str">
        <f t="shared" si="67"/>
        <v>-</v>
      </c>
      <c r="AP38" s="61"/>
      <c r="AQ38" s="61"/>
      <c r="AR38" s="61"/>
      <c r="AS38" s="145"/>
      <c r="AT38" s="146" t="s">
        <v>352</v>
      </c>
      <c r="AU38" s="111"/>
      <c r="AV38" s="126"/>
      <c r="AW38" s="127"/>
      <c r="AX38" s="213">
        <f t="shared" si="11"/>
        <v>0</v>
      </c>
      <c r="AY38" s="214">
        <f t="shared" si="12"/>
        <v>0</v>
      </c>
      <c r="AZ38" s="147" t="s">
        <v>402</v>
      </c>
      <c r="BA38" s="111"/>
      <c r="BB38" s="128"/>
      <c r="BC38" s="114"/>
      <c r="BD38" s="215">
        <f t="shared" si="13"/>
        <v>0</v>
      </c>
      <c r="BE38" s="217">
        <f t="shared" si="14"/>
        <v>0</v>
      </c>
      <c r="BF38" s="148" t="s">
        <v>403</v>
      </c>
      <c r="BG38" s="111"/>
      <c r="BH38" s="114"/>
      <c r="BI38" s="218">
        <f t="shared" si="15"/>
        <v>0</v>
      </c>
      <c r="BJ38" s="219">
        <f t="shared" si="16"/>
        <v>0</v>
      </c>
      <c r="DE38" s="116">
        <f t="shared" si="77"/>
        <v>1584.6870110838311</v>
      </c>
      <c r="DF38" s="117">
        <f t="shared" si="78"/>
        <v>0</v>
      </c>
      <c r="DG38" s="117">
        <f t="shared" si="79"/>
        <v>0</v>
      </c>
      <c r="DH38" s="117">
        <f t="shared" si="80"/>
        <v>0</v>
      </c>
      <c r="DI38" s="117">
        <f t="shared" si="81"/>
        <v>0</v>
      </c>
      <c r="DJ38" s="117">
        <f t="shared" si="82"/>
        <v>0</v>
      </c>
      <c r="DK38" s="117">
        <f t="shared" si="83"/>
        <v>0</v>
      </c>
      <c r="DL38" s="117">
        <f t="shared" si="84"/>
        <v>0</v>
      </c>
      <c r="DM38" s="117">
        <f t="shared" si="85"/>
        <v>0</v>
      </c>
      <c r="DN38" s="117">
        <f t="shared" si="86"/>
        <v>0</v>
      </c>
      <c r="DO38" s="117">
        <f t="shared" si="87"/>
        <v>0</v>
      </c>
      <c r="DP38" s="117">
        <f t="shared" si="88"/>
        <v>0</v>
      </c>
      <c r="DQ38" s="117">
        <f t="shared" si="89"/>
        <v>0</v>
      </c>
      <c r="DR38" s="117">
        <f t="shared" si="90"/>
        <v>0</v>
      </c>
      <c r="DS38" s="117">
        <f t="shared" si="91"/>
        <v>0</v>
      </c>
      <c r="DT38" s="117">
        <f t="shared" si="92"/>
        <v>0</v>
      </c>
      <c r="DU38" s="117">
        <f t="shared" si="93"/>
        <v>0</v>
      </c>
      <c r="DV38" s="117">
        <f t="shared" si="94"/>
        <v>0</v>
      </c>
      <c r="DW38" s="117">
        <f t="shared" si="95"/>
        <v>0</v>
      </c>
      <c r="DX38" s="117">
        <f t="shared" si="96"/>
        <v>0</v>
      </c>
      <c r="DY38" s="117">
        <f t="shared" si="97"/>
        <v>0</v>
      </c>
      <c r="DZ38" s="117">
        <f t="shared" si="98"/>
        <v>0</v>
      </c>
      <c r="EA38" s="117">
        <f t="shared" si="99"/>
        <v>0</v>
      </c>
      <c r="EB38" s="117">
        <f t="shared" si="100"/>
        <v>0</v>
      </c>
      <c r="EC38" s="117">
        <f t="shared" si="101"/>
        <v>0</v>
      </c>
      <c r="ED38" s="117">
        <f t="shared" si="102"/>
        <v>0</v>
      </c>
      <c r="EE38" s="117">
        <f t="shared" si="103"/>
        <v>0</v>
      </c>
      <c r="EF38" s="117">
        <f t="shared" si="104"/>
        <v>0</v>
      </c>
      <c r="EG38" s="117">
        <f t="shared" si="105"/>
        <v>0</v>
      </c>
      <c r="EH38" s="117">
        <f t="shared" si="106"/>
        <v>0</v>
      </c>
      <c r="EI38" s="117">
        <f t="shared" si="107"/>
        <v>0</v>
      </c>
      <c r="EJ38" s="117">
        <f t="shared" si="108"/>
        <v>0</v>
      </c>
      <c r="EK38" s="117">
        <f t="shared" si="109"/>
        <v>0</v>
      </c>
      <c r="EL38" s="117">
        <f t="shared" si="110"/>
        <v>0</v>
      </c>
      <c r="EM38" s="117">
        <f t="shared" si="111"/>
        <v>0</v>
      </c>
      <c r="EN38" s="117">
        <f t="shared" si="112"/>
        <v>0</v>
      </c>
      <c r="EO38" s="117">
        <f t="shared" si="113"/>
        <v>0</v>
      </c>
      <c r="EP38" s="117">
        <f t="shared" si="114"/>
        <v>0</v>
      </c>
      <c r="EQ38" s="117">
        <f t="shared" si="115"/>
        <v>0</v>
      </c>
      <c r="ER38" s="117">
        <f t="shared" si="116"/>
        <v>0</v>
      </c>
      <c r="ES38" s="118"/>
      <c r="ET38" s="142">
        <f t="shared" si="117"/>
        <v>0</v>
      </c>
      <c r="EU38" s="71"/>
      <c r="EV38" s="116">
        <f t="shared" si="118"/>
        <v>1584.6870110838311</v>
      </c>
      <c r="EW38" s="117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7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7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7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7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7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7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7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7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7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7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7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7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7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7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7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7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7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7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7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7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7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7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7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7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7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7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7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7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7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7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7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7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7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7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7">
        <f t="shared" si="119"/>
        <v>0</v>
      </c>
      <c r="GG38" s="117">
        <f t="shared" si="120"/>
        <v>0</v>
      </c>
      <c r="GH38" s="117">
        <f t="shared" si="121"/>
        <v>0</v>
      </c>
      <c r="GI38" s="117">
        <f t="shared" si="122"/>
        <v>0</v>
      </c>
      <c r="GJ38" s="118"/>
      <c r="GK38" s="142">
        <f t="shared" ca="1" si="123"/>
        <v>0</v>
      </c>
    </row>
    <row r="39" spans="1:193">
      <c r="A39" s="388" t="s">
        <v>401</v>
      </c>
      <c r="B39" s="143"/>
      <c r="C39" s="199"/>
      <c r="D39" s="200"/>
      <c r="E39" s="406">
        <f t="shared" si="0"/>
        <v>0</v>
      </c>
      <c r="F39" s="407">
        <f t="shared" si="76"/>
        <v>0</v>
      </c>
      <c r="G39" s="201" t="str">
        <f>IFERROR(VLOOKUP(C39,$AD$3:$AM$50,7,0),"")</f>
        <v/>
      </c>
      <c r="H39" s="416">
        <f t="shared" si="58"/>
        <v>0</v>
      </c>
      <c r="I39" s="735">
        <f t="shared" si="3"/>
        <v>0</v>
      </c>
      <c r="J39" s="61"/>
      <c r="K39" s="832" t="s">
        <v>445</v>
      </c>
      <c r="L39" s="827"/>
      <c r="M39" s="828"/>
      <c r="N39" s="149">
        <f>SUM(AC3:AC42)</f>
        <v>0</v>
      </c>
      <c r="O39" s="61"/>
      <c r="P39" s="197" t="str">
        <f t="shared" si="59"/>
        <v>-</v>
      </c>
      <c r="Q39" s="362">
        <f t="shared" si="69"/>
        <v>0</v>
      </c>
      <c r="R39" s="193"/>
      <c r="S39" s="389">
        <f t="shared" ca="1" si="60"/>
        <v>0</v>
      </c>
      <c r="T39" s="330" t="str">
        <f t="shared" si="73"/>
        <v/>
      </c>
      <c r="U39" s="330" t="str">
        <f t="shared" si="62"/>
        <v/>
      </c>
      <c r="V39" s="328">
        <f>IFERROR(VLOOKUP($U39,HomeBroker!$A$30:$F$60,2,0),0)</f>
        <v>0</v>
      </c>
      <c r="W39" s="392">
        <f>IFERROR(VLOOKUP($U39,HomeBroker!$A$30:$F$60,3,0),0)</f>
        <v>0</v>
      </c>
      <c r="X39" s="497">
        <f>IFERROR(VLOOKUP($U39,HomeBroker!$A$30:$F$60,6,0),0)</f>
        <v>0</v>
      </c>
      <c r="Y39" s="391">
        <f>IFERROR(VLOOKUP($U39,HomeBroker!$A$30:$F$60,4,0),0)</f>
        <v>0</v>
      </c>
      <c r="Z39" s="328">
        <f>IFERROR(VLOOKUP($U39,HomeBroker!$A$30:$F$60,5,0),0)</f>
        <v>0</v>
      </c>
      <c r="AA39" s="331">
        <f>IFERROR(VLOOKUP($U39,HomeBroker!$A$30:$N$60,13,0),0)</f>
        <v>0</v>
      </c>
      <c r="AB39" s="198" t="str">
        <f t="shared" si="63"/>
        <v>-</v>
      </c>
      <c r="AC39" s="107">
        <f t="shared" si="70"/>
        <v>0</v>
      </c>
      <c r="AD39" s="108"/>
      <c r="AE39" s="329">
        <f t="shared" ca="1" si="64"/>
        <v>0</v>
      </c>
      <c r="AF39" s="330" t="str">
        <f t="shared" si="74"/>
        <v/>
      </c>
      <c r="AG39" s="330" t="str">
        <f t="shared" si="75"/>
        <v/>
      </c>
      <c r="AH39" s="363">
        <f>IFERROR(VLOOKUP($AG39,HomeBroker!$A$30:$F$60,2,0),0)</f>
        <v>0</v>
      </c>
      <c r="AI39" s="392">
        <f>IFERROR(VLOOKUP($AG39,HomeBroker!$A$30:$F$60,3,0),0)</f>
        <v>0</v>
      </c>
      <c r="AJ39" s="497">
        <f>IFERROR(VLOOKUP($AG39,HomeBroker!$A$30:$F$60,6,0),0)</f>
        <v>0</v>
      </c>
      <c r="AK39" s="392">
        <f>IFERROR(VLOOKUP($AG39,HomeBroker!$A$30:$F$60,4,0),0)</f>
        <v>0</v>
      </c>
      <c r="AL39" s="363">
        <f>IFERROR(VLOOKUP($AG39,HomeBroker!$A$30:$F$60,5,0),0)</f>
        <v>0</v>
      </c>
      <c r="AM39" s="394">
        <f>IFERROR(VLOOKUP($AG39,HomeBroker!$A$30:$N$60,13,0),0)</f>
        <v>0</v>
      </c>
      <c r="AN39" s="61"/>
      <c r="AO39" s="106" t="str">
        <f t="shared" si="67"/>
        <v>-</v>
      </c>
      <c r="AP39" s="61"/>
      <c r="AQ39" s="61"/>
      <c r="AR39" s="61"/>
      <c r="AS39" s="145"/>
      <c r="AT39" s="146" t="s">
        <v>352</v>
      </c>
      <c r="AU39" s="111"/>
      <c r="AV39" s="126"/>
      <c r="AW39" s="127"/>
      <c r="AX39" s="213">
        <f t="shared" si="11"/>
        <v>0</v>
      </c>
      <c r="AY39" s="214">
        <f t="shared" si="12"/>
        <v>0</v>
      </c>
      <c r="AZ39" s="147" t="s">
        <v>402</v>
      </c>
      <c r="BA39" s="111"/>
      <c r="BB39" s="128"/>
      <c r="BC39" s="114"/>
      <c r="BD39" s="215">
        <f t="shared" si="13"/>
        <v>0</v>
      </c>
      <c r="BE39" s="217">
        <f t="shared" si="14"/>
        <v>0</v>
      </c>
      <c r="BF39" s="148" t="s">
        <v>403</v>
      </c>
      <c r="BG39" s="111"/>
      <c r="BH39" s="114"/>
      <c r="BI39" s="218">
        <f t="shared" si="15"/>
        <v>0</v>
      </c>
      <c r="BJ39" s="219">
        <f t="shared" si="16"/>
        <v>0</v>
      </c>
      <c r="DE39" s="116">
        <f t="shared" si="77"/>
        <v>1668.0915906145592</v>
      </c>
      <c r="DF39" s="117">
        <f t="shared" si="78"/>
        <v>0</v>
      </c>
      <c r="DG39" s="117">
        <f t="shared" si="79"/>
        <v>0</v>
      </c>
      <c r="DH39" s="117">
        <f t="shared" si="80"/>
        <v>0</v>
      </c>
      <c r="DI39" s="117">
        <f t="shared" si="81"/>
        <v>0</v>
      </c>
      <c r="DJ39" s="117">
        <f t="shared" si="82"/>
        <v>0</v>
      </c>
      <c r="DK39" s="117">
        <f t="shared" si="83"/>
        <v>0</v>
      </c>
      <c r="DL39" s="117">
        <f t="shared" si="84"/>
        <v>0</v>
      </c>
      <c r="DM39" s="117">
        <f t="shared" si="85"/>
        <v>0</v>
      </c>
      <c r="DN39" s="117">
        <f t="shared" si="86"/>
        <v>0</v>
      </c>
      <c r="DO39" s="117">
        <f t="shared" si="87"/>
        <v>0</v>
      </c>
      <c r="DP39" s="117">
        <f t="shared" si="88"/>
        <v>0</v>
      </c>
      <c r="DQ39" s="117">
        <f t="shared" si="89"/>
        <v>0</v>
      </c>
      <c r="DR39" s="117">
        <f t="shared" si="90"/>
        <v>0</v>
      </c>
      <c r="DS39" s="117">
        <f t="shared" si="91"/>
        <v>0</v>
      </c>
      <c r="DT39" s="117">
        <f t="shared" si="92"/>
        <v>0</v>
      </c>
      <c r="DU39" s="117">
        <f t="shared" si="93"/>
        <v>0</v>
      </c>
      <c r="DV39" s="117">
        <f t="shared" si="94"/>
        <v>0</v>
      </c>
      <c r="DW39" s="117">
        <f t="shared" si="95"/>
        <v>0</v>
      </c>
      <c r="DX39" s="117">
        <f t="shared" si="96"/>
        <v>0</v>
      </c>
      <c r="DY39" s="117">
        <f t="shared" si="97"/>
        <v>0</v>
      </c>
      <c r="DZ39" s="117">
        <f t="shared" si="98"/>
        <v>0</v>
      </c>
      <c r="EA39" s="117">
        <f t="shared" si="99"/>
        <v>0</v>
      </c>
      <c r="EB39" s="117">
        <f t="shared" si="100"/>
        <v>0</v>
      </c>
      <c r="EC39" s="117">
        <f t="shared" si="101"/>
        <v>0</v>
      </c>
      <c r="ED39" s="117">
        <f t="shared" si="102"/>
        <v>0</v>
      </c>
      <c r="EE39" s="117">
        <f t="shared" si="103"/>
        <v>0</v>
      </c>
      <c r="EF39" s="117">
        <f t="shared" si="104"/>
        <v>0</v>
      </c>
      <c r="EG39" s="117">
        <f t="shared" si="105"/>
        <v>0</v>
      </c>
      <c r="EH39" s="117">
        <f t="shared" si="106"/>
        <v>0</v>
      </c>
      <c r="EI39" s="117">
        <f t="shared" si="107"/>
        <v>0</v>
      </c>
      <c r="EJ39" s="117">
        <f t="shared" si="108"/>
        <v>0</v>
      </c>
      <c r="EK39" s="117">
        <f t="shared" si="109"/>
        <v>0</v>
      </c>
      <c r="EL39" s="117">
        <f t="shared" si="110"/>
        <v>0</v>
      </c>
      <c r="EM39" s="117">
        <f t="shared" si="111"/>
        <v>0</v>
      </c>
      <c r="EN39" s="117">
        <f t="shared" si="112"/>
        <v>0</v>
      </c>
      <c r="EO39" s="117">
        <f t="shared" si="113"/>
        <v>0</v>
      </c>
      <c r="EP39" s="117">
        <f t="shared" si="114"/>
        <v>0</v>
      </c>
      <c r="EQ39" s="117">
        <f t="shared" si="115"/>
        <v>0</v>
      </c>
      <c r="ER39" s="117">
        <f t="shared" si="116"/>
        <v>0</v>
      </c>
      <c r="ES39" s="118"/>
      <c r="ET39" s="142">
        <f t="shared" si="117"/>
        <v>0</v>
      </c>
      <c r="EU39" s="71"/>
      <c r="EV39" s="116">
        <f t="shared" si="118"/>
        <v>1668.0915906145592</v>
      </c>
      <c r="EW39" s="117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7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7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7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7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7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7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7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7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7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7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7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7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7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7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7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7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7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7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7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7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7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7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7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7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7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7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7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7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7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7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7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7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7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7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7">
        <f t="shared" si="119"/>
        <v>0</v>
      </c>
      <c r="GG39" s="117">
        <f t="shared" si="120"/>
        <v>0</v>
      </c>
      <c r="GH39" s="117">
        <f t="shared" si="121"/>
        <v>0</v>
      </c>
      <c r="GI39" s="117">
        <f t="shared" si="122"/>
        <v>0</v>
      </c>
      <c r="GJ39" s="118"/>
      <c r="GK39" s="142">
        <f t="shared" ca="1" si="123"/>
        <v>0</v>
      </c>
    </row>
    <row r="40" spans="1:193">
      <c r="A40" s="388" t="s">
        <v>401</v>
      </c>
      <c r="B40" s="143"/>
      <c r="C40" s="199"/>
      <c r="D40" s="200"/>
      <c r="E40" s="406">
        <f t="shared" si="0"/>
        <v>0</v>
      </c>
      <c r="F40" s="407">
        <f t="shared" si="76"/>
        <v>0</v>
      </c>
      <c r="G40" s="201" t="str">
        <f t="shared" ref="G40:G72" si="124">IFERROR(VLOOKUP(C40,$AD$3:$AM$42,7,0),"")</f>
        <v/>
      </c>
      <c r="H40" s="416">
        <f t="shared" si="58"/>
        <v>0</v>
      </c>
      <c r="I40" s="735">
        <f t="shared" si="3"/>
        <v>0</v>
      </c>
      <c r="J40" s="61"/>
      <c r="K40" s="826" t="s">
        <v>0</v>
      </c>
      <c r="L40" s="827"/>
      <c r="M40" s="828"/>
      <c r="N40" s="150">
        <f>AB43+SUM(B73:B75)</f>
        <v>0</v>
      </c>
      <c r="O40" s="61"/>
      <c r="P40" s="197" t="str">
        <f t="shared" si="59"/>
        <v>-</v>
      </c>
      <c r="Q40" s="362">
        <f t="shared" si="69"/>
        <v>0</v>
      </c>
      <c r="R40" s="193"/>
      <c r="S40" s="389">
        <f t="shared" ca="1" si="60"/>
        <v>0</v>
      </c>
      <c r="T40" s="330" t="str">
        <f t="shared" si="73"/>
        <v/>
      </c>
      <c r="U40" s="330" t="str">
        <f t="shared" si="62"/>
        <v/>
      </c>
      <c r="V40" s="328">
        <f>IFERROR(VLOOKUP($U40,HomeBroker!$A$30:$F$60,2,0),0)</f>
        <v>0</v>
      </c>
      <c r="W40" s="392">
        <f>IFERROR(VLOOKUP($U40,HomeBroker!$A$30:$F$60,3,0),0)</f>
        <v>0</v>
      </c>
      <c r="X40" s="497">
        <f>IFERROR(VLOOKUP($U40,HomeBroker!$A$30:$F$60,6,0),0)</f>
        <v>0</v>
      </c>
      <c r="Y40" s="391">
        <f>IFERROR(VLOOKUP($U40,HomeBroker!$A$30:$F$60,4,0),0)</f>
        <v>0</v>
      </c>
      <c r="Z40" s="328">
        <f>IFERROR(VLOOKUP($U40,HomeBroker!$A$30:$F$60,5,0),0)</f>
        <v>0</v>
      </c>
      <c r="AA40" s="331">
        <f>IFERROR(VLOOKUP($U40,HomeBroker!$A$30:$N$60,13,0),0)</f>
        <v>0</v>
      </c>
      <c r="AB40" s="198" t="str">
        <f t="shared" si="63"/>
        <v>-</v>
      </c>
      <c r="AC40" s="107">
        <f t="shared" si="70"/>
        <v>0</v>
      </c>
      <c r="AD40" s="108"/>
      <c r="AE40" s="329">
        <f t="shared" ca="1" si="64"/>
        <v>0</v>
      </c>
      <c r="AF40" s="330" t="str">
        <f t="shared" si="74"/>
        <v/>
      </c>
      <c r="AG40" s="330" t="str">
        <f t="shared" si="75"/>
        <v/>
      </c>
      <c r="AH40" s="363">
        <f>IFERROR(VLOOKUP($AG40,HomeBroker!$A$30:$F$60,2,0),0)</f>
        <v>0</v>
      </c>
      <c r="AI40" s="392">
        <f>IFERROR(VLOOKUP($AG40,HomeBroker!$A$30:$F$60,3,0),0)</f>
        <v>0</v>
      </c>
      <c r="AJ40" s="497">
        <f>IFERROR(VLOOKUP($AG40,HomeBroker!$A$30:$F$60,6,0),0)</f>
        <v>0</v>
      </c>
      <c r="AK40" s="392">
        <f>IFERROR(VLOOKUP($AG40,HomeBroker!$A$30:$F$60,4,0),0)</f>
        <v>0</v>
      </c>
      <c r="AL40" s="363">
        <f>IFERROR(VLOOKUP($AG40,HomeBroker!$A$30:$F$60,5,0),0)</f>
        <v>0</v>
      </c>
      <c r="AM40" s="394">
        <f>IFERROR(VLOOKUP($AG40,HomeBroker!$A$30:$N$60,13,0),0)</f>
        <v>0</v>
      </c>
      <c r="AN40" s="61"/>
      <c r="AO40" s="106" t="str">
        <f t="shared" si="67"/>
        <v>-</v>
      </c>
      <c r="AP40" s="61"/>
      <c r="AQ40" s="61"/>
      <c r="AR40" s="61"/>
      <c r="AS40" s="145"/>
      <c r="AT40" s="146" t="s">
        <v>352</v>
      </c>
      <c r="AU40" s="111"/>
      <c r="AV40" s="126"/>
      <c r="AW40" s="127"/>
      <c r="AX40" s="213">
        <f t="shared" si="11"/>
        <v>0</v>
      </c>
      <c r="AY40" s="214">
        <f t="shared" si="12"/>
        <v>0</v>
      </c>
      <c r="AZ40" s="147" t="s">
        <v>402</v>
      </c>
      <c r="BA40" s="111"/>
      <c r="BB40" s="128"/>
      <c r="BC40" s="114"/>
      <c r="BD40" s="215">
        <f t="shared" si="13"/>
        <v>0</v>
      </c>
      <c r="BE40" s="217">
        <f t="shared" si="14"/>
        <v>0</v>
      </c>
      <c r="BF40" s="148" t="s">
        <v>403</v>
      </c>
      <c r="BG40" s="111"/>
      <c r="BH40" s="114"/>
      <c r="BI40" s="218">
        <f t="shared" si="15"/>
        <v>0</v>
      </c>
      <c r="BJ40" s="219">
        <f t="shared" si="16"/>
        <v>0</v>
      </c>
      <c r="DE40" s="116">
        <f t="shared" si="77"/>
        <v>1755.8858848574307</v>
      </c>
      <c r="DF40" s="117">
        <f t="shared" si="78"/>
        <v>0</v>
      </c>
      <c r="DG40" s="117">
        <f t="shared" si="79"/>
        <v>0</v>
      </c>
      <c r="DH40" s="117">
        <f t="shared" si="80"/>
        <v>0</v>
      </c>
      <c r="DI40" s="117">
        <f t="shared" si="81"/>
        <v>0</v>
      </c>
      <c r="DJ40" s="117">
        <f t="shared" si="82"/>
        <v>0</v>
      </c>
      <c r="DK40" s="117">
        <f t="shared" si="83"/>
        <v>0</v>
      </c>
      <c r="DL40" s="117">
        <f t="shared" si="84"/>
        <v>0</v>
      </c>
      <c r="DM40" s="117">
        <f t="shared" si="85"/>
        <v>0</v>
      </c>
      <c r="DN40" s="117">
        <f t="shared" si="86"/>
        <v>0</v>
      </c>
      <c r="DO40" s="117">
        <f t="shared" si="87"/>
        <v>0</v>
      </c>
      <c r="DP40" s="117">
        <f t="shared" si="88"/>
        <v>0</v>
      </c>
      <c r="DQ40" s="117">
        <f t="shared" si="89"/>
        <v>0</v>
      </c>
      <c r="DR40" s="117">
        <f t="shared" si="90"/>
        <v>0</v>
      </c>
      <c r="DS40" s="117">
        <f t="shared" si="91"/>
        <v>0</v>
      </c>
      <c r="DT40" s="117">
        <f t="shared" si="92"/>
        <v>0</v>
      </c>
      <c r="DU40" s="117">
        <f t="shared" si="93"/>
        <v>0</v>
      </c>
      <c r="DV40" s="117">
        <f t="shared" si="94"/>
        <v>0</v>
      </c>
      <c r="DW40" s="117">
        <f t="shared" si="95"/>
        <v>0</v>
      </c>
      <c r="DX40" s="117">
        <f t="shared" si="96"/>
        <v>0</v>
      </c>
      <c r="DY40" s="117">
        <f t="shared" si="97"/>
        <v>0</v>
      </c>
      <c r="DZ40" s="117">
        <f t="shared" si="98"/>
        <v>0</v>
      </c>
      <c r="EA40" s="117">
        <f t="shared" si="99"/>
        <v>0</v>
      </c>
      <c r="EB40" s="117">
        <f t="shared" si="100"/>
        <v>0</v>
      </c>
      <c r="EC40" s="117">
        <f t="shared" si="101"/>
        <v>0</v>
      </c>
      <c r="ED40" s="117">
        <f t="shared" si="102"/>
        <v>0</v>
      </c>
      <c r="EE40" s="117">
        <f t="shared" si="103"/>
        <v>0</v>
      </c>
      <c r="EF40" s="117">
        <f t="shared" si="104"/>
        <v>0</v>
      </c>
      <c r="EG40" s="117">
        <f t="shared" si="105"/>
        <v>0</v>
      </c>
      <c r="EH40" s="117">
        <f t="shared" si="106"/>
        <v>0</v>
      </c>
      <c r="EI40" s="117">
        <f t="shared" si="107"/>
        <v>0</v>
      </c>
      <c r="EJ40" s="117">
        <f t="shared" si="108"/>
        <v>0</v>
      </c>
      <c r="EK40" s="117">
        <f t="shared" si="109"/>
        <v>0</v>
      </c>
      <c r="EL40" s="117">
        <f t="shared" si="110"/>
        <v>0</v>
      </c>
      <c r="EM40" s="117">
        <f t="shared" si="111"/>
        <v>0</v>
      </c>
      <c r="EN40" s="117">
        <f t="shared" si="112"/>
        <v>0</v>
      </c>
      <c r="EO40" s="117">
        <f t="shared" si="113"/>
        <v>0</v>
      </c>
      <c r="EP40" s="117">
        <f t="shared" si="114"/>
        <v>0</v>
      </c>
      <c r="EQ40" s="117">
        <f t="shared" si="115"/>
        <v>0</v>
      </c>
      <c r="ER40" s="117">
        <f t="shared" si="116"/>
        <v>0</v>
      </c>
      <c r="ES40" s="118"/>
      <c r="ET40" s="142">
        <f t="shared" si="117"/>
        <v>0</v>
      </c>
      <c r="EU40" s="71"/>
      <c r="EV40" s="116">
        <f t="shared" si="118"/>
        <v>1755.8858848574307</v>
      </c>
      <c r="EW40" s="117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7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7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7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7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7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7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7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7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7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7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7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7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7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7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7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7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7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7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7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7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7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7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7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7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7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7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7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7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7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7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7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7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7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7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7">
        <f t="shared" si="119"/>
        <v>0</v>
      </c>
      <c r="GG40" s="117">
        <f t="shared" si="120"/>
        <v>0</v>
      </c>
      <c r="GH40" s="117">
        <f t="shared" si="121"/>
        <v>0</v>
      </c>
      <c r="GI40" s="117">
        <f t="shared" si="122"/>
        <v>0</v>
      </c>
      <c r="GJ40" s="118"/>
      <c r="GK40" s="142">
        <f t="shared" ca="1" si="123"/>
        <v>0</v>
      </c>
    </row>
    <row r="41" spans="1:193">
      <c r="A41" s="388" t="s">
        <v>401</v>
      </c>
      <c r="B41" s="143"/>
      <c r="C41" s="199"/>
      <c r="D41" s="200"/>
      <c r="E41" s="406">
        <f t="shared" si="0"/>
        <v>0</v>
      </c>
      <c r="F41" s="407">
        <f t="shared" si="76"/>
        <v>0</v>
      </c>
      <c r="G41" s="201" t="str">
        <f t="shared" si="124"/>
        <v/>
      </c>
      <c r="H41" s="416">
        <f t="shared" si="58"/>
        <v>0</v>
      </c>
      <c r="I41" s="735">
        <f t="shared" si="3"/>
        <v>0</v>
      </c>
      <c r="J41" s="61"/>
      <c r="K41" s="151"/>
      <c r="L41" s="151"/>
      <c r="M41" s="151"/>
      <c r="N41" s="151"/>
      <c r="O41" s="61"/>
      <c r="P41" s="197" t="str">
        <f t="shared" si="59"/>
        <v>-</v>
      </c>
      <c r="Q41" s="362">
        <f t="shared" si="69"/>
        <v>0</v>
      </c>
      <c r="R41" s="193"/>
      <c r="S41" s="389">
        <f t="shared" ca="1" si="60"/>
        <v>0</v>
      </c>
      <c r="T41" s="330" t="str">
        <f t="shared" si="73"/>
        <v/>
      </c>
      <c r="U41" s="330" t="str">
        <f t="shared" si="62"/>
        <v/>
      </c>
      <c r="V41" s="328">
        <f>IFERROR(VLOOKUP($U41,HomeBroker!$A$30:$F$60,2,0),0)</f>
        <v>0</v>
      </c>
      <c r="W41" s="392">
        <f>IFERROR(VLOOKUP($U41,HomeBroker!$A$30:$F$60,3,0),0)</f>
        <v>0</v>
      </c>
      <c r="X41" s="497">
        <f>IFERROR(VLOOKUP($U41,HomeBroker!$A$30:$F$60,6,0),0)</f>
        <v>0</v>
      </c>
      <c r="Y41" s="391">
        <f>IFERROR(VLOOKUP($U41,HomeBroker!$A$30:$F$60,4,0),0)</f>
        <v>0</v>
      </c>
      <c r="Z41" s="328">
        <f>IFERROR(VLOOKUP($U41,HomeBroker!$A$30:$F$60,5,0),0)</f>
        <v>0</v>
      </c>
      <c r="AA41" s="331">
        <f>IFERROR(VLOOKUP($U41,HomeBroker!$A$30:$N$60,13,0),0)</f>
        <v>0</v>
      </c>
      <c r="AB41" s="198" t="str">
        <f t="shared" si="63"/>
        <v>-</v>
      </c>
      <c r="AC41" s="107">
        <f t="shared" si="70"/>
        <v>0</v>
      </c>
      <c r="AD41" s="108"/>
      <c r="AE41" s="329">
        <f t="shared" ca="1" si="64"/>
        <v>0</v>
      </c>
      <c r="AF41" s="330" t="str">
        <f t="shared" si="74"/>
        <v/>
      </c>
      <c r="AG41" s="330" t="str">
        <f t="shared" si="75"/>
        <v/>
      </c>
      <c r="AH41" s="363">
        <f>IFERROR(VLOOKUP($AG41,HomeBroker!$A$30:$F$60,2,0),0)</f>
        <v>0</v>
      </c>
      <c r="AI41" s="392">
        <f>IFERROR(VLOOKUP($AG41,HomeBroker!$A$30:$F$60,3,0),0)</f>
        <v>0</v>
      </c>
      <c r="AJ41" s="497">
        <f>IFERROR(VLOOKUP($AG41,HomeBroker!$A$30:$F$60,6,0),0)</f>
        <v>0</v>
      </c>
      <c r="AK41" s="392">
        <f>IFERROR(VLOOKUP($AG41,HomeBroker!$A$30:$F$60,4,0),0)</f>
        <v>0</v>
      </c>
      <c r="AL41" s="363">
        <f>IFERROR(VLOOKUP($AG41,HomeBroker!$A$30:$F$60,5,0),0)</f>
        <v>0</v>
      </c>
      <c r="AM41" s="394">
        <f>IFERROR(VLOOKUP($AG41,HomeBroker!$A$30:$N$60,13,0),0)</f>
        <v>0</v>
      </c>
      <c r="AN41" s="61"/>
      <c r="AO41" s="106" t="str">
        <f t="shared" si="67"/>
        <v>-</v>
      </c>
      <c r="AP41" s="61"/>
      <c r="AQ41" s="61"/>
      <c r="AR41" s="61"/>
      <c r="AS41" s="145"/>
      <c r="AT41" s="146" t="s">
        <v>352</v>
      </c>
      <c r="AU41" s="111"/>
      <c r="AV41" s="126"/>
      <c r="AW41" s="127"/>
      <c r="AX41" s="213">
        <f t="shared" si="11"/>
        <v>0</v>
      </c>
      <c r="AY41" s="214">
        <f t="shared" si="12"/>
        <v>0</v>
      </c>
      <c r="AZ41" s="147" t="s">
        <v>402</v>
      </c>
      <c r="BA41" s="111"/>
      <c r="BB41" s="128"/>
      <c r="BC41" s="114"/>
      <c r="BD41" s="215">
        <f t="shared" si="13"/>
        <v>0</v>
      </c>
      <c r="BE41" s="217">
        <f t="shared" si="14"/>
        <v>0</v>
      </c>
      <c r="BF41" s="148" t="s">
        <v>403</v>
      </c>
      <c r="BG41" s="111"/>
      <c r="BH41" s="114"/>
      <c r="BI41" s="218">
        <f t="shared" si="15"/>
        <v>0</v>
      </c>
      <c r="BJ41" s="219">
        <f t="shared" si="16"/>
        <v>0</v>
      </c>
      <c r="DE41" s="116">
        <f t="shared" si="77"/>
        <v>1848.3009314288745</v>
      </c>
      <c r="DF41" s="117">
        <f t="shared" si="78"/>
        <v>0</v>
      </c>
      <c r="DG41" s="117">
        <f t="shared" si="79"/>
        <v>0</v>
      </c>
      <c r="DH41" s="117">
        <f t="shared" si="80"/>
        <v>0</v>
      </c>
      <c r="DI41" s="117">
        <f t="shared" si="81"/>
        <v>0</v>
      </c>
      <c r="DJ41" s="117">
        <f t="shared" si="82"/>
        <v>0</v>
      </c>
      <c r="DK41" s="117">
        <f t="shared" si="83"/>
        <v>0</v>
      </c>
      <c r="DL41" s="117">
        <f t="shared" si="84"/>
        <v>0</v>
      </c>
      <c r="DM41" s="117">
        <f t="shared" si="85"/>
        <v>0</v>
      </c>
      <c r="DN41" s="117">
        <f t="shared" si="86"/>
        <v>0</v>
      </c>
      <c r="DO41" s="117">
        <f t="shared" si="87"/>
        <v>0</v>
      </c>
      <c r="DP41" s="117">
        <f t="shared" si="88"/>
        <v>0</v>
      </c>
      <c r="DQ41" s="117">
        <f t="shared" si="89"/>
        <v>0</v>
      </c>
      <c r="DR41" s="117">
        <f t="shared" si="90"/>
        <v>0</v>
      </c>
      <c r="DS41" s="117">
        <f t="shared" si="91"/>
        <v>0</v>
      </c>
      <c r="DT41" s="117">
        <f t="shared" si="92"/>
        <v>0</v>
      </c>
      <c r="DU41" s="117">
        <f t="shared" si="93"/>
        <v>0</v>
      </c>
      <c r="DV41" s="117">
        <f t="shared" si="94"/>
        <v>0</v>
      </c>
      <c r="DW41" s="117">
        <f t="shared" si="95"/>
        <v>0</v>
      </c>
      <c r="DX41" s="117">
        <f t="shared" si="96"/>
        <v>0</v>
      </c>
      <c r="DY41" s="117">
        <f t="shared" si="97"/>
        <v>0</v>
      </c>
      <c r="DZ41" s="117">
        <f t="shared" si="98"/>
        <v>0</v>
      </c>
      <c r="EA41" s="117">
        <f t="shared" si="99"/>
        <v>0</v>
      </c>
      <c r="EB41" s="117">
        <f t="shared" si="100"/>
        <v>0</v>
      </c>
      <c r="EC41" s="117">
        <f t="shared" si="101"/>
        <v>0</v>
      </c>
      <c r="ED41" s="117">
        <f t="shared" si="102"/>
        <v>0</v>
      </c>
      <c r="EE41" s="117">
        <f t="shared" si="103"/>
        <v>0</v>
      </c>
      <c r="EF41" s="117">
        <f t="shared" si="104"/>
        <v>0</v>
      </c>
      <c r="EG41" s="117">
        <f t="shared" si="105"/>
        <v>0</v>
      </c>
      <c r="EH41" s="117">
        <f t="shared" si="106"/>
        <v>0</v>
      </c>
      <c r="EI41" s="117">
        <f t="shared" si="107"/>
        <v>0</v>
      </c>
      <c r="EJ41" s="117">
        <f t="shared" si="108"/>
        <v>0</v>
      </c>
      <c r="EK41" s="117">
        <f t="shared" si="109"/>
        <v>0</v>
      </c>
      <c r="EL41" s="117">
        <f t="shared" si="110"/>
        <v>0</v>
      </c>
      <c r="EM41" s="117">
        <f t="shared" si="111"/>
        <v>0</v>
      </c>
      <c r="EN41" s="117">
        <f t="shared" si="112"/>
        <v>0</v>
      </c>
      <c r="EO41" s="117">
        <f t="shared" si="113"/>
        <v>0</v>
      </c>
      <c r="EP41" s="117">
        <f t="shared" si="114"/>
        <v>0</v>
      </c>
      <c r="EQ41" s="117">
        <f t="shared" si="115"/>
        <v>0</v>
      </c>
      <c r="ER41" s="117">
        <f t="shared" si="116"/>
        <v>0</v>
      </c>
      <c r="ES41" s="118"/>
      <c r="ET41" s="142">
        <f t="shared" si="117"/>
        <v>0</v>
      </c>
      <c r="EU41" s="71"/>
      <c r="EV41" s="116">
        <f t="shared" si="118"/>
        <v>1848.3009314288745</v>
      </c>
      <c r="EW41" s="117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7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7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7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7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7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7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7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7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7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7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7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7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7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7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7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7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7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7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7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7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7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7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7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7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7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7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7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7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7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7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7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7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7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7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7">
        <f t="shared" si="119"/>
        <v>0</v>
      </c>
      <c r="GG41" s="117">
        <f t="shared" si="120"/>
        <v>0</v>
      </c>
      <c r="GH41" s="117">
        <f t="shared" si="121"/>
        <v>0</v>
      </c>
      <c r="GI41" s="117">
        <f t="shared" si="122"/>
        <v>0</v>
      </c>
      <c r="GJ41" s="118"/>
      <c r="GK41" s="142">
        <f t="shared" ca="1" si="123"/>
        <v>0</v>
      </c>
    </row>
    <row r="42" spans="1:193">
      <c r="A42" s="388" t="s">
        <v>401</v>
      </c>
      <c r="B42" s="143"/>
      <c r="C42" s="199"/>
      <c r="D42" s="200"/>
      <c r="E42" s="406">
        <f t="shared" si="0"/>
        <v>0</v>
      </c>
      <c r="F42" s="407">
        <f t="shared" si="76"/>
        <v>0</v>
      </c>
      <c r="G42" s="201" t="str">
        <f t="shared" si="124"/>
        <v/>
      </c>
      <c r="H42" s="416">
        <f t="shared" si="58"/>
        <v>0</v>
      </c>
      <c r="I42" s="735">
        <f t="shared" si="3"/>
        <v>0</v>
      </c>
      <c r="J42" s="61"/>
      <c r="K42" s="829" t="s">
        <v>446</v>
      </c>
      <c r="L42" s="827"/>
      <c r="M42" s="828"/>
      <c r="N42" s="152">
        <v>0.05</v>
      </c>
      <c r="O42" s="61"/>
      <c r="P42" s="197" t="str">
        <f t="shared" si="59"/>
        <v>-</v>
      </c>
      <c r="Q42" s="362">
        <f t="shared" si="69"/>
        <v>0</v>
      </c>
      <c r="R42" s="193"/>
      <c r="S42" s="389">
        <f t="shared" ca="1" si="60"/>
        <v>0</v>
      </c>
      <c r="T42" s="330" t="str">
        <f t="shared" si="73"/>
        <v/>
      </c>
      <c r="U42" s="330" t="str">
        <f t="shared" si="62"/>
        <v/>
      </c>
      <c r="V42" s="328">
        <f>IFERROR(VLOOKUP($U42,HomeBroker!$A$30:$F$60,2,0),0)</f>
        <v>0</v>
      </c>
      <c r="W42" s="392">
        <f>IFERROR(VLOOKUP($U42,HomeBroker!$A$30:$F$60,3,0),0)</f>
        <v>0</v>
      </c>
      <c r="X42" s="497">
        <f>IFERROR(VLOOKUP($U42,HomeBroker!$A$30:$F$60,6,0),0)</f>
        <v>0</v>
      </c>
      <c r="Y42" s="391">
        <f>IFERROR(VLOOKUP($U42,HomeBroker!$A$30:$F$60,4,0),0)</f>
        <v>0</v>
      </c>
      <c r="Z42" s="328">
        <f>IFERROR(VLOOKUP($U42,HomeBroker!$A$30:$F$60,5,0),0)</f>
        <v>0</v>
      </c>
      <c r="AA42" s="331">
        <f>IFERROR(VLOOKUP($U42,HomeBroker!$A$30:$N$60,13,0),0)</f>
        <v>0</v>
      </c>
      <c r="AB42" s="198" t="str">
        <f t="shared" si="63"/>
        <v>-</v>
      </c>
      <c r="AC42" s="107">
        <f t="shared" si="70"/>
        <v>0</v>
      </c>
      <c r="AD42" s="108"/>
      <c r="AE42" s="329">
        <f t="shared" ca="1" si="64"/>
        <v>0</v>
      </c>
      <c r="AF42" s="330" t="str">
        <f t="shared" si="74"/>
        <v/>
      </c>
      <c r="AG42" s="330" t="str">
        <f t="shared" si="75"/>
        <v/>
      </c>
      <c r="AH42" s="363">
        <f>IFERROR(VLOOKUP($AG42,HomeBroker!$A$30:$F$60,2,0),0)</f>
        <v>0</v>
      </c>
      <c r="AI42" s="392">
        <f>IFERROR(VLOOKUP($AG42,HomeBroker!$A$30:$F$60,3,0),0)</f>
        <v>0</v>
      </c>
      <c r="AJ42" s="497">
        <f>IFERROR(VLOOKUP($AG42,HomeBroker!$A$30:$F$60,6,0),0)</f>
        <v>0</v>
      </c>
      <c r="AK42" s="392">
        <f>IFERROR(VLOOKUP($AG42,HomeBroker!$A$30:$F$60,4,0),0)</f>
        <v>0</v>
      </c>
      <c r="AL42" s="363">
        <f>IFERROR(VLOOKUP($AG42,HomeBroker!$A$30:$F$60,5,0),0)</f>
        <v>0</v>
      </c>
      <c r="AM42" s="394">
        <f>IFERROR(VLOOKUP($AG42,HomeBroker!$A$30:$N$60,13,0),0)</f>
        <v>0</v>
      </c>
      <c r="AN42" s="61"/>
      <c r="AO42" s="106" t="str">
        <f t="shared" si="67"/>
        <v>-</v>
      </c>
      <c r="AP42" s="61"/>
      <c r="AQ42" s="61"/>
      <c r="AR42" s="61"/>
      <c r="AS42" s="145"/>
      <c r="AT42" s="146" t="s">
        <v>352</v>
      </c>
      <c r="AU42" s="111"/>
      <c r="AV42" s="126"/>
      <c r="AW42" s="127"/>
      <c r="AX42" s="213">
        <f t="shared" si="11"/>
        <v>0</v>
      </c>
      <c r="AY42" s="214">
        <f t="shared" si="12"/>
        <v>0</v>
      </c>
      <c r="AZ42" s="147" t="s">
        <v>402</v>
      </c>
      <c r="BA42" s="111"/>
      <c r="BB42" s="128"/>
      <c r="BC42" s="114"/>
      <c r="BD42" s="215">
        <f t="shared" si="13"/>
        <v>0</v>
      </c>
      <c r="BE42" s="217">
        <f t="shared" si="14"/>
        <v>0</v>
      </c>
      <c r="BF42" s="148" t="s">
        <v>403</v>
      </c>
      <c r="BG42" s="111"/>
      <c r="BH42" s="114"/>
      <c r="BI42" s="218">
        <f t="shared" si="15"/>
        <v>0</v>
      </c>
      <c r="BJ42" s="219">
        <f t="shared" si="16"/>
        <v>0</v>
      </c>
      <c r="DE42" s="116">
        <f t="shared" si="77"/>
        <v>1945.5799278198681</v>
      </c>
      <c r="DF42" s="117">
        <f t="shared" si="78"/>
        <v>0</v>
      </c>
      <c r="DG42" s="117">
        <f t="shared" si="79"/>
        <v>0</v>
      </c>
      <c r="DH42" s="117">
        <f t="shared" si="80"/>
        <v>0</v>
      </c>
      <c r="DI42" s="117">
        <f t="shared" si="81"/>
        <v>0</v>
      </c>
      <c r="DJ42" s="117">
        <f t="shared" si="82"/>
        <v>0</v>
      </c>
      <c r="DK42" s="117">
        <f t="shared" si="83"/>
        <v>0</v>
      </c>
      <c r="DL42" s="117">
        <f t="shared" si="84"/>
        <v>0</v>
      </c>
      <c r="DM42" s="117">
        <f t="shared" si="85"/>
        <v>0</v>
      </c>
      <c r="DN42" s="117">
        <f t="shared" si="86"/>
        <v>0</v>
      </c>
      <c r="DO42" s="117">
        <f t="shared" si="87"/>
        <v>0</v>
      </c>
      <c r="DP42" s="117">
        <f t="shared" si="88"/>
        <v>0</v>
      </c>
      <c r="DQ42" s="117">
        <f t="shared" si="89"/>
        <v>0</v>
      </c>
      <c r="DR42" s="117">
        <f t="shared" si="90"/>
        <v>0</v>
      </c>
      <c r="DS42" s="117">
        <f t="shared" si="91"/>
        <v>0</v>
      </c>
      <c r="DT42" s="117">
        <f t="shared" si="92"/>
        <v>0</v>
      </c>
      <c r="DU42" s="117">
        <f t="shared" si="93"/>
        <v>0</v>
      </c>
      <c r="DV42" s="117">
        <f t="shared" si="94"/>
        <v>0</v>
      </c>
      <c r="DW42" s="117">
        <f t="shared" si="95"/>
        <v>0</v>
      </c>
      <c r="DX42" s="117">
        <f t="shared" si="96"/>
        <v>0</v>
      </c>
      <c r="DY42" s="117">
        <f t="shared" si="97"/>
        <v>0</v>
      </c>
      <c r="DZ42" s="117">
        <f t="shared" si="98"/>
        <v>0</v>
      </c>
      <c r="EA42" s="117">
        <f t="shared" si="99"/>
        <v>0</v>
      </c>
      <c r="EB42" s="117">
        <f t="shared" si="100"/>
        <v>0</v>
      </c>
      <c r="EC42" s="117">
        <f t="shared" si="101"/>
        <v>0</v>
      </c>
      <c r="ED42" s="117">
        <f t="shared" si="102"/>
        <v>0</v>
      </c>
      <c r="EE42" s="117">
        <f t="shared" si="103"/>
        <v>0</v>
      </c>
      <c r="EF42" s="117">
        <f t="shared" si="104"/>
        <v>0</v>
      </c>
      <c r="EG42" s="117">
        <f t="shared" si="105"/>
        <v>0</v>
      </c>
      <c r="EH42" s="117">
        <f t="shared" si="106"/>
        <v>0</v>
      </c>
      <c r="EI42" s="117">
        <f t="shared" si="107"/>
        <v>0</v>
      </c>
      <c r="EJ42" s="117">
        <f t="shared" si="108"/>
        <v>0</v>
      </c>
      <c r="EK42" s="117">
        <f t="shared" si="109"/>
        <v>0</v>
      </c>
      <c r="EL42" s="117">
        <f t="shared" si="110"/>
        <v>0</v>
      </c>
      <c r="EM42" s="117">
        <f t="shared" si="111"/>
        <v>0</v>
      </c>
      <c r="EN42" s="117">
        <f t="shared" si="112"/>
        <v>0</v>
      </c>
      <c r="EO42" s="117">
        <f t="shared" si="113"/>
        <v>0</v>
      </c>
      <c r="EP42" s="117">
        <f t="shared" si="114"/>
        <v>0</v>
      </c>
      <c r="EQ42" s="117">
        <f t="shared" si="115"/>
        <v>0</v>
      </c>
      <c r="ER42" s="117">
        <f t="shared" si="116"/>
        <v>0</v>
      </c>
      <c r="ES42" s="118"/>
      <c r="ET42" s="142">
        <f t="shared" si="117"/>
        <v>0</v>
      </c>
      <c r="EU42" s="71"/>
      <c r="EV42" s="116">
        <f t="shared" si="118"/>
        <v>1945.5799278198681</v>
      </c>
      <c r="EW42" s="117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7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7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7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7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7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7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7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7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7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7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7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7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7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7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7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7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7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7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7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7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7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7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7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7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7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7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7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7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7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7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7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7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7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7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7">
        <f t="shared" si="119"/>
        <v>0</v>
      </c>
      <c r="GG42" s="117">
        <f t="shared" si="120"/>
        <v>0</v>
      </c>
      <c r="GH42" s="117">
        <f t="shared" si="121"/>
        <v>0</v>
      </c>
      <c r="GI42" s="117">
        <f t="shared" si="122"/>
        <v>0</v>
      </c>
      <c r="GJ42" s="118"/>
      <c r="GK42" s="142">
        <f t="shared" ca="1" si="123"/>
        <v>0</v>
      </c>
    </row>
    <row r="43" spans="1:193">
      <c r="A43" s="388" t="s">
        <v>401</v>
      </c>
      <c r="B43" s="143"/>
      <c r="C43" s="199"/>
      <c r="D43" s="200"/>
      <c r="E43" s="406">
        <f t="shared" si="0"/>
        <v>0</v>
      </c>
      <c r="F43" s="407">
        <f t="shared" si="76"/>
        <v>0</v>
      </c>
      <c r="G43" s="201" t="str">
        <f t="shared" si="124"/>
        <v/>
      </c>
      <c r="H43" s="416">
        <f t="shared" si="58"/>
        <v>0</v>
      </c>
      <c r="I43" s="735">
        <f t="shared" si="3"/>
        <v>0</v>
      </c>
      <c r="J43" s="61"/>
      <c r="K43" s="153" t="s">
        <v>447</v>
      </c>
      <c r="L43" s="154" t="s">
        <v>448</v>
      </c>
      <c r="M43" s="155" t="s">
        <v>449</v>
      </c>
      <c r="N43" s="154" t="s">
        <v>651</v>
      </c>
      <c r="O43" s="61"/>
      <c r="P43" s="833"/>
      <c r="Q43" s="834"/>
      <c r="R43" s="834"/>
      <c r="S43" s="834"/>
      <c r="T43" s="834"/>
      <c r="U43" s="834"/>
      <c r="V43" s="834"/>
      <c r="W43" s="834"/>
      <c r="X43" s="834"/>
      <c r="Y43" s="834"/>
      <c r="Z43" s="834"/>
      <c r="AA43" s="835"/>
      <c r="AB43" s="839"/>
      <c r="AC43" s="839"/>
      <c r="AD43" s="839"/>
      <c r="AE43" s="839"/>
      <c r="AF43" s="839"/>
      <c r="AG43" s="839"/>
      <c r="AH43" s="839"/>
      <c r="AI43" s="839"/>
      <c r="AJ43" s="839"/>
      <c r="AK43" s="839"/>
      <c r="AL43" s="839"/>
      <c r="AM43" s="840"/>
      <c r="AN43" s="61"/>
      <c r="AO43" s="61"/>
      <c r="AP43" s="61"/>
      <c r="AQ43" s="61"/>
      <c r="AR43" s="61"/>
      <c r="AS43" s="145"/>
      <c r="AT43" s="146" t="s">
        <v>352</v>
      </c>
      <c r="AU43" s="111"/>
      <c r="AV43" s="126"/>
      <c r="AW43" s="127"/>
      <c r="AX43" s="213">
        <f t="shared" si="11"/>
        <v>0</v>
      </c>
      <c r="AY43" s="214">
        <f t="shared" si="12"/>
        <v>0</v>
      </c>
      <c r="AZ43" s="147" t="s">
        <v>402</v>
      </c>
      <c r="BA43" s="111"/>
      <c r="BB43" s="128"/>
      <c r="BC43" s="114"/>
      <c r="BD43" s="215">
        <f t="shared" si="13"/>
        <v>0</v>
      </c>
      <c r="BE43" s="217">
        <f t="shared" si="14"/>
        <v>0</v>
      </c>
      <c r="BF43" s="148" t="s">
        <v>403</v>
      </c>
      <c r="BG43" s="111"/>
      <c r="BH43" s="114"/>
      <c r="BI43" s="218">
        <f t="shared" si="15"/>
        <v>0</v>
      </c>
      <c r="BJ43" s="219">
        <f t="shared" si="16"/>
        <v>0</v>
      </c>
      <c r="DE43" s="116">
        <f t="shared" si="77"/>
        <v>2047.9788713893349</v>
      </c>
      <c r="DF43" s="117">
        <f t="shared" si="78"/>
        <v>0</v>
      </c>
      <c r="DG43" s="117">
        <f t="shared" si="79"/>
        <v>0</v>
      </c>
      <c r="DH43" s="117">
        <f t="shared" si="80"/>
        <v>0</v>
      </c>
      <c r="DI43" s="117">
        <f t="shared" si="81"/>
        <v>0</v>
      </c>
      <c r="DJ43" s="117">
        <f t="shared" si="82"/>
        <v>0</v>
      </c>
      <c r="DK43" s="117">
        <f t="shared" si="83"/>
        <v>0</v>
      </c>
      <c r="DL43" s="117">
        <f t="shared" si="84"/>
        <v>0</v>
      </c>
      <c r="DM43" s="117">
        <f t="shared" si="85"/>
        <v>0</v>
      </c>
      <c r="DN43" s="117">
        <f t="shared" si="86"/>
        <v>0</v>
      </c>
      <c r="DO43" s="117">
        <f t="shared" si="87"/>
        <v>0</v>
      </c>
      <c r="DP43" s="117">
        <f t="shared" si="88"/>
        <v>0</v>
      </c>
      <c r="DQ43" s="117">
        <f t="shared" si="89"/>
        <v>0</v>
      </c>
      <c r="DR43" s="117">
        <f t="shared" si="90"/>
        <v>0</v>
      </c>
      <c r="DS43" s="117">
        <f t="shared" si="91"/>
        <v>0</v>
      </c>
      <c r="DT43" s="117">
        <f t="shared" si="92"/>
        <v>0</v>
      </c>
      <c r="DU43" s="117">
        <f t="shared" si="93"/>
        <v>0</v>
      </c>
      <c r="DV43" s="117">
        <f t="shared" si="94"/>
        <v>0</v>
      </c>
      <c r="DW43" s="117">
        <f t="shared" si="95"/>
        <v>0</v>
      </c>
      <c r="DX43" s="117">
        <f t="shared" si="96"/>
        <v>0</v>
      </c>
      <c r="DY43" s="117">
        <f t="shared" si="97"/>
        <v>0</v>
      </c>
      <c r="DZ43" s="117">
        <f t="shared" si="98"/>
        <v>0</v>
      </c>
      <c r="EA43" s="117">
        <f t="shared" si="99"/>
        <v>0</v>
      </c>
      <c r="EB43" s="117">
        <f t="shared" si="100"/>
        <v>0</v>
      </c>
      <c r="EC43" s="117">
        <f t="shared" si="101"/>
        <v>0</v>
      </c>
      <c r="ED43" s="117">
        <f t="shared" si="102"/>
        <v>0</v>
      </c>
      <c r="EE43" s="117">
        <f t="shared" si="103"/>
        <v>0</v>
      </c>
      <c r="EF43" s="117">
        <f t="shared" si="104"/>
        <v>0</v>
      </c>
      <c r="EG43" s="117">
        <f t="shared" si="105"/>
        <v>0</v>
      </c>
      <c r="EH43" s="117">
        <f t="shared" si="106"/>
        <v>0</v>
      </c>
      <c r="EI43" s="117">
        <f t="shared" si="107"/>
        <v>0</v>
      </c>
      <c r="EJ43" s="117">
        <f t="shared" si="108"/>
        <v>0</v>
      </c>
      <c r="EK43" s="117">
        <f t="shared" si="109"/>
        <v>0</v>
      </c>
      <c r="EL43" s="117">
        <f t="shared" si="110"/>
        <v>0</v>
      </c>
      <c r="EM43" s="117">
        <f t="shared" si="111"/>
        <v>0</v>
      </c>
      <c r="EN43" s="117">
        <f t="shared" si="112"/>
        <v>0</v>
      </c>
      <c r="EO43" s="117">
        <f t="shared" si="113"/>
        <v>0</v>
      </c>
      <c r="EP43" s="117">
        <f t="shared" si="114"/>
        <v>0</v>
      </c>
      <c r="EQ43" s="117">
        <f t="shared" si="115"/>
        <v>0</v>
      </c>
      <c r="ER43" s="117">
        <f t="shared" si="116"/>
        <v>0</v>
      </c>
      <c r="ES43" s="118"/>
      <c r="ET43" s="142">
        <f t="shared" si="117"/>
        <v>0</v>
      </c>
      <c r="EU43" s="71"/>
      <c r="EV43" s="116">
        <f t="shared" si="118"/>
        <v>2047.9788713893349</v>
      </c>
      <c r="EW43" s="117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7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7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7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7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7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7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7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7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7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7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7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7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7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7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7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7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7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7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7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7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7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7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7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7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7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7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7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7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7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7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7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7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7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7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7">
        <f t="shared" si="119"/>
        <v>0</v>
      </c>
      <c r="GG43" s="117">
        <f t="shared" si="120"/>
        <v>0</v>
      </c>
      <c r="GH43" s="117">
        <f t="shared" si="121"/>
        <v>0</v>
      </c>
      <c r="GI43" s="117">
        <f t="shared" si="122"/>
        <v>0</v>
      </c>
      <c r="GJ43" s="118"/>
      <c r="GK43" s="142">
        <f t="shared" ca="1" si="123"/>
        <v>0</v>
      </c>
    </row>
    <row r="44" spans="1:193">
      <c r="A44" s="388" t="s">
        <v>401</v>
      </c>
      <c r="B44" s="143"/>
      <c r="C44" s="199"/>
      <c r="D44" s="200"/>
      <c r="E44" s="406">
        <f t="shared" si="0"/>
        <v>0</v>
      </c>
      <c r="F44" s="407">
        <f t="shared" si="76"/>
        <v>0</v>
      </c>
      <c r="G44" s="201" t="str">
        <f t="shared" si="124"/>
        <v/>
      </c>
      <c r="H44" s="416">
        <f t="shared" si="58"/>
        <v>0</v>
      </c>
      <c r="I44" s="735">
        <f t="shared" si="3"/>
        <v>0</v>
      </c>
      <c r="J44" s="61"/>
      <c r="K44" s="843" t="s">
        <v>450</v>
      </c>
      <c r="L44" s="827"/>
      <c r="M44" s="828"/>
      <c r="N44" s="156"/>
      <c r="O44" s="61"/>
      <c r="P44" s="836"/>
      <c r="Q44" s="837"/>
      <c r="R44" s="837"/>
      <c r="S44" s="837"/>
      <c r="T44" s="837"/>
      <c r="U44" s="837"/>
      <c r="V44" s="837"/>
      <c r="W44" s="837"/>
      <c r="X44" s="837"/>
      <c r="Y44" s="837"/>
      <c r="Z44" s="837"/>
      <c r="AA44" s="838"/>
      <c r="AB44" s="841"/>
      <c r="AC44" s="841"/>
      <c r="AD44" s="841"/>
      <c r="AE44" s="841"/>
      <c r="AF44" s="841"/>
      <c r="AG44" s="841"/>
      <c r="AH44" s="841"/>
      <c r="AI44" s="841"/>
      <c r="AJ44" s="841"/>
      <c r="AK44" s="841"/>
      <c r="AL44" s="841"/>
      <c r="AM44" s="842"/>
      <c r="AN44" s="61"/>
      <c r="AO44" s="61"/>
      <c r="AP44" s="61"/>
      <c r="AQ44" s="61"/>
      <c r="AR44" s="61"/>
      <c r="AS44" s="145"/>
      <c r="AT44" s="146" t="s">
        <v>352</v>
      </c>
      <c r="AU44" s="111"/>
      <c r="AV44" s="126"/>
      <c r="AW44" s="127"/>
      <c r="AX44" s="213">
        <f t="shared" si="11"/>
        <v>0</v>
      </c>
      <c r="AY44" s="214">
        <f t="shared" si="12"/>
        <v>0</v>
      </c>
      <c r="AZ44" s="147" t="s">
        <v>402</v>
      </c>
      <c r="BA44" s="111"/>
      <c r="BB44" s="128"/>
      <c r="BC44" s="114"/>
      <c r="BD44" s="215">
        <f t="shared" si="13"/>
        <v>0</v>
      </c>
      <c r="BE44" s="217">
        <f t="shared" si="14"/>
        <v>0</v>
      </c>
      <c r="BF44" s="148" t="s">
        <v>403</v>
      </c>
      <c r="BG44" s="111"/>
      <c r="BH44" s="114"/>
      <c r="BI44" s="218">
        <f t="shared" si="15"/>
        <v>0</v>
      </c>
      <c r="BJ44" s="219">
        <f t="shared" si="16"/>
        <v>0</v>
      </c>
      <c r="DE44" s="116">
        <f t="shared" si="77"/>
        <v>2155.7672330414052</v>
      </c>
      <c r="DF44" s="117">
        <f t="shared" si="78"/>
        <v>0</v>
      </c>
      <c r="DG44" s="117">
        <f t="shared" si="79"/>
        <v>0</v>
      </c>
      <c r="DH44" s="117">
        <f t="shared" si="80"/>
        <v>0</v>
      </c>
      <c r="DI44" s="117">
        <f t="shared" si="81"/>
        <v>0</v>
      </c>
      <c r="DJ44" s="117">
        <f t="shared" si="82"/>
        <v>0</v>
      </c>
      <c r="DK44" s="117">
        <f t="shared" si="83"/>
        <v>0</v>
      </c>
      <c r="DL44" s="117">
        <f t="shared" si="84"/>
        <v>0</v>
      </c>
      <c r="DM44" s="117">
        <f t="shared" si="85"/>
        <v>0</v>
      </c>
      <c r="DN44" s="117">
        <f t="shared" si="86"/>
        <v>0</v>
      </c>
      <c r="DO44" s="117">
        <f t="shared" si="87"/>
        <v>0</v>
      </c>
      <c r="DP44" s="117">
        <f t="shared" si="88"/>
        <v>0</v>
      </c>
      <c r="DQ44" s="117">
        <f t="shared" si="89"/>
        <v>0</v>
      </c>
      <c r="DR44" s="117">
        <f t="shared" si="90"/>
        <v>0</v>
      </c>
      <c r="DS44" s="117">
        <f t="shared" si="91"/>
        <v>0</v>
      </c>
      <c r="DT44" s="117">
        <f t="shared" si="92"/>
        <v>0</v>
      </c>
      <c r="DU44" s="117">
        <f t="shared" si="93"/>
        <v>0</v>
      </c>
      <c r="DV44" s="117">
        <f t="shared" si="94"/>
        <v>0</v>
      </c>
      <c r="DW44" s="117">
        <f t="shared" si="95"/>
        <v>0</v>
      </c>
      <c r="DX44" s="117">
        <f t="shared" si="96"/>
        <v>0</v>
      </c>
      <c r="DY44" s="117">
        <f t="shared" si="97"/>
        <v>0</v>
      </c>
      <c r="DZ44" s="117">
        <f t="shared" si="98"/>
        <v>0</v>
      </c>
      <c r="EA44" s="117">
        <f t="shared" si="99"/>
        <v>0</v>
      </c>
      <c r="EB44" s="117">
        <f t="shared" si="100"/>
        <v>0</v>
      </c>
      <c r="EC44" s="117">
        <f t="shared" si="101"/>
        <v>0</v>
      </c>
      <c r="ED44" s="117">
        <f t="shared" si="102"/>
        <v>0</v>
      </c>
      <c r="EE44" s="117">
        <f t="shared" si="103"/>
        <v>0</v>
      </c>
      <c r="EF44" s="117">
        <f t="shared" si="104"/>
        <v>0</v>
      </c>
      <c r="EG44" s="117">
        <f t="shared" si="105"/>
        <v>0</v>
      </c>
      <c r="EH44" s="117">
        <f t="shared" si="106"/>
        <v>0</v>
      </c>
      <c r="EI44" s="117">
        <f t="shared" si="107"/>
        <v>0</v>
      </c>
      <c r="EJ44" s="117">
        <f t="shared" si="108"/>
        <v>0</v>
      </c>
      <c r="EK44" s="117">
        <f t="shared" si="109"/>
        <v>0</v>
      </c>
      <c r="EL44" s="117">
        <f t="shared" si="110"/>
        <v>0</v>
      </c>
      <c r="EM44" s="117">
        <f t="shared" si="111"/>
        <v>0</v>
      </c>
      <c r="EN44" s="117">
        <f t="shared" si="112"/>
        <v>0</v>
      </c>
      <c r="EO44" s="117">
        <f t="shared" si="113"/>
        <v>0</v>
      </c>
      <c r="EP44" s="117">
        <f t="shared" si="114"/>
        <v>0</v>
      </c>
      <c r="EQ44" s="117">
        <f t="shared" si="115"/>
        <v>0</v>
      </c>
      <c r="ER44" s="117">
        <f t="shared" si="116"/>
        <v>0</v>
      </c>
      <c r="ES44" s="118"/>
      <c r="ET44" s="142">
        <f t="shared" si="117"/>
        <v>0</v>
      </c>
      <c r="EU44" s="71"/>
      <c r="EV44" s="116">
        <f t="shared" si="118"/>
        <v>2155.7672330414052</v>
      </c>
      <c r="EW44" s="117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7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7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7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7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7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7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7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7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7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7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7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7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7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7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7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7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7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7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7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7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7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7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7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7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7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7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7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7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7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7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7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7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7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7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7">
        <f t="shared" si="119"/>
        <v>0</v>
      </c>
      <c r="GG44" s="117">
        <f t="shared" si="120"/>
        <v>0</v>
      </c>
      <c r="GH44" s="117">
        <f t="shared" si="121"/>
        <v>0</v>
      </c>
      <c r="GI44" s="117">
        <f t="shared" si="122"/>
        <v>0</v>
      </c>
      <c r="GJ44" s="118"/>
      <c r="GK44" s="142">
        <f t="shared" ca="1" si="123"/>
        <v>0</v>
      </c>
    </row>
    <row r="45" spans="1:193">
      <c r="A45" s="388" t="s">
        <v>401</v>
      </c>
      <c r="B45" s="143"/>
      <c r="C45" s="199"/>
      <c r="D45" s="200"/>
      <c r="E45" s="406">
        <f t="shared" si="0"/>
        <v>0</v>
      </c>
      <c r="F45" s="407">
        <f t="shared" si="76"/>
        <v>0</v>
      </c>
      <c r="G45" s="201" t="str">
        <f t="shared" si="124"/>
        <v/>
      </c>
      <c r="H45" s="416">
        <f t="shared" si="58"/>
        <v>0</v>
      </c>
      <c r="I45" s="735">
        <f t="shared" si="3"/>
        <v>0</v>
      </c>
      <c r="J45" s="61"/>
      <c r="K45" s="844" t="s">
        <v>451</v>
      </c>
      <c r="L45" s="827"/>
      <c r="M45" s="828"/>
      <c r="N45" s="382"/>
      <c r="O45" s="61"/>
      <c r="P45" s="157"/>
      <c r="Q45" s="158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7"/>
      <c r="AC45" s="158"/>
      <c r="AD45" s="159"/>
      <c r="AE45" s="158"/>
      <c r="AF45" s="158"/>
      <c r="AG45" s="158"/>
      <c r="AH45" s="158"/>
      <c r="AI45" s="158"/>
      <c r="AJ45" s="158"/>
      <c r="AK45" s="158"/>
      <c r="AL45" s="158"/>
      <c r="AM45" s="158"/>
      <c r="AN45" s="61"/>
      <c r="AO45" s="61"/>
      <c r="AP45" s="61"/>
      <c r="AQ45" s="61"/>
      <c r="AR45" s="61"/>
      <c r="AS45" s="145"/>
      <c r="AT45" s="146" t="s">
        <v>352</v>
      </c>
      <c r="AU45" s="111"/>
      <c r="AV45" s="126"/>
      <c r="AW45" s="127"/>
      <c r="AX45" s="213">
        <f t="shared" si="11"/>
        <v>0</v>
      </c>
      <c r="AY45" s="214">
        <f t="shared" si="12"/>
        <v>0</v>
      </c>
      <c r="AZ45" s="147" t="s">
        <v>402</v>
      </c>
      <c r="BA45" s="111"/>
      <c r="BB45" s="128"/>
      <c r="BC45" s="114"/>
      <c r="BD45" s="215">
        <f t="shared" si="13"/>
        <v>0</v>
      </c>
      <c r="BE45" s="217">
        <f t="shared" si="14"/>
        <v>0</v>
      </c>
      <c r="BF45" s="148" t="s">
        <v>403</v>
      </c>
      <c r="BG45" s="111"/>
      <c r="BH45" s="114"/>
      <c r="BI45" s="218">
        <f t="shared" si="15"/>
        <v>0</v>
      </c>
      <c r="BJ45" s="219">
        <f t="shared" si="16"/>
        <v>0</v>
      </c>
      <c r="DE45" s="116">
        <f t="shared" si="77"/>
        <v>2269.2286663593741</v>
      </c>
      <c r="DF45" s="117">
        <f t="shared" si="78"/>
        <v>0</v>
      </c>
      <c r="DG45" s="117">
        <f t="shared" si="79"/>
        <v>0</v>
      </c>
      <c r="DH45" s="117">
        <f t="shared" si="80"/>
        <v>0</v>
      </c>
      <c r="DI45" s="117">
        <f t="shared" si="81"/>
        <v>0</v>
      </c>
      <c r="DJ45" s="117">
        <f t="shared" si="82"/>
        <v>0</v>
      </c>
      <c r="DK45" s="117">
        <f t="shared" si="83"/>
        <v>0</v>
      </c>
      <c r="DL45" s="117">
        <f t="shared" si="84"/>
        <v>0</v>
      </c>
      <c r="DM45" s="117">
        <f t="shared" si="85"/>
        <v>0</v>
      </c>
      <c r="DN45" s="117">
        <f t="shared" si="86"/>
        <v>0</v>
      </c>
      <c r="DO45" s="117">
        <f t="shared" si="87"/>
        <v>0</v>
      </c>
      <c r="DP45" s="117">
        <f t="shared" si="88"/>
        <v>0</v>
      </c>
      <c r="DQ45" s="117">
        <f t="shared" si="89"/>
        <v>0</v>
      </c>
      <c r="DR45" s="117">
        <f t="shared" si="90"/>
        <v>0</v>
      </c>
      <c r="DS45" s="117">
        <f t="shared" si="91"/>
        <v>0</v>
      </c>
      <c r="DT45" s="117">
        <f t="shared" si="92"/>
        <v>0</v>
      </c>
      <c r="DU45" s="117">
        <f t="shared" si="93"/>
        <v>0</v>
      </c>
      <c r="DV45" s="117">
        <f t="shared" si="94"/>
        <v>0</v>
      </c>
      <c r="DW45" s="117">
        <f t="shared" si="95"/>
        <v>0</v>
      </c>
      <c r="DX45" s="117">
        <f t="shared" si="96"/>
        <v>0</v>
      </c>
      <c r="DY45" s="117">
        <f t="shared" si="97"/>
        <v>0</v>
      </c>
      <c r="DZ45" s="117">
        <f t="shared" si="98"/>
        <v>0</v>
      </c>
      <c r="EA45" s="117">
        <f t="shared" si="99"/>
        <v>0</v>
      </c>
      <c r="EB45" s="117">
        <f t="shared" si="100"/>
        <v>0</v>
      </c>
      <c r="EC45" s="117">
        <f t="shared" si="101"/>
        <v>0</v>
      </c>
      <c r="ED45" s="117">
        <f t="shared" si="102"/>
        <v>0</v>
      </c>
      <c r="EE45" s="117">
        <f t="shared" si="103"/>
        <v>0</v>
      </c>
      <c r="EF45" s="117">
        <f t="shared" si="104"/>
        <v>0</v>
      </c>
      <c r="EG45" s="117">
        <f t="shared" si="105"/>
        <v>0</v>
      </c>
      <c r="EH45" s="117">
        <f t="shared" si="106"/>
        <v>0</v>
      </c>
      <c r="EI45" s="117">
        <f t="shared" si="107"/>
        <v>0</v>
      </c>
      <c r="EJ45" s="117">
        <f t="shared" si="108"/>
        <v>0</v>
      </c>
      <c r="EK45" s="117">
        <f t="shared" si="109"/>
        <v>0</v>
      </c>
      <c r="EL45" s="117">
        <f t="shared" si="110"/>
        <v>0</v>
      </c>
      <c r="EM45" s="117">
        <f t="shared" si="111"/>
        <v>0</v>
      </c>
      <c r="EN45" s="117">
        <f t="shared" si="112"/>
        <v>0</v>
      </c>
      <c r="EO45" s="117">
        <f t="shared" si="113"/>
        <v>0</v>
      </c>
      <c r="EP45" s="117">
        <f t="shared" si="114"/>
        <v>0</v>
      </c>
      <c r="EQ45" s="117">
        <f t="shared" si="115"/>
        <v>0</v>
      </c>
      <c r="ER45" s="117">
        <f t="shared" si="116"/>
        <v>0</v>
      </c>
      <c r="ES45" s="118"/>
      <c r="ET45" s="142">
        <f t="shared" si="117"/>
        <v>0</v>
      </c>
      <c r="EU45" s="71"/>
      <c r="EV45" s="116">
        <f t="shared" si="118"/>
        <v>2269.2286663593741</v>
      </c>
      <c r="EW45" s="117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7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7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7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7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7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7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7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7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7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7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7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7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7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7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7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7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7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7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7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7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7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7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7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7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7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7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7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7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7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7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7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7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7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7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7">
        <f t="shared" si="119"/>
        <v>0</v>
      </c>
      <c r="GG45" s="117">
        <f t="shared" si="120"/>
        <v>0</v>
      </c>
      <c r="GH45" s="117">
        <f t="shared" si="121"/>
        <v>0</v>
      </c>
      <c r="GI45" s="117">
        <f t="shared" si="122"/>
        <v>0</v>
      </c>
      <c r="GJ45" s="118"/>
      <c r="GK45" s="142">
        <f t="shared" ca="1" si="123"/>
        <v>0</v>
      </c>
    </row>
    <row r="46" spans="1:193">
      <c r="A46" s="388" t="s">
        <v>401</v>
      </c>
      <c r="B46" s="143"/>
      <c r="C46" s="199"/>
      <c r="D46" s="200"/>
      <c r="E46" s="406">
        <f t="shared" si="0"/>
        <v>0</v>
      </c>
      <c r="F46" s="407">
        <f t="shared" si="76"/>
        <v>0</v>
      </c>
      <c r="G46" s="201" t="str">
        <f t="shared" si="124"/>
        <v/>
      </c>
      <c r="H46" s="416">
        <f t="shared" si="58"/>
        <v>0</v>
      </c>
      <c r="I46" s="735">
        <f t="shared" si="3"/>
        <v>0</v>
      </c>
      <c r="J46" s="61"/>
      <c r="K46" s="848" t="s">
        <v>452</v>
      </c>
      <c r="L46" s="827"/>
      <c r="M46" s="828"/>
      <c r="N46" s="712">
        <v>0.42</v>
      </c>
      <c r="O46" s="61"/>
      <c r="P46" s="157"/>
      <c r="Q46" s="158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7"/>
      <c r="AC46" s="158"/>
      <c r="AD46" s="159"/>
      <c r="AE46" s="158"/>
      <c r="AF46" s="158"/>
      <c r="AG46" s="158"/>
      <c r="AH46" s="158"/>
      <c r="AI46" s="158"/>
      <c r="AJ46" s="158"/>
      <c r="AK46" s="158"/>
      <c r="AL46" s="158"/>
      <c r="AM46" s="158"/>
      <c r="AN46" s="61"/>
      <c r="AO46" s="61"/>
      <c r="AP46" s="61"/>
      <c r="AQ46" s="61"/>
      <c r="AR46" s="61"/>
      <c r="AS46" s="145"/>
      <c r="AT46" s="146" t="s">
        <v>352</v>
      </c>
      <c r="AU46" s="111"/>
      <c r="AV46" s="126"/>
      <c r="AW46" s="127"/>
      <c r="AX46" s="213">
        <f t="shared" si="11"/>
        <v>0</v>
      </c>
      <c r="AY46" s="214">
        <f t="shared" si="12"/>
        <v>0</v>
      </c>
      <c r="AZ46" s="147" t="s">
        <v>402</v>
      </c>
      <c r="BA46" s="111"/>
      <c r="BB46" s="128"/>
      <c r="BC46" s="114"/>
      <c r="BD46" s="215">
        <f t="shared" si="13"/>
        <v>0</v>
      </c>
      <c r="BE46" s="217">
        <f t="shared" si="14"/>
        <v>0</v>
      </c>
      <c r="BF46" s="148" t="s">
        <v>403</v>
      </c>
      <c r="BG46" s="111"/>
      <c r="BH46" s="114"/>
      <c r="BI46" s="218">
        <f t="shared" si="15"/>
        <v>0</v>
      </c>
      <c r="BJ46" s="219">
        <f t="shared" si="16"/>
        <v>0</v>
      </c>
      <c r="DE46" s="116">
        <f t="shared" si="77"/>
        <v>2388.6617540624993</v>
      </c>
      <c r="DF46" s="117">
        <f t="shared" si="78"/>
        <v>0</v>
      </c>
      <c r="DG46" s="117">
        <f t="shared" si="79"/>
        <v>0</v>
      </c>
      <c r="DH46" s="117">
        <f t="shared" si="80"/>
        <v>0</v>
      </c>
      <c r="DI46" s="117">
        <f t="shared" si="81"/>
        <v>0</v>
      </c>
      <c r="DJ46" s="117">
        <f t="shared" si="82"/>
        <v>0</v>
      </c>
      <c r="DK46" s="117">
        <f t="shared" si="83"/>
        <v>0</v>
      </c>
      <c r="DL46" s="117">
        <f t="shared" si="84"/>
        <v>0</v>
      </c>
      <c r="DM46" s="117">
        <f t="shared" si="85"/>
        <v>0</v>
      </c>
      <c r="DN46" s="117">
        <f t="shared" si="86"/>
        <v>0</v>
      </c>
      <c r="DO46" s="117">
        <f t="shared" si="87"/>
        <v>0</v>
      </c>
      <c r="DP46" s="117">
        <f t="shared" si="88"/>
        <v>0</v>
      </c>
      <c r="DQ46" s="117">
        <f t="shared" si="89"/>
        <v>0</v>
      </c>
      <c r="DR46" s="117">
        <f t="shared" si="90"/>
        <v>0</v>
      </c>
      <c r="DS46" s="117">
        <f t="shared" si="91"/>
        <v>0</v>
      </c>
      <c r="DT46" s="117">
        <f t="shared" si="92"/>
        <v>0</v>
      </c>
      <c r="DU46" s="117">
        <f t="shared" si="93"/>
        <v>0</v>
      </c>
      <c r="DV46" s="117">
        <f t="shared" si="94"/>
        <v>0</v>
      </c>
      <c r="DW46" s="117">
        <f t="shared" si="95"/>
        <v>0</v>
      </c>
      <c r="DX46" s="117">
        <f t="shared" si="96"/>
        <v>0</v>
      </c>
      <c r="DY46" s="117">
        <f t="shared" si="97"/>
        <v>0</v>
      </c>
      <c r="DZ46" s="117">
        <f t="shared" si="98"/>
        <v>0</v>
      </c>
      <c r="EA46" s="117">
        <f t="shared" si="99"/>
        <v>0</v>
      </c>
      <c r="EB46" s="117">
        <f t="shared" si="100"/>
        <v>0</v>
      </c>
      <c r="EC46" s="117">
        <f t="shared" si="101"/>
        <v>0</v>
      </c>
      <c r="ED46" s="117">
        <f t="shared" si="102"/>
        <v>0</v>
      </c>
      <c r="EE46" s="117">
        <f t="shared" si="103"/>
        <v>0</v>
      </c>
      <c r="EF46" s="117">
        <f t="shared" si="104"/>
        <v>0</v>
      </c>
      <c r="EG46" s="117">
        <f t="shared" si="105"/>
        <v>0</v>
      </c>
      <c r="EH46" s="117">
        <f t="shared" si="106"/>
        <v>0</v>
      </c>
      <c r="EI46" s="117">
        <f t="shared" si="107"/>
        <v>0</v>
      </c>
      <c r="EJ46" s="117">
        <f t="shared" si="108"/>
        <v>0</v>
      </c>
      <c r="EK46" s="117">
        <f t="shared" si="109"/>
        <v>0</v>
      </c>
      <c r="EL46" s="117">
        <f t="shared" si="110"/>
        <v>0</v>
      </c>
      <c r="EM46" s="117">
        <f t="shared" si="111"/>
        <v>0</v>
      </c>
      <c r="EN46" s="117">
        <f t="shared" si="112"/>
        <v>0</v>
      </c>
      <c r="EO46" s="117">
        <f t="shared" si="113"/>
        <v>0</v>
      </c>
      <c r="EP46" s="117">
        <f t="shared" si="114"/>
        <v>0</v>
      </c>
      <c r="EQ46" s="117">
        <f t="shared" si="115"/>
        <v>0</v>
      </c>
      <c r="ER46" s="117">
        <f t="shared" si="116"/>
        <v>0</v>
      </c>
      <c r="ES46" s="118"/>
      <c r="ET46" s="142">
        <f t="shared" si="117"/>
        <v>0</v>
      </c>
      <c r="EU46" s="71"/>
      <c r="EV46" s="116">
        <f t="shared" si="118"/>
        <v>2388.6617540624993</v>
      </c>
      <c r="EW46" s="117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7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7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7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7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7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7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7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7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7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7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7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7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7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7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7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7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7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7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7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7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7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7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7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7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7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7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7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7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7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7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7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7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7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7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7">
        <f t="shared" si="119"/>
        <v>0</v>
      </c>
      <c r="GG46" s="117">
        <f t="shared" si="120"/>
        <v>0</v>
      </c>
      <c r="GH46" s="117">
        <f t="shared" si="121"/>
        <v>0</v>
      </c>
      <c r="GI46" s="117">
        <f t="shared" si="122"/>
        <v>0</v>
      </c>
      <c r="GJ46" s="118"/>
      <c r="GK46" s="142">
        <f t="shared" ca="1" si="123"/>
        <v>0</v>
      </c>
    </row>
    <row r="47" spans="1:193">
      <c r="A47" s="388" t="s">
        <v>401</v>
      </c>
      <c r="B47" s="143"/>
      <c r="C47" s="199"/>
      <c r="D47" s="200"/>
      <c r="E47" s="406">
        <f t="shared" si="0"/>
        <v>0</v>
      </c>
      <c r="F47" s="407">
        <f t="shared" si="76"/>
        <v>0</v>
      </c>
      <c r="G47" s="201" t="str">
        <f t="shared" si="124"/>
        <v/>
      </c>
      <c r="H47" s="416">
        <f t="shared" si="58"/>
        <v>0</v>
      </c>
      <c r="I47" s="735">
        <f t="shared" si="3"/>
        <v>0</v>
      </c>
      <c r="J47" s="61"/>
      <c r="K47" s="852" t="s">
        <v>453</v>
      </c>
      <c r="L47" s="827"/>
      <c r="M47" s="828"/>
      <c r="N47" s="712">
        <v>0.47</v>
      </c>
      <c r="O47" s="61"/>
      <c r="P47" s="157"/>
      <c r="Q47" s="158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7"/>
      <c r="AC47" s="158"/>
      <c r="AD47" s="159"/>
      <c r="AE47" s="158"/>
      <c r="AF47" s="158"/>
      <c r="AG47" s="158"/>
      <c r="AH47" s="158"/>
      <c r="AI47" s="158"/>
      <c r="AJ47" s="158"/>
      <c r="AK47" s="158"/>
      <c r="AL47" s="158"/>
      <c r="AM47" s="158"/>
      <c r="AN47" s="61"/>
      <c r="AO47" s="61"/>
      <c r="AP47" s="61"/>
      <c r="AQ47" s="61"/>
      <c r="AR47" s="61"/>
      <c r="AS47" s="145"/>
      <c r="AT47" s="146" t="s">
        <v>352</v>
      </c>
      <c r="AU47" s="111"/>
      <c r="AV47" s="126"/>
      <c r="AW47" s="127"/>
      <c r="AX47" s="213">
        <f t="shared" si="11"/>
        <v>0</v>
      </c>
      <c r="AY47" s="214">
        <f t="shared" si="12"/>
        <v>0</v>
      </c>
      <c r="AZ47" s="147" t="s">
        <v>402</v>
      </c>
      <c r="BA47" s="111"/>
      <c r="BB47" s="128"/>
      <c r="BC47" s="114"/>
      <c r="BD47" s="215">
        <f t="shared" si="13"/>
        <v>0</v>
      </c>
      <c r="BE47" s="217">
        <f t="shared" si="14"/>
        <v>0</v>
      </c>
      <c r="BF47" s="148" t="s">
        <v>403</v>
      </c>
      <c r="BG47" s="111"/>
      <c r="BH47" s="114"/>
      <c r="BI47" s="218">
        <f t="shared" si="15"/>
        <v>0</v>
      </c>
      <c r="BJ47" s="219">
        <f t="shared" si="16"/>
        <v>0</v>
      </c>
      <c r="DE47" s="116">
        <f t="shared" si="77"/>
        <v>2514.3807937499996</v>
      </c>
      <c r="DF47" s="117">
        <f t="shared" si="78"/>
        <v>0</v>
      </c>
      <c r="DG47" s="117">
        <f t="shared" si="79"/>
        <v>0</v>
      </c>
      <c r="DH47" s="117">
        <f t="shared" si="80"/>
        <v>0</v>
      </c>
      <c r="DI47" s="117">
        <f t="shared" si="81"/>
        <v>0</v>
      </c>
      <c r="DJ47" s="117">
        <f t="shared" si="82"/>
        <v>0</v>
      </c>
      <c r="DK47" s="117">
        <f t="shared" si="83"/>
        <v>0</v>
      </c>
      <c r="DL47" s="117">
        <f t="shared" si="84"/>
        <v>0</v>
      </c>
      <c r="DM47" s="117">
        <f t="shared" si="85"/>
        <v>0</v>
      </c>
      <c r="DN47" s="117">
        <f t="shared" si="86"/>
        <v>0</v>
      </c>
      <c r="DO47" s="117">
        <f t="shared" si="87"/>
        <v>0</v>
      </c>
      <c r="DP47" s="117">
        <f t="shared" si="88"/>
        <v>0</v>
      </c>
      <c r="DQ47" s="117">
        <f t="shared" si="89"/>
        <v>0</v>
      </c>
      <c r="DR47" s="117">
        <f t="shared" si="90"/>
        <v>0</v>
      </c>
      <c r="DS47" s="117">
        <f t="shared" si="91"/>
        <v>0</v>
      </c>
      <c r="DT47" s="117">
        <f t="shared" si="92"/>
        <v>0</v>
      </c>
      <c r="DU47" s="117">
        <f t="shared" si="93"/>
        <v>0</v>
      </c>
      <c r="DV47" s="117">
        <f t="shared" si="94"/>
        <v>0</v>
      </c>
      <c r="DW47" s="117">
        <f t="shared" si="95"/>
        <v>0</v>
      </c>
      <c r="DX47" s="117">
        <f t="shared" si="96"/>
        <v>0</v>
      </c>
      <c r="DY47" s="117">
        <f t="shared" si="97"/>
        <v>0</v>
      </c>
      <c r="DZ47" s="117">
        <f t="shared" si="98"/>
        <v>0</v>
      </c>
      <c r="EA47" s="117">
        <f t="shared" si="99"/>
        <v>0</v>
      </c>
      <c r="EB47" s="117">
        <f t="shared" si="100"/>
        <v>0</v>
      </c>
      <c r="EC47" s="117">
        <f t="shared" si="101"/>
        <v>0</v>
      </c>
      <c r="ED47" s="117">
        <f t="shared" si="102"/>
        <v>0</v>
      </c>
      <c r="EE47" s="117">
        <f t="shared" si="103"/>
        <v>0</v>
      </c>
      <c r="EF47" s="117">
        <f t="shared" si="104"/>
        <v>0</v>
      </c>
      <c r="EG47" s="117">
        <f t="shared" si="105"/>
        <v>0</v>
      </c>
      <c r="EH47" s="117">
        <f t="shared" si="106"/>
        <v>0</v>
      </c>
      <c r="EI47" s="117">
        <f t="shared" si="107"/>
        <v>0</v>
      </c>
      <c r="EJ47" s="117">
        <f t="shared" si="108"/>
        <v>0</v>
      </c>
      <c r="EK47" s="117">
        <f t="shared" si="109"/>
        <v>0</v>
      </c>
      <c r="EL47" s="117">
        <f t="shared" si="110"/>
        <v>0</v>
      </c>
      <c r="EM47" s="117">
        <f t="shared" si="111"/>
        <v>0</v>
      </c>
      <c r="EN47" s="117">
        <f t="shared" si="112"/>
        <v>0</v>
      </c>
      <c r="EO47" s="117">
        <f t="shared" si="113"/>
        <v>0</v>
      </c>
      <c r="EP47" s="117">
        <f t="shared" si="114"/>
        <v>0</v>
      </c>
      <c r="EQ47" s="117">
        <f t="shared" si="115"/>
        <v>0</v>
      </c>
      <c r="ER47" s="117">
        <f t="shared" si="116"/>
        <v>0</v>
      </c>
      <c r="ES47" s="118"/>
      <c r="ET47" s="142">
        <f t="shared" si="117"/>
        <v>0</v>
      </c>
      <c r="EU47" s="71"/>
      <c r="EV47" s="116">
        <f t="shared" si="118"/>
        <v>2514.3807937499996</v>
      </c>
      <c r="EW47" s="117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7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7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7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7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7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7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7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7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7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7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7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7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7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7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7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7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7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7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7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7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7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7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7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7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7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7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7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7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7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7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7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7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7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7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7">
        <f t="shared" si="119"/>
        <v>0</v>
      </c>
      <c r="GG47" s="117">
        <f t="shared" si="120"/>
        <v>0</v>
      </c>
      <c r="GH47" s="117">
        <f t="shared" si="121"/>
        <v>0</v>
      </c>
      <c r="GI47" s="117">
        <f t="shared" si="122"/>
        <v>0</v>
      </c>
      <c r="GJ47" s="118"/>
      <c r="GK47" s="142">
        <f t="shared" ca="1" si="123"/>
        <v>0</v>
      </c>
    </row>
    <row r="48" spans="1:193">
      <c r="A48" s="388" t="s">
        <v>401</v>
      </c>
      <c r="B48" s="143"/>
      <c r="C48" s="199"/>
      <c r="D48" s="200"/>
      <c r="E48" s="406">
        <f t="shared" si="0"/>
        <v>0</v>
      </c>
      <c r="F48" s="407">
        <f t="shared" si="76"/>
        <v>0</v>
      </c>
      <c r="G48" s="201" t="str">
        <f t="shared" si="124"/>
        <v/>
      </c>
      <c r="H48" s="416">
        <f t="shared" si="58"/>
        <v>0</v>
      </c>
      <c r="I48" s="735">
        <f t="shared" si="3"/>
        <v>0</v>
      </c>
      <c r="J48" s="61"/>
      <c r="K48" s="843" t="s">
        <v>454</v>
      </c>
      <c r="L48" s="827"/>
      <c r="M48" s="828"/>
      <c r="N48" s="712">
        <v>0.65</v>
      </c>
      <c r="O48" s="61"/>
      <c r="P48" s="157"/>
      <c r="Q48" s="158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7"/>
      <c r="AC48" s="158"/>
      <c r="AD48" s="159"/>
      <c r="AE48" s="158"/>
      <c r="AF48" s="158"/>
      <c r="AG48" s="158"/>
      <c r="AH48" s="158"/>
      <c r="AI48" s="158"/>
      <c r="AJ48" s="158"/>
      <c r="AK48" s="158"/>
      <c r="AL48" s="158"/>
      <c r="AM48" s="158"/>
      <c r="AN48" s="61"/>
      <c r="AO48" s="61"/>
      <c r="AP48" s="61"/>
      <c r="AQ48" s="61"/>
      <c r="AR48" s="61"/>
      <c r="AS48" s="145"/>
      <c r="AT48" s="146" t="s">
        <v>352</v>
      </c>
      <c r="AU48" s="111"/>
      <c r="AV48" s="126"/>
      <c r="AW48" s="127"/>
      <c r="AX48" s="213">
        <f t="shared" si="11"/>
        <v>0</v>
      </c>
      <c r="AY48" s="214">
        <f t="shared" si="12"/>
        <v>0</v>
      </c>
      <c r="AZ48" s="147" t="s">
        <v>402</v>
      </c>
      <c r="BA48" s="111"/>
      <c r="BB48" s="128"/>
      <c r="BC48" s="114"/>
      <c r="BD48" s="215">
        <f t="shared" si="13"/>
        <v>0</v>
      </c>
      <c r="BE48" s="217">
        <f t="shared" si="14"/>
        <v>0</v>
      </c>
      <c r="BF48" s="148" t="s">
        <v>403</v>
      </c>
      <c r="BG48" s="111"/>
      <c r="BH48" s="114"/>
      <c r="BI48" s="218">
        <f t="shared" si="15"/>
        <v>0</v>
      </c>
      <c r="BJ48" s="219">
        <f t="shared" si="16"/>
        <v>0</v>
      </c>
      <c r="DE48" s="116">
        <f t="shared" si="77"/>
        <v>2646.7166249999996</v>
      </c>
      <c r="DF48" s="117">
        <f t="shared" si="78"/>
        <v>0</v>
      </c>
      <c r="DG48" s="117">
        <f t="shared" si="79"/>
        <v>0</v>
      </c>
      <c r="DH48" s="117">
        <f t="shared" si="80"/>
        <v>0</v>
      </c>
      <c r="DI48" s="117">
        <f t="shared" si="81"/>
        <v>0</v>
      </c>
      <c r="DJ48" s="117">
        <f t="shared" si="82"/>
        <v>0</v>
      </c>
      <c r="DK48" s="117">
        <f t="shared" si="83"/>
        <v>0</v>
      </c>
      <c r="DL48" s="117">
        <f t="shared" si="84"/>
        <v>0</v>
      </c>
      <c r="DM48" s="117">
        <f t="shared" si="85"/>
        <v>0</v>
      </c>
      <c r="DN48" s="117">
        <f t="shared" si="86"/>
        <v>0</v>
      </c>
      <c r="DO48" s="117">
        <f t="shared" si="87"/>
        <v>0</v>
      </c>
      <c r="DP48" s="117">
        <f t="shared" si="88"/>
        <v>0</v>
      </c>
      <c r="DQ48" s="117">
        <f t="shared" si="89"/>
        <v>0</v>
      </c>
      <c r="DR48" s="117">
        <f t="shared" si="90"/>
        <v>0</v>
      </c>
      <c r="DS48" s="117">
        <f t="shared" si="91"/>
        <v>0</v>
      </c>
      <c r="DT48" s="117">
        <f t="shared" si="92"/>
        <v>0</v>
      </c>
      <c r="DU48" s="117">
        <f t="shared" si="93"/>
        <v>0</v>
      </c>
      <c r="DV48" s="117">
        <f t="shared" si="94"/>
        <v>0</v>
      </c>
      <c r="DW48" s="117">
        <f t="shared" si="95"/>
        <v>0</v>
      </c>
      <c r="DX48" s="117">
        <f t="shared" si="96"/>
        <v>0</v>
      </c>
      <c r="DY48" s="117">
        <f t="shared" si="97"/>
        <v>0</v>
      </c>
      <c r="DZ48" s="117">
        <f t="shared" si="98"/>
        <v>0</v>
      </c>
      <c r="EA48" s="117">
        <f t="shared" si="99"/>
        <v>0</v>
      </c>
      <c r="EB48" s="117">
        <f t="shared" si="100"/>
        <v>0</v>
      </c>
      <c r="EC48" s="117">
        <f t="shared" si="101"/>
        <v>0</v>
      </c>
      <c r="ED48" s="117">
        <f t="shared" si="102"/>
        <v>0</v>
      </c>
      <c r="EE48" s="117">
        <f t="shared" si="103"/>
        <v>0</v>
      </c>
      <c r="EF48" s="117">
        <f t="shared" si="104"/>
        <v>0</v>
      </c>
      <c r="EG48" s="117">
        <f t="shared" si="105"/>
        <v>0</v>
      </c>
      <c r="EH48" s="117">
        <f t="shared" si="106"/>
        <v>0</v>
      </c>
      <c r="EI48" s="117">
        <f t="shared" si="107"/>
        <v>0</v>
      </c>
      <c r="EJ48" s="117">
        <f t="shared" si="108"/>
        <v>0</v>
      </c>
      <c r="EK48" s="117">
        <f t="shared" si="109"/>
        <v>0</v>
      </c>
      <c r="EL48" s="117">
        <f t="shared" si="110"/>
        <v>0</v>
      </c>
      <c r="EM48" s="117">
        <f t="shared" si="111"/>
        <v>0</v>
      </c>
      <c r="EN48" s="117">
        <f t="shared" si="112"/>
        <v>0</v>
      </c>
      <c r="EO48" s="117">
        <f t="shared" si="113"/>
        <v>0</v>
      </c>
      <c r="EP48" s="117">
        <f t="shared" si="114"/>
        <v>0</v>
      </c>
      <c r="EQ48" s="117">
        <f t="shared" si="115"/>
        <v>0</v>
      </c>
      <c r="ER48" s="117">
        <f t="shared" si="116"/>
        <v>0</v>
      </c>
      <c r="ES48" s="118"/>
      <c r="ET48" s="142">
        <f t="shared" si="117"/>
        <v>0</v>
      </c>
      <c r="EU48" s="71"/>
      <c r="EV48" s="116">
        <f t="shared" si="118"/>
        <v>2646.7166249999996</v>
      </c>
      <c r="EW48" s="117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7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7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7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7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7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7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7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7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7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7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7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7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7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7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7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7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7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7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7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7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7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7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7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7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7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7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7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7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7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7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7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7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7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7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7">
        <f t="shared" si="119"/>
        <v>0</v>
      </c>
      <c r="GG48" s="117">
        <f t="shared" si="120"/>
        <v>0</v>
      </c>
      <c r="GH48" s="117">
        <f t="shared" si="121"/>
        <v>0</v>
      </c>
      <c r="GI48" s="117">
        <f t="shared" si="122"/>
        <v>0</v>
      </c>
      <c r="GJ48" s="118"/>
      <c r="GK48" s="142">
        <f t="shared" ca="1" si="123"/>
        <v>0</v>
      </c>
    </row>
    <row r="49" spans="1:193">
      <c r="A49" s="388" t="s">
        <v>401</v>
      </c>
      <c r="B49" s="143"/>
      <c r="C49" s="199"/>
      <c r="D49" s="200"/>
      <c r="E49" s="406">
        <f t="shared" si="0"/>
        <v>0</v>
      </c>
      <c r="F49" s="407">
        <f t="shared" si="76"/>
        <v>0</v>
      </c>
      <c r="G49" s="201" t="str">
        <f t="shared" si="124"/>
        <v/>
      </c>
      <c r="H49" s="416">
        <f t="shared" si="58"/>
        <v>0</v>
      </c>
      <c r="I49" s="735">
        <f t="shared" si="3"/>
        <v>0</v>
      </c>
      <c r="J49" s="61"/>
      <c r="K49" s="853" t="s">
        <v>455</v>
      </c>
      <c r="L49" s="827"/>
      <c r="M49" s="828"/>
      <c r="N49" s="161">
        <v>45462</v>
      </c>
      <c r="O49" s="61"/>
      <c r="P49" s="157"/>
      <c r="Q49" s="158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7"/>
      <c r="AC49" s="158"/>
      <c r="AD49" s="159"/>
      <c r="AE49" s="158"/>
      <c r="AF49" s="158"/>
      <c r="AG49" s="158"/>
      <c r="AH49" s="158"/>
      <c r="AI49" s="158"/>
      <c r="AJ49" s="158"/>
      <c r="AK49" s="158"/>
      <c r="AL49" s="158"/>
      <c r="AM49" s="158"/>
      <c r="AN49" s="61"/>
      <c r="AO49" s="61"/>
      <c r="AP49" s="61"/>
      <c r="AQ49" s="61"/>
      <c r="AR49" s="61"/>
      <c r="AS49" s="145"/>
      <c r="AT49" s="146" t="s">
        <v>352</v>
      </c>
      <c r="AU49" s="111"/>
      <c r="AV49" s="126"/>
      <c r="AW49" s="127"/>
      <c r="AX49" s="213">
        <f t="shared" si="11"/>
        <v>0</v>
      </c>
      <c r="AY49" s="214">
        <f t="shared" si="12"/>
        <v>0</v>
      </c>
      <c r="AZ49" s="147" t="s">
        <v>402</v>
      </c>
      <c r="BA49" s="111"/>
      <c r="BB49" s="128"/>
      <c r="BC49" s="114"/>
      <c r="BD49" s="215">
        <f t="shared" si="13"/>
        <v>0</v>
      </c>
      <c r="BE49" s="217">
        <f t="shared" si="14"/>
        <v>0</v>
      </c>
      <c r="BF49" s="148" t="s">
        <v>403</v>
      </c>
      <c r="BG49" s="111"/>
      <c r="BH49" s="114"/>
      <c r="BI49" s="218">
        <f t="shared" si="15"/>
        <v>0</v>
      </c>
      <c r="BJ49" s="219">
        <f t="shared" si="16"/>
        <v>0</v>
      </c>
      <c r="DE49" s="116">
        <f t="shared" si="77"/>
        <v>2786.0174999999995</v>
      </c>
      <c r="DF49" s="117">
        <f t="shared" si="78"/>
        <v>0</v>
      </c>
      <c r="DG49" s="117">
        <f t="shared" si="79"/>
        <v>0</v>
      </c>
      <c r="DH49" s="117">
        <f t="shared" si="80"/>
        <v>0</v>
      </c>
      <c r="DI49" s="117">
        <f t="shared" si="81"/>
        <v>0</v>
      </c>
      <c r="DJ49" s="117">
        <f t="shared" si="82"/>
        <v>0</v>
      </c>
      <c r="DK49" s="117">
        <f t="shared" si="83"/>
        <v>0</v>
      </c>
      <c r="DL49" s="117">
        <f t="shared" si="84"/>
        <v>0</v>
      </c>
      <c r="DM49" s="117">
        <f t="shared" si="85"/>
        <v>0</v>
      </c>
      <c r="DN49" s="117">
        <f t="shared" si="86"/>
        <v>0</v>
      </c>
      <c r="DO49" s="117">
        <f t="shared" si="87"/>
        <v>0</v>
      </c>
      <c r="DP49" s="117">
        <f t="shared" si="88"/>
        <v>0</v>
      </c>
      <c r="DQ49" s="117">
        <f t="shared" si="89"/>
        <v>0</v>
      </c>
      <c r="DR49" s="117">
        <f t="shared" si="90"/>
        <v>0</v>
      </c>
      <c r="DS49" s="117">
        <f t="shared" si="91"/>
        <v>0</v>
      </c>
      <c r="DT49" s="117">
        <f t="shared" si="92"/>
        <v>0</v>
      </c>
      <c r="DU49" s="117">
        <f t="shared" si="93"/>
        <v>0</v>
      </c>
      <c r="DV49" s="117">
        <f t="shared" si="94"/>
        <v>0</v>
      </c>
      <c r="DW49" s="117">
        <f t="shared" si="95"/>
        <v>0</v>
      </c>
      <c r="DX49" s="117">
        <f t="shared" si="96"/>
        <v>0</v>
      </c>
      <c r="DY49" s="117">
        <f t="shared" si="97"/>
        <v>0</v>
      </c>
      <c r="DZ49" s="117">
        <f t="shared" si="98"/>
        <v>0</v>
      </c>
      <c r="EA49" s="117">
        <f t="shared" si="99"/>
        <v>0</v>
      </c>
      <c r="EB49" s="117">
        <f t="shared" si="100"/>
        <v>0</v>
      </c>
      <c r="EC49" s="117">
        <f t="shared" si="101"/>
        <v>0</v>
      </c>
      <c r="ED49" s="117">
        <f t="shared" si="102"/>
        <v>0</v>
      </c>
      <c r="EE49" s="117">
        <f t="shared" si="103"/>
        <v>0</v>
      </c>
      <c r="EF49" s="117">
        <f t="shared" si="104"/>
        <v>0</v>
      </c>
      <c r="EG49" s="117">
        <f t="shared" si="105"/>
        <v>0</v>
      </c>
      <c r="EH49" s="117">
        <f t="shared" si="106"/>
        <v>0</v>
      </c>
      <c r="EI49" s="117">
        <f t="shared" si="107"/>
        <v>0</v>
      </c>
      <c r="EJ49" s="117">
        <f t="shared" si="108"/>
        <v>0</v>
      </c>
      <c r="EK49" s="117">
        <f t="shared" si="109"/>
        <v>0</v>
      </c>
      <c r="EL49" s="117">
        <f t="shared" si="110"/>
        <v>0</v>
      </c>
      <c r="EM49" s="117">
        <f t="shared" si="111"/>
        <v>0</v>
      </c>
      <c r="EN49" s="117">
        <f t="shared" si="112"/>
        <v>0</v>
      </c>
      <c r="EO49" s="117">
        <f t="shared" si="113"/>
        <v>0</v>
      </c>
      <c r="EP49" s="117">
        <f t="shared" si="114"/>
        <v>0</v>
      </c>
      <c r="EQ49" s="117">
        <f t="shared" si="115"/>
        <v>0</v>
      </c>
      <c r="ER49" s="117">
        <f t="shared" si="116"/>
        <v>0</v>
      </c>
      <c r="ES49" s="118"/>
      <c r="ET49" s="142">
        <f t="shared" si="117"/>
        <v>0</v>
      </c>
      <c r="EU49" s="71"/>
      <c r="EV49" s="116">
        <f t="shared" si="118"/>
        <v>2786.0174999999995</v>
      </c>
      <c r="EW49" s="117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7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7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7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7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7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7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7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7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7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7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7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7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7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7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7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7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7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7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7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7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7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7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7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7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7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7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7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7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7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7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7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7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7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7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7">
        <f t="shared" si="119"/>
        <v>0</v>
      </c>
      <c r="GG49" s="117">
        <f t="shared" si="120"/>
        <v>0</v>
      </c>
      <c r="GH49" s="117">
        <f t="shared" si="121"/>
        <v>0</v>
      </c>
      <c r="GI49" s="117">
        <f t="shared" si="122"/>
        <v>0</v>
      </c>
      <c r="GJ49" s="118"/>
      <c r="GK49" s="142">
        <f t="shared" ca="1" si="123"/>
        <v>0</v>
      </c>
    </row>
    <row r="50" spans="1:193">
      <c r="A50" s="388" t="s">
        <v>401</v>
      </c>
      <c r="B50" s="143"/>
      <c r="C50" s="199"/>
      <c r="D50" s="200"/>
      <c r="E50" s="406">
        <f t="shared" si="0"/>
        <v>0</v>
      </c>
      <c r="F50" s="407">
        <f t="shared" si="76"/>
        <v>0</v>
      </c>
      <c r="G50" s="201" t="str">
        <f t="shared" si="124"/>
        <v/>
      </c>
      <c r="H50" s="416">
        <f t="shared" si="58"/>
        <v>0</v>
      </c>
      <c r="I50" s="735">
        <f t="shared" si="3"/>
        <v>0</v>
      </c>
      <c r="J50" s="61"/>
      <c r="K50" s="853" t="s">
        <v>456</v>
      </c>
      <c r="L50" s="827"/>
      <c r="M50" s="828"/>
      <c r="N50" s="162">
        <f ca="1">N49-TODAY()-N44</f>
        <v>56</v>
      </c>
      <c r="O50" s="61"/>
      <c r="P50" s="157"/>
      <c r="Q50" s="158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7"/>
      <c r="AC50" s="158"/>
      <c r="AD50" s="159"/>
      <c r="AE50" s="158"/>
      <c r="AF50" s="158"/>
      <c r="AG50" s="158"/>
      <c r="AH50" s="158"/>
      <c r="AI50" s="158"/>
      <c r="AJ50" s="158"/>
      <c r="AK50" s="158"/>
      <c r="AL50" s="158"/>
      <c r="AM50" s="158"/>
      <c r="AN50" s="61"/>
      <c r="AO50" s="61"/>
      <c r="AP50" s="61"/>
      <c r="AQ50" s="61"/>
      <c r="AR50" s="61"/>
      <c r="AS50" s="145"/>
      <c r="AT50" s="146" t="s">
        <v>352</v>
      </c>
      <c r="AU50" s="111"/>
      <c r="AV50" s="126"/>
      <c r="AW50" s="127"/>
      <c r="AX50" s="213">
        <f t="shared" si="11"/>
        <v>0</v>
      </c>
      <c r="AY50" s="214">
        <f t="shared" si="12"/>
        <v>0</v>
      </c>
      <c r="AZ50" s="147" t="s">
        <v>402</v>
      </c>
      <c r="BA50" s="111"/>
      <c r="BB50" s="128"/>
      <c r="BC50" s="114"/>
      <c r="BD50" s="215">
        <f t="shared" si="13"/>
        <v>0</v>
      </c>
      <c r="BE50" s="217">
        <f t="shared" si="14"/>
        <v>0</v>
      </c>
      <c r="BF50" s="148" t="s">
        <v>403</v>
      </c>
      <c r="BG50" s="111"/>
      <c r="BH50" s="114"/>
      <c r="BI50" s="218">
        <f t="shared" si="15"/>
        <v>0</v>
      </c>
      <c r="BJ50" s="219">
        <f t="shared" si="16"/>
        <v>0</v>
      </c>
      <c r="DE50" s="116">
        <f t="shared" si="77"/>
        <v>2932.6499999999996</v>
      </c>
      <c r="DF50" s="117">
        <f t="shared" si="78"/>
        <v>0</v>
      </c>
      <c r="DG50" s="117">
        <f t="shared" si="79"/>
        <v>0</v>
      </c>
      <c r="DH50" s="117">
        <f t="shared" si="80"/>
        <v>0</v>
      </c>
      <c r="DI50" s="117">
        <f t="shared" si="81"/>
        <v>0</v>
      </c>
      <c r="DJ50" s="117">
        <f t="shared" si="82"/>
        <v>0</v>
      </c>
      <c r="DK50" s="117">
        <f t="shared" si="83"/>
        <v>0</v>
      </c>
      <c r="DL50" s="117">
        <f t="shared" si="84"/>
        <v>0</v>
      </c>
      <c r="DM50" s="117">
        <f t="shared" si="85"/>
        <v>0</v>
      </c>
      <c r="DN50" s="117">
        <f t="shared" si="86"/>
        <v>0</v>
      </c>
      <c r="DO50" s="117">
        <f t="shared" si="87"/>
        <v>0</v>
      </c>
      <c r="DP50" s="117">
        <f t="shared" si="88"/>
        <v>0</v>
      </c>
      <c r="DQ50" s="117">
        <f t="shared" si="89"/>
        <v>0</v>
      </c>
      <c r="DR50" s="117">
        <f t="shared" si="90"/>
        <v>0</v>
      </c>
      <c r="DS50" s="117">
        <f t="shared" si="91"/>
        <v>0</v>
      </c>
      <c r="DT50" s="117">
        <f t="shared" si="92"/>
        <v>0</v>
      </c>
      <c r="DU50" s="117">
        <f t="shared" si="93"/>
        <v>0</v>
      </c>
      <c r="DV50" s="117">
        <f t="shared" si="94"/>
        <v>0</v>
      </c>
      <c r="DW50" s="117">
        <f t="shared" si="95"/>
        <v>0</v>
      </c>
      <c r="DX50" s="117">
        <f t="shared" si="96"/>
        <v>0</v>
      </c>
      <c r="DY50" s="117">
        <f t="shared" si="97"/>
        <v>0</v>
      </c>
      <c r="DZ50" s="117">
        <f t="shared" si="98"/>
        <v>0</v>
      </c>
      <c r="EA50" s="117">
        <f t="shared" si="99"/>
        <v>0</v>
      </c>
      <c r="EB50" s="117">
        <f t="shared" si="100"/>
        <v>0</v>
      </c>
      <c r="EC50" s="117">
        <f t="shared" si="101"/>
        <v>0</v>
      </c>
      <c r="ED50" s="117">
        <f t="shared" si="102"/>
        <v>0</v>
      </c>
      <c r="EE50" s="117">
        <f t="shared" si="103"/>
        <v>0</v>
      </c>
      <c r="EF50" s="117">
        <f t="shared" si="104"/>
        <v>0</v>
      </c>
      <c r="EG50" s="117">
        <f t="shared" si="105"/>
        <v>0</v>
      </c>
      <c r="EH50" s="117">
        <f t="shared" si="106"/>
        <v>0</v>
      </c>
      <c r="EI50" s="117">
        <f t="shared" si="107"/>
        <v>0</v>
      </c>
      <c r="EJ50" s="117">
        <f t="shared" si="108"/>
        <v>0</v>
      </c>
      <c r="EK50" s="117">
        <f t="shared" si="109"/>
        <v>0</v>
      </c>
      <c r="EL50" s="117">
        <f t="shared" si="110"/>
        <v>0</v>
      </c>
      <c r="EM50" s="117">
        <f t="shared" si="111"/>
        <v>0</v>
      </c>
      <c r="EN50" s="117">
        <f t="shared" si="112"/>
        <v>0</v>
      </c>
      <c r="EO50" s="117">
        <f t="shared" si="113"/>
        <v>0</v>
      </c>
      <c r="EP50" s="117">
        <f t="shared" si="114"/>
        <v>0</v>
      </c>
      <c r="EQ50" s="117">
        <f t="shared" si="115"/>
        <v>0</v>
      </c>
      <c r="ER50" s="117">
        <f t="shared" si="116"/>
        <v>0</v>
      </c>
      <c r="ES50" s="118"/>
      <c r="ET50" s="142">
        <f t="shared" si="117"/>
        <v>0</v>
      </c>
      <c r="EU50" s="71"/>
      <c r="EV50" s="116">
        <f t="shared" si="118"/>
        <v>2932.6499999999996</v>
      </c>
      <c r="EW50" s="117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7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7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7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7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7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7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7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7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7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7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7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7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7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7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7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7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7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7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7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7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7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7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7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7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7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7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7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7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7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7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7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7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7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7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7">
        <f t="shared" si="119"/>
        <v>0</v>
      </c>
      <c r="GG50" s="117">
        <f t="shared" si="120"/>
        <v>0</v>
      </c>
      <c r="GH50" s="117">
        <f t="shared" si="121"/>
        <v>0</v>
      </c>
      <c r="GI50" s="117">
        <f t="shared" si="122"/>
        <v>0</v>
      </c>
      <c r="GJ50" s="118"/>
      <c r="GK50" s="142">
        <f t="shared" ca="1" si="123"/>
        <v>0</v>
      </c>
    </row>
    <row r="51" spans="1:193">
      <c r="A51" s="388" t="s">
        <v>401</v>
      </c>
      <c r="B51" s="143"/>
      <c r="C51" s="199"/>
      <c r="D51" s="200"/>
      <c r="E51" s="406">
        <f t="shared" si="0"/>
        <v>0</v>
      </c>
      <c r="F51" s="407">
        <f t="shared" si="76"/>
        <v>0</v>
      </c>
      <c r="G51" s="201" t="str">
        <f t="shared" si="124"/>
        <v/>
      </c>
      <c r="H51" s="416">
        <f t="shared" si="58"/>
        <v>0</v>
      </c>
      <c r="I51" s="735">
        <f t="shared" si="3"/>
        <v>0</v>
      </c>
      <c r="J51" s="61"/>
      <c r="K51" s="853" t="s">
        <v>457</v>
      </c>
      <c r="L51" s="827"/>
      <c r="M51" s="828"/>
      <c r="N51" s="163">
        <f ca="1">N50/365</f>
        <v>0.15342465753424658</v>
      </c>
      <c r="O51" s="158"/>
      <c r="P51" s="157"/>
      <c r="Q51" s="158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7"/>
      <c r="AC51" s="158"/>
      <c r="AD51" s="159"/>
      <c r="AE51" s="158"/>
      <c r="AF51" s="158"/>
      <c r="AG51" s="158"/>
      <c r="AH51" s="158"/>
      <c r="AI51" s="158"/>
      <c r="AJ51" s="158"/>
      <c r="AK51" s="158"/>
      <c r="AL51" s="158"/>
      <c r="AM51" s="158"/>
      <c r="AN51" s="61"/>
      <c r="AO51" s="61"/>
      <c r="AP51" s="61"/>
      <c r="AQ51" s="61"/>
      <c r="AR51" s="61"/>
      <c r="AS51" s="145"/>
      <c r="AT51" s="146" t="s">
        <v>352</v>
      </c>
      <c r="AU51" s="111"/>
      <c r="AV51" s="126"/>
      <c r="AW51" s="127"/>
      <c r="AX51" s="213">
        <f t="shared" si="11"/>
        <v>0</v>
      </c>
      <c r="AY51" s="214">
        <f t="shared" si="12"/>
        <v>0</v>
      </c>
      <c r="AZ51" s="147" t="s">
        <v>402</v>
      </c>
      <c r="BA51" s="111"/>
      <c r="BB51" s="128"/>
      <c r="BC51" s="114"/>
      <c r="BD51" s="215">
        <f t="shared" si="13"/>
        <v>0</v>
      </c>
      <c r="BE51" s="217">
        <f t="shared" si="14"/>
        <v>0</v>
      </c>
      <c r="BF51" s="148" t="s">
        <v>403</v>
      </c>
      <c r="BG51" s="111"/>
      <c r="BH51" s="114"/>
      <c r="BI51" s="218">
        <f t="shared" si="15"/>
        <v>0</v>
      </c>
      <c r="BJ51" s="219">
        <f t="shared" si="16"/>
        <v>0</v>
      </c>
      <c r="DE51" s="116">
        <f t="shared" si="77"/>
        <v>3087</v>
      </c>
      <c r="DF51" s="117">
        <f t="shared" si="78"/>
        <v>0</v>
      </c>
      <c r="DG51" s="117">
        <f t="shared" si="79"/>
        <v>0</v>
      </c>
      <c r="DH51" s="117">
        <f t="shared" si="80"/>
        <v>0</v>
      </c>
      <c r="DI51" s="117">
        <f t="shared" si="81"/>
        <v>0</v>
      </c>
      <c r="DJ51" s="117">
        <f t="shared" si="82"/>
        <v>0</v>
      </c>
      <c r="DK51" s="117">
        <f t="shared" si="83"/>
        <v>0</v>
      </c>
      <c r="DL51" s="117">
        <f t="shared" si="84"/>
        <v>0</v>
      </c>
      <c r="DM51" s="117">
        <f t="shared" si="85"/>
        <v>0</v>
      </c>
      <c r="DN51" s="117">
        <f t="shared" si="86"/>
        <v>0</v>
      </c>
      <c r="DO51" s="117">
        <f t="shared" si="87"/>
        <v>0</v>
      </c>
      <c r="DP51" s="117">
        <f t="shared" si="88"/>
        <v>0</v>
      </c>
      <c r="DQ51" s="117">
        <f t="shared" si="89"/>
        <v>0</v>
      </c>
      <c r="DR51" s="117">
        <f t="shared" si="90"/>
        <v>0</v>
      </c>
      <c r="DS51" s="117">
        <f t="shared" si="91"/>
        <v>0</v>
      </c>
      <c r="DT51" s="117">
        <f t="shared" si="92"/>
        <v>0</v>
      </c>
      <c r="DU51" s="117">
        <f t="shared" si="93"/>
        <v>0</v>
      </c>
      <c r="DV51" s="117">
        <f t="shared" si="94"/>
        <v>0</v>
      </c>
      <c r="DW51" s="117">
        <f t="shared" si="95"/>
        <v>0</v>
      </c>
      <c r="DX51" s="117">
        <f t="shared" si="96"/>
        <v>0</v>
      </c>
      <c r="DY51" s="117">
        <f t="shared" si="97"/>
        <v>0</v>
      </c>
      <c r="DZ51" s="117">
        <f t="shared" si="98"/>
        <v>0</v>
      </c>
      <c r="EA51" s="117">
        <f t="shared" si="99"/>
        <v>0</v>
      </c>
      <c r="EB51" s="117">
        <f t="shared" si="100"/>
        <v>0</v>
      </c>
      <c r="EC51" s="117">
        <f t="shared" si="101"/>
        <v>0</v>
      </c>
      <c r="ED51" s="117">
        <f t="shared" si="102"/>
        <v>0</v>
      </c>
      <c r="EE51" s="117">
        <f t="shared" si="103"/>
        <v>0</v>
      </c>
      <c r="EF51" s="117">
        <f t="shared" si="104"/>
        <v>0</v>
      </c>
      <c r="EG51" s="117">
        <f t="shared" si="105"/>
        <v>0</v>
      </c>
      <c r="EH51" s="117">
        <f t="shared" si="106"/>
        <v>0</v>
      </c>
      <c r="EI51" s="117">
        <f t="shared" si="107"/>
        <v>0</v>
      </c>
      <c r="EJ51" s="117">
        <f t="shared" si="108"/>
        <v>0</v>
      </c>
      <c r="EK51" s="117">
        <f t="shared" si="109"/>
        <v>0</v>
      </c>
      <c r="EL51" s="117">
        <f t="shared" si="110"/>
        <v>0</v>
      </c>
      <c r="EM51" s="117">
        <f t="shared" si="111"/>
        <v>0</v>
      </c>
      <c r="EN51" s="117">
        <f t="shared" si="112"/>
        <v>0</v>
      </c>
      <c r="EO51" s="117">
        <f t="shared" si="113"/>
        <v>0</v>
      </c>
      <c r="EP51" s="117">
        <f t="shared" si="114"/>
        <v>0</v>
      </c>
      <c r="EQ51" s="117">
        <f t="shared" si="115"/>
        <v>0</v>
      </c>
      <c r="ER51" s="117">
        <f t="shared" si="116"/>
        <v>0</v>
      </c>
      <c r="ES51" s="118"/>
      <c r="ET51" s="142">
        <f t="shared" si="117"/>
        <v>0</v>
      </c>
      <c r="EU51" s="71"/>
      <c r="EV51" s="116">
        <f t="shared" si="118"/>
        <v>3087</v>
      </c>
      <c r="EW51" s="117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7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7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7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7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7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7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7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7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7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7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7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7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7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7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7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7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7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7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7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7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7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7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7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7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7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7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7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7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7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7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7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7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7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7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7">
        <f t="shared" si="119"/>
        <v>0</v>
      </c>
      <c r="GG51" s="117">
        <f t="shared" si="120"/>
        <v>0</v>
      </c>
      <c r="GH51" s="117">
        <f t="shared" si="121"/>
        <v>0</v>
      </c>
      <c r="GI51" s="117">
        <f t="shared" si="122"/>
        <v>0</v>
      </c>
      <c r="GJ51" s="118"/>
      <c r="GK51" s="142">
        <f t="shared" ca="1" si="123"/>
        <v>0</v>
      </c>
    </row>
    <row r="52" spans="1:193">
      <c r="A52" s="388" t="s">
        <v>401</v>
      </c>
      <c r="B52" s="143"/>
      <c r="C52" s="199"/>
      <c r="D52" s="200"/>
      <c r="E52" s="406">
        <f t="shared" si="0"/>
        <v>0</v>
      </c>
      <c r="F52" s="407">
        <f t="shared" si="76"/>
        <v>0</v>
      </c>
      <c r="G52" s="201" t="str">
        <f t="shared" si="124"/>
        <v/>
      </c>
      <c r="H52" s="416">
        <f t="shared" si="58"/>
        <v>0</v>
      </c>
      <c r="I52" s="735">
        <f t="shared" si="3"/>
        <v>0</v>
      </c>
      <c r="J52" s="61"/>
      <c r="K52" s="829" t="s">
        <v>0</v>
      </c>
      <c r="L52" s="827"/>
      <c r="M52" s="828"/>
      <c r="N52" s="160">
        <v>1E-4</v>
      </c>
      <c r="O52" s="158"/>
      <c r="P52" s="157"/>
      <c r="Q52" s="158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7"/>
      <c r="AC52" s="158"/>
      <c r="AD52" s="159"/>
      <c r="AE52" s="158"/>
      <c r="AF52" s="158"/>
      <c r="AG52" s="158"/>
      <c r="AH52" s="158"/>
      <c r="AI52" s="158"/>
      <c r="AJ52" s="158"/>
      <c r="AK52" s="158"/>
      <c r="AL52" s="158"/>
      <c r="AM52" s="158"/>
      <c r="AN52" s="61"/>
      <c r="AO52" s="61"/>
      <c r="AP52" s="61"/>
      <c r="AQ52" s="61"/>
      <c r="AR52" s="61"/>
      <c r="AS52" s="145"/>
      <c r="AT52" s="146" t="s">
        <v>352</v>
      </c>
      <c r="AU52" s="111"/>
      <c r="AV52" s="126"/>
      <c r="AW52" s="127"/>
      <c r="AX52" s="213">
        <f t="shared" si="11"/>
        <v>0</v>
      </c>
      <c r="AY52" s="214">
        <f t="shared" si="12"/>
        <v>0</v>
      </c>
      <c r="AZ52" s="147" t="s">
        <v>402</v>
      </c>
      <c r="BA52" s="111"/>
      <c r="BB52" s="128"/>
      <c r="BC52" s="114"/>
      <c r="BD52" s="215">
        <f t="shared" si="13"/>
        <v>0</v>
      </c>
      <c r="BE52" s="217">
        <f t="shared" si="14"/>
        <v>0</v>
      </c>
      <c r="BF52" s="148" t="s">
        <v>403</v>
      </c>
      <c r="BG52" s="111"/>
      <c r="BH52" s="114"/>
      <c r="BI52" s="218">
        <f t="shared" si="15"/>
        <v>0</v>
      </c>
      <c r="BJ52" s="219">
        <f t="shared" si="16"/>
        <v>0</v>
      </c>
      <c r="DE52" s="116">
        <f t="shared" si="77"/>
        <v>3241.3500000000004</v>
      </c>
      <c r="DF52" s="117">
        <f t="shared" si="78"/>
        <v>0</v>
      </c>
      <c r="DG52" s="117">
        <f t="shared" si="79"/>
        <v>0</v>
      </c>
      <c r="DH52" s="117">
        <f t="shared" si="80"/>
        <v>0</v>
      </c>
      <c r="DI52" s="117">
        <f t="shared" si="81"/>
        <v>0</v>
      </c>
      <c r="DJ52" s="117">
        <f t="shared" si="82"/>
        <v>0</v>
      </c>
      <c r="DK52" s="117">
        <f t="shared" si="83"/>
        <v>0</v>
      </c>
      <c r="DL52" s="117">
        <f t="shared" si="84"/>
        <v>0</v>
      </c>
      <c r="DM52" s="117">
        <f t="shared" si="85"/>
        <v>0</v>
      </c>
      <c r="DN52" s="117">
        <f t="shared" si="86"/>
        <v>0</v>
      </c>
      <c r="DO52" s="117">
        <f t="shared" si="87"/>
        <v>0</v>
      </c>
      <c r="DP52" s="117">
        <f t="shared" si="88"/>
        <v>0</v>
      </c>
      <c r="DQ52" s="117">
        <f t="shared" si="89"/>
        <v>0</v>
      </c>
      <c r="DR52" s="117">
        <f t="shared" si="90"/>
        <v>0</v>
      </c>
      <c r="DS52" s="117">
        <f t="shared" si="91"/>
        <v>0</v>
      </c>
      <c r="DT52" s="117">
        <f t="shared" si="92"/>
        <v>0</v>
      </c>
      <c r="DU52" s="117">
        <f t="shared" si="93"/>
        <v>0</v>
      </c>
      <c r="DV52" s="117">
        <f t="shared" si="94"/>
        <v>0</v>
      </c>
      <c r="DW52" s="117">
        <f t="shared" si="95"/>
        <v>0</v>
      </c>
      <c r="DX52" s="117">
        <f t="shared" si="96"/>
        <v>0</v>
      </c>
      <c r="DY52" s="117">
        <f t="shared" si="97"/>
        <v>0</v>
      </c>
      <c r="DZ52" s="117">
        <f t="shared" si="98"/>
        <v>0</v>
      </c>
      <c r="EA52" s="117">
        <f t="shared" si="99"/>
        <v>0</v>
      </c>
      <c r="EB52" s="117">
        <f t="shared" si="100"/>
        <v>0</v>
      </c>
      <c r="EC52" s="117">
        <f t="shared" si="101"/>
        <v>0</v>
      </c>
      <c r="ED52" s="117">
        <f t="shared" si="102"/>
        <v>0</v>
      </c>
      <c r="EE52" s="117">
        <f t="shared" si="103"/>
        <v>0</v>
      </c>
      <c r="EF52" s="117">
        <f t="shared" si="104"/>
        <v>0</v>
      </c>
      <c r="EG52" s="117">
        <f t="shared" si="105"/>
        <v>0</v>
      </c>
      <c r="EH52" s="117">
        <f t="shared" si="106"/>
        <v>0</v>
      </c>
      <c r="EI52" s="117">
        <f t="shared" si="107"/>
        <v>0</v>
      </c>
      <c r="EJ52" s="117">
        <f t="shared" si="108"/>
        <v>0</v>
      </c>
      <c r="EK52" s="117">
        <f t="shared" si="109"/>
        <v>0</v>
      </c>
      <c r="EL52" s="117">
        <f t="shared" si="110"/>
        <v>0</v>
      </c>
      <c r="EM52" s="117">
        <f t="shared" si="111"/>
        <v>0</v>
      </c>
      <c r="EN52" s="117">
        <f t="shared" si="112"/>
        <v>0</v>
      </c>
      <c r="EO52" s="117">
        <f t="shared" si="113"/>
        <v>0</v>
      </c>
      <c r="EP52" s="117">
        <f t="shared" si="114"/>
        <v>0</v>
      </c>
      <c r="EQ52" s="117">
        <f t="shared" si="115"/>
        <v>0</v>
      </c>
      <c r="ER52" s="117">
        <f t="shared" si="116"/>
        <v>0</v>
      </c>
      <c r="ES52" s="118"/>
      <c r="ET52" s="142">
        <f t="shared" si="117"/>
        <v>0</v>
      </c>
      <c r="EU52" s="71"/>
      <c r="EV52" s="116">
        <f t="shared" si="118"/>
        <v>3241.3500000000004</v>
      </c>
      <c r="EW52" s="117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7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7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7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7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7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7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7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7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7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7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7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7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7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7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7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7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7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7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7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7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7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7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7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7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7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7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7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7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7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7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7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7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7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7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7">
        <f t="shared" si="119"/>
        <v>0</v>
      </c>
      <c r="GG52" s="117">
        <f t="shared" si="120"/>
        <v>0</v>
      </c>
      <c r="GH52" s="117">
        <f t="shared" si="121"/>
        <v>0</v>
      </c>
      <c r="GI52" s="117">
        <f t="shared" si="122"/>
        <v>0</v>
      </c>
      <c r="GJ52" s="118"/>
      <c r="GK52" s="142">
        <f t="shared" ca="1" si="123"/>
        <v>0</v>
      </c>
    </row>
    <row r="53" spans="1:193">
      <c r="A53" s="388" t="s">
        <v>401</v>
      </c>
      <c r="B53" s="143"/>
      <c r="C53" s="199"/>
      <c r="D53" s="200"/>
      <c r="E53" s="406">
        <f t="shared" si="0"/>
        <v>0</v>
      </c>
      <c r="F53" s="407">
        <f t="shared" si="76"/>
        <v>0</v>
      </c>
      <c r="G53" s="201" t="str">
        <f t="shared" si="124"/>
        <v/>
      </c>
      <c r="H53" s="416">
        <f t="shared" si="58"/>
        <v>0</v>
      </c>
      <c r="I53" s="735">
        <f t="shared" si="3"/>
        <v>0</v>
      </c>
      <c r="J53" s="61"/>
      <c r="K53" s="845" t="s">
        <v>1</v>
      </c>
      <c r="L53" s="846"/>
      <c r="M53" s="847"/>
      <c r="N53" s="164">
        <v>1E-4</v>
      </c>
      <c r="O53" s="158"/>
      <c r="P53" s="157"/>
      <c r="Q53" s="158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7"/>
      <c r="AC53" s="158"/>
      <c r="AD53" s="159"/>
      <c r="AE53" s="158"/>
      <c r="AF53" s="158"/>
      <c r="AG53" s="158"/>
      <c r="AH53" s="158"/>
      <c r="AI53" s="158"/>
      <c r="AJ53" s="158"/>
      <c r="AK53" s="158"/>
      <c r="AL53" s="158"/>
      <c r="AM53" s="158"/>
      <c r="AN53" s="61"/>
      <c r="AO53" s="61"/>
      <c r="AP53" s="61"/>
      <c r="AQ53" s="61"/>
      <c r="AR53" s="61"/>
      <c r="AS53" s="145"/>
      <c r="AT53" s="146" t="s">
        <v>352</v>
      </c>
      <c r="AU53" s="111"/>
      <c r="AV53" s="126"/>
      <c r="AW53" s="127"/>
      <c r="AX53" s="213">
        <f t="shared" si="11"/>
        <v>0</v>
      </c>
      <c r="AY53" s="214">
        <f t="shared" si="12"/>
        <v>0</v>
      </c>
      <c r="AZ53" s="147" t="s">
        <v>402</v>
      </c>
      <c r="BA53" s="111"/>
      <c r="BB53" s="128"/>
      <c r="BC53" s="114"/>
      <c r="BD53" s="215">
        <f t="shared" si="13"/>
        <v>0</v>
      </c>
      <c r="BE53" s="217">
        <f t="shared" si="14"/>
        <v>0</v>
      </c>
      <c r="BF53" s="148" t="s">
        <v>403</v>
      </c>
      <c r="BG53" s="111"/>
      <c r="BH53" s="114"/>
      <c r="BI53" s="218">
        <f t="shared" si="15"/>
        <v>0</v>
      </c>
      <c r="BJ53" s="219">
        <f t="shared" si="16"/>
        <v>0</v>
      </c>
      <c r="DE53" s="116">
        <f t="shared" si="77"/>
        <v>3403.4175000000005</v>
      </c>
      <c r="DF53" s="117">
        <f t="shared" si="78"/>
        <v>0</v>
      </c>
      <c r="DG53" s="117">
        <f t="shared" si="79"/>
        <v>0</v>
      </c>
      <c r="DH53" s="117">
        <f t="shared" si="80"/>
        <v>0</v>
      </c>
      <c r="DI53" s="117">
        <f t="shared" si="81"/>
        <v>0</v>
      </c>
      <c r="DJ53" s="117">
        <f t="shared" si="82"/>
        <v>0</v>
      </c>
      <c r="DK53" s="117">
        <f t="shared" si="83"/>
        <v>0</v>
      </c>
      <c r="DL53" s="117">
        <f t="shared" si="84"/>
        <v>0</v>
      </c>
      <c r="DM53" s="117">
        <f t="shared" si="85"/>
        <v>0</v>
      </c>
      <c r="DN53" s="117">
        <f t="shared" si="86"/>
        <v>0</v>
      </c>
      <c r="DO53" s="117">
        <f t="shared" si="87"/>
        <v>0</v>
      </c>
      <c r="DP53" s="117">
        <f t="shared" si="88"/>
        <v>0</v>
      </c>
      <c r="DQ53" s="117">
        <f t="shared" si="89"/>
        <v>0</v>
      </c>
      <c r="DR53" s="117">
        <f t="shared" si="90"/>
        <v>0</v>
      </c>
      <c r="DS53" s="117">
        <f t="shared" si="91"/>
        <v>0</v>
      </c>
      <c r="DT53" s="117">
        <f t="shared" si="92"/>
        <v>0</v>
      </c>
      <c r="DU53" s="117">
        <f t="shared" si="93"/>
        <v>0</v>
      </c>
      <c r="DV53" s="117">
        <f t="shared" si="94"/>
        <v>0</v>
      </c>
      <c r="DW53" s="117">
        <f t="shared" si="95"/>
        <v>0</v>
      </c>
      <c r="DX53" s="117">
        <f t="shared" si="96"/>
        <v>0</v>
      </c>
      <c r="DY53" s="117">
        <f t="shared" si="97"/>
        <v>0</v>
      </c>
      <c r="DZ53" s="117">
        <f t="shared" si="98"/>
        <v>0</v>
      </c>
      <c r="EA53" s="117">
        <f t="shared" si="99"/>
        <v>0</v>
      </c>
      <c r="EB53" s="117">
        <f t="shared" si="100"/>
        <v>0</v>
      </c>
      <c r="EC53" s="117">
        <f t="shared" si="101"/>
        <v>0</v>
      </c>
      <c r="ED53" s="117">
        <f t="shared" si="102"/>
        <v>0</v>
      </c>
      <c r="EE53" s="117">
        <f t="shared" si="103"/>
        <v>0</v>
      </c>
      <c r="EF53" s="117">
        <f t="shared" si="104"/>
        <v>0</v>
      </c>
      <c r="EG53" s="117">
        <f t="shared" si="105"/>
        <v>0</v>
      </c>
      <c r="EH53" s="117">
        <f t="shared" si="106"/>
        <v>0</v>
      </c>
      <c r="EI53" s="117">
        <f t="shared" si="107"/>
        <v>0</v>
      </c>
      <c r="EJ53" s="117">
        <f t="shared" si="108"/>
        <v>0</v>
      </c>
      <c r="EK53" s="117">
        <f t="shared" si="109"/>
        <v>0</v>
      </c>
      <c r="EL53" s="117">
        <f t="shared" si="110"/>
        <v>0</v>
      </c>
      <c r="EM53" s="117">
        <f t="shared" si="111"/>
        <v>0</v>
      </c>
      <c r="EN53" s="117">
        <f t="shared" si="112"/>
        <v>0</v>
      </c>
      <c r="EO53" s="117">
        <f t="shared" si="113"/>
        <v>0</v>
      </c>
      <c r="EP53" s="117">
        <f t="shared" si="114"/>
        <v>0</v>
      </c>
      <c r="EQ53" s="117">
        <f t="shared" si="115"/>
        <v>0</v>
      </c>
      <c r="ER53" s="117">
        <f t="shared" si="116"/>
        <v>0</v>
      </c>
      <c r="ES53" s="118"/>
      <c r="ET53" s="142">
        <f t="shared" si="117"/>
        <v>0</v>
      </c>
      <c r="EU53" s="71"/>
      <c r="EV53" s="116">
        <f t="shared" si="118"/>
        <v>3403.4175000000005</v>
      </c>
      <c r="EW53" s="117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7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7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7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7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7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7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7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7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7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7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7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7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7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7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7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7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7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7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7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7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7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7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7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7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7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7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7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7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7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7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7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7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7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7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7">
        <f t="shared" si="119"/>
        <v>0</v>
      </c>
      <c r="GG53" s="117">
        <f t="shared" si="120"/>
        <v>0</v>
      </c>
      <c r="GH53" s="117">
        <f t="shared" si="121"/>
        <v>0</v>
      </c>
      <c r="GI53" s="117">
        <f t="shared" si="122"/>
        <v>0</v>
      </c>
      <c r="GJ53" s="118"/>
      <c r="GK53" s="142">
        <f t="shared" ca="1" si="123"/>
        <v>0</v>
      </c>
    </row>
    <row r="54" spans="1:193">
      <c r="A54" s="388" t="s">
        <v>401</v>
      </c>
      <c r="B54" s="143"/>
      <c r="C54" s="199"/>
      <c r="D54" s="200"/>
      <c r="E54" s="406">
        <f t="shared" si="0"/>
        <v>0</v>
      </c>
      <c r="F54" s="407">
        <f t="shared" si="76"/>
        <v>0</v>
      </c>
      <c r="G54" s="201" t="str">
        <f t="shared" si="124"/>
        <v/>
      </c>
      <c r="H54" s="416">
        <f t="shared" si="58"/>
        <v>0</v>
      </c>
      <c r="I54" s="735">
        <f t="shared" si="3"/>
        <v>0</v>
      </c>
      <c r="J54" s="61"/>
      <c r="K54" s="61"/>
      <c r="L54" s="158"/>
      <c r="M54" s="158"/>
      <c r="N54" s="158"/>
      <c r="O54" s="158"/>
      <c r="P54" s="157"/>
      <c r="Q54" s="158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7"/>
      <c r="AC54" s="158"/>
      <c r="AD54" s="159"/>
      <c r="AE54" s="165"/>
      <c r="AF54" s="165"/>
      <c r="AG54" s="165"/>
      <c r="AH54" s="165"/>
      <c r="AI54" s="165"/>
      <c r="AJ54" s="165"/>
      <c r="AK54" s="165"/>
      <c r="AL54" s="165"/>
      <c r="AM54" s="165"/>
      <c r="AN54" s="65"/>
      <c r="AO54" s="65"/>
      <c r="AP54" s="65"/>
      <c r="AQ54" s="65"/>
      <c r="AR54" s="65"/>
      <c r="AS54" s="145"/>
      <c r="AT54" s="146" t="s">
        <v>352</v>
      </c>
      <c r="AU54" s="111"/>
      <c r="AV54" s="126"/>
      <c r="AW54" s="127"/>
      <c r="AX54" s="213">
        <f t="shared" si="11"/>
        <v>0</v>
      </c>
      <c r="AY54" s="214">
        <f t="shared" si="12"/>
        <v>0</v>
      </c>
      <c r="AZ54" s="147" t="s">
        <v>402</v>
      </c>
      <c r="BA54" s="111"/>
      <c r="BB54" s="128"/>
      <c r="BC54" s="114"/>
      <c r="BD54" s="215">
        <f t="shared" si="13"/>
        <v>0</v>
      </c>
      <c r="BE54" s="217">
        <f t="shared" si="14"/>
        <v>0</v>
      </c>
      <c r="BF54" s="148" t="s">
        <v>403</v>
      </c>
      <c r="BG54" s="111"/>
      <c r="BH54" s="114"/>
      <c r="BI54" s="218">
        <f t="shared" si="15"/>
        <v>0</v>
      </c>
      <c r="BJ54" s="219">
        <f t="shared" si="16"/>
        <v>0</v>
      </c>
      <c r="DE54" s="116">
        <f t="shared" si="77"/>
        <v>3573.5883750000007</v>
      </c>
      <c r="DF54" s="117">
        <f t="shared" si="78"/>
        <v>0</v>
      </c>
      <c r="DG54" s="117">
        <f t="shared" si="79"/>
        <v>0</v>
      </c>
      <c r="DH54" s="117">
        <f t="shared" si="80"/>
        <v>0</v>
      </c>
      <c r="DI54" s="117">
        <f t="shared" si="81"/>
        <v>0</v>
      </c>
      <c r="DJ54" s="117">
        <f t="shared" si="82"/>
        <v>0</v>
      </c>
      <c r="DK54" s="117">
        <f t="shared" si="83"/>
        <v>0</v>
      </c>
      <c r="DL54" s="117">
        <f t="shared" si="84"/>
        <v>0</v>
      </c>
      <c r="DM54" s="117">
        <f t="shared" si="85"/>
        <v>0</v>
      </c>
      <c r="DN54" s="117">
        <f t="shared" si="86"/>
        <v>0</v>
      </c>
      <c r="DO54" s="117">
        <f t="shared" si="87"/>
        <v>0</v>
      </c>
      <c r="DP54" s="117">
        <f t="shared" si="88"/>
        <v>0</v>
      </c>
      <c r="DQ54" s="117">
        <f t="shared" si="89"/>
        <v>0</v>
      </c>
      <c r="DR54" s="117">
        <f t="shared" si="90"/>
        <v>0</v>
      </c>
      <c r="DS54" s="117">
        <f t="shared" si="91"/>
        <v>0</v>
      </c>
      <c r="DT54" s="117">
        <f t="shared" si="92"/>
        <v>0</v>
      </c>
      <c r="DU54" s="117">
        <f t="shared" si="93"/>
        <v>0</v>
      </c>
      <c r="DV54" s="117">
        <f t="shared" si="94"/>
        <v>0</v>
      </c>
      <c r="DW54" s="117">
        <f t="shared" si="95"/>
        <v>0</v>
      </c>
      <c r="DX54" s="117">
        <f t="shared" si="96"/>
        <v>0</v>
      </c>
      <c r="DY54" s="117">
        <f t="shared" si="97"/>
        <v>0</v>
      </c>
      <c r="DZ54" s="117">
        <f t="shared" si="98"/>
        <v>0</v>
      </c>
      <c r="EA54" s="117">
        <f t="shared" si="99"/>
        <v>0</v>
      </c>
      <c r="EB54" s="117">
        <f t="shared" si="100"/>
        <v>0</v>
      </c>
      <c r="EC54" s="117">
        <f t="shared" si="101"/>
        <v>0</v>
      </c>
      <c r="ED54" s="117">
        <f t="shared" si="102"/>
        <v>0</v>
      </c>
      <c r="EE54" s="117">
        <f t="shared" si="103"/>
        <v>0</v>
      </c>
      <c r="EF54" s="117">
        <f t="shared" si="104"/>
        <v>0</v>
      </c>
      <c r="EG54" s="117">
        <f t="shared" si="105"/>
        <v>0</v>
      </c>
      <c r="EH54" s="117">
        <f t="shared" si="106"/>
        <v>0</v>
      </c>
      <c r="EI54" s="117">
        <f t="shared" si="107"/>
        <v>0</v>
      </c>
      <c r="EJ54" s="117">
        <f t="shared" si="108"/>
        <v>0</v>
      </c>
      <c r="EK54" s="117">
        <f t="shared" si="109"/>
        <v>0</v>
      </c>
      <c r="EL54" s="117">
        <f t="shared" si="110"/>
        <v>0</v>
      </c>
      <c r="EM54" s="117">
        <f t="shared" si="111"/>
        <v>0</v>
      </c>
      <c r="EN54" s="117">
        <f t="shared" si="112"/>
        <v>0</v>
      </c>
      <c r="EO54" s="117">
        <f t="shared" si="113"/>
        <v>0</v>
      </c>
      <c r="EP54" s="117">
        <f t="shared" si="114"/>
        <v>0</v>
      </c>
      <c r="EQ54" s="117">
        <f t="shared" si="115"/>
        <v>0</v>
      </c>
      <c r="ER54" s="117">
        <f t="shared" si="116"/>
        <v>0</v>
      </c>
      <c r="ES54" s="118"/>
      <c r="ET54" s="142">
        <f t="shared" si="117"/>
        <v>0</v>
      </c>
      <c r="EU54" s="71"/>
      <c r="EV54" s="116">
        <f t="shared" si="118"/>
        <v>3573.5883750000007</v>
      </c>
      <c r="EW54" s="117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7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7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7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7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7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7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7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7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7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7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7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7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7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7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7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7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7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7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7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7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7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7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7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7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7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7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7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7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7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7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7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7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7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7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7">
        <f t="shared" si="119"/>
        <v>0</v>
      </c>
      <c r="GG54" s="117">
        <f t="shared" si="120"/>
        <v>0</v>
      </c>
      <c r="GH54" s="117">
        <f t="shared" si="121"/>
        <v>0</v>
      </c>
      <c r="GI54" s="117">
        <f t="shared" si="122"/>
        <v>0</v>
      </c>
      <c r="GJ54" s="118"/>
      <c r="GK54" s="142">
        <f t="shared" ca="1" si="123"/>
        <v>0</v>
      </c>
    </row>
    <row r="55" spans="1:193">
      <c r="A55" s="388" t="s">
        <v>401</v>
      </c>
      <c r="B55" s="143"/>
      <c r="C55" s="199"/>
      <c r="D55" s="200"/>
      <c r="E55" s="406">
        <f t="shared" si="0"/>
        <v>0</v>
      </c>
      <c r="F55" s="407">
        <f t="shared" si="76"/>
        <v>0</v>
      </c>
      <c r="G55" s="201" t="str">
        <f t="shared" si="124"/>
        <v/>
      </c>
      <c r="H55" s="416">
        <f t="shared" si="58"/>
        <v>0</v>
      </c>
      <c r="I55" s="735">
        <f t="shared" si="3"/>
        <v>0</v>
      </c>
      <c r="J55" s="61"/>
      <c r="K55" s="61"/>
      <c r="L55" s="158"/>
      <c r="M55" s="158"/>
      <c r="N55" s="158"/>
      <c r="O55" s="158"/>
      <c r="P55" s="157"/>
      <c r="Q55" s="158"/>
      <c r="R55" s="159"/>
      <c r="S55" s="158"/>
      <c r="T55" s="158"/>
      <c r="U55" s="158"/>
      <c r="V55" s="158"/>
      <c r="W55" s="158"/>
      <c r="X55" s="158"/>
      <c r="Y55" s="158"/>
      <c r="Z55" s="158"/>
      <c r="AA55" s="158"/>
      <c r="AB55" s="157"/>
      <c r="AC55" s="158"/>
      <c r="AD55" s="159"/>
      <c r="AE55" s="165"/>
      <c r="AF55" s="165"/>
      <c r="AG55" s="165"/>
      <c r="AH55" s="165"/>
      <c r="AI55" s="165"/>
      <c r="AJ55" s="165"/>
      <c r="AK55" s="165"/>
      <c r="AL55" s="165"/>
      <c r="AM55" s="165"/>
      <c r="AN55" s="65"/>
      <c r="AO55" s="65"/>
      <c r="AP55" s="65"/>
      <c r="AQ55" s="65"/>
      <c r="AR55" s="65"/>
      <c r="AS55" s="145"/>
      <c r="AT55" s="146" t="s">
        <v>352</v>
      </c>
      <c r="AU55" s="111"/>
      <c r="AV55" s="126"/>
      <c r="AW55" s="127"/>
      <c r="AX55" s="213">
        <f t="shared" si="11"/>
        <v>0</v>
      </c>
      <c r="AY55" s="214">
        <f t="shared" si="12"/>
        <v>0</v>
      </c>
      <c r="AZ55" s="147" t="s">
        <v>402</v>
      </c>
      <c r="BA55" s="111"/>
      <c r="BB55" s="128"/>
      <c r="BC55" s="114"/>
      <c r="BD55" s="215">
        <f t="shared" si="13"/>
        <v>0</v>
      </c>
      <c r="BE55" s="217">
        <f t="shared" si="14"/>
        <v>0</v>
      </c>
      <c r="BF55" s="148" t="s">
        <v>403</v>
      </c>
      <c r="BG55" s="111"/>
      <c r="BH55" s="114"/>
      <c r="BI55" s="218">
        <f t="shared" si="15"/>
        <v>0</v>
      </c>
      <c r="BJ55" s="219">
        <f t="shared" si="16"/>
        <v>0</v>
      </c>
      <c r="DE55" s="116">
        <f t="shared" si="77"/>
        <v>3752.2677937500007</v>
      </c>
      <c r="DF55" s="117">
        <f t="shared" si="78"/>
        <v>0</v>
      </c>
      <c r="DG55" s="117">
        <f t="shared" si="79"/>
        <v>0</v>
      </c>
      <c r="DH55" s="117">
        <f t="shared" si="80"/>
        <v>0</v>
      </c>
      <c r="DI55" s="117">
        <f t="shared" si="81"/>
        <v>0</v>
      </c>
      <c r="DJ55" s="117">
        <f t="shared" si="82"/>
        <v>0</v>
      </c>
      <c r="DK55" s="117">
        <f t="shared" si="83"/>
        <v>0</v>
      </c>
      <c r="DL55" s="117">
        <f t="shared" si="84"/>
        <v>0</v>
      </c>
      <c r="DM55" s="117">
        <f t="shared" si="85"/>
        <v>0</v>
      </c>
      <c r="DN55" s="117">
        <f t="shared" si="86"/>
        <v>0</v>
      </c>
      <c r="DO55" s="117">
        <f t="shared" si="87"/>
        <v>0</v>
      </c>
      <c r="DP55" s="117">
        <f t="shared" si="88"/>
        <v>0</v>
      </c>
      <c r="DQ55" s="117">
        <f t="shared" si="89"/>
        <v>0</v>
      </c>
      <c r="DR55" s="117">
        <f t="shared" si="90"/>
        <v>0</v>
      </c>
      <c r="DS55" s="117">
        <f t="shared" si="91"/>
        <v>0</v>
      </c>
      <c r="DT55" s="117">
        <f t="shared" si="92"/>
        <v>0</v>
      </c>
      <c r="DU55" s="117">
        <f t="shared" si="93"/>
        <v>0</v>
      </c>
      <c r="DV55" s="117">
        <f t="shared" si="94"/>
        <v>0</v>
      </c>
      <c r="DW55" s="117">
        <f t="shared" si="95"/>
        <v>0</v>
      </c>
      <c r="DX55" s="117">
        <f t="shared" si="96"/>
        <v>0</v>
      </c>
      <c r="DY55" s="117">
        <f t="shared" si="97"/>
        <v>0</v>
      </c>
      <c r="DZ55" s="117">
        <f t="shared" si="98"/>
        <v>0</v>
      </c>
      <c r="EA55" s="117">
        <f t="shared" si="99"/>
        <v>0</v>
      </c>
      <c r="EB55" s="117">
        <f t="shared" si="100"/>
        <v>0</v>
      </c>
      <c r="EC55" s="117">
        <f t="shared" si="101"/>
        <v>0</v>
      </c>
      <c r="ED55" s="117">
        <f t="shared" si="102"/>
        <v>0</v>
      </c>
      <c r="EE55" s="117">
        <f t="shared" si="103"/>
        <v>0</v>
      </c>
      <c r="EF55" s="117">
        <f t="shared" si="104"/>
        <v>0</v>
      </c>
      <c r="EG55" s="117">
        <f t="shared" si="105"/>
        <v>0</v>
      </c>
      <c r="EH55" s="117">
        <f t="shared" si="106"/>
        <v>0</v>
      </c>
      <c r="EI55" s="117">
        <f t="shared" si="107"/>
        <v>0</v>
      </c>
      <c r="EJ55" s="117">
        <f t="shared" si="108"/>
        <v>0</v>
      </c>
      <c r="EK55" s="117">
        <f t="shared" si="109"/>
        <v>0</v>
      </c>
      <c r="EL55" s="117">
        <f t="shared" si="110"/>
        <v>0</v>
      </c>
      <c r="EM55" s="117">
        <f t="shared" si="111"/>
        <v>0</v>
      </c>
      <c r="EN55" s="117">
        <f t="shared" si="112"/>
        <v>0</v>
      </c>
      <c r="EO55" s="117">
        <f t="shared" si="113"/>
        <v>0</v>
      </c>
      <c r="EP55" s="117">
        <f t="shared" si="114"/>
        <v>0</v>
      </c>
      <c r="EQ55" s="117">
        <f t="shared" si="115"/>
        <v>0</v>
      </c>
      <c r="ER55" s="117">
        <f t="shared" si="116"/>
        <v>0</v>
      </c>
      <c r="ES55" s="118"/>
      <c r="ET55" s="142">
        <f t="shared" si="117"/>
        <v>0</v>
      </c>
      <c r="EU55" s="71"/>
      <c r="EV55" s="116">
        <f t="shared" si="118"/>
        <v>3752.2677937500007</v>
      </c>
      <c r="EW55" s="117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7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7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7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7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7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7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7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7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7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7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7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7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7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7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7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7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7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7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7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7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7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7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7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7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7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7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7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7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7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7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7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7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7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7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7">
        <f t="shared" si="119"/>
        <v>0</v>
      </c>
      <c r="GG55" s="117">
        <f t="shared" si="120"/>
        <v>0</v>
      </c>
      <c r="GH55" s="117">
        <f t="shared" si="121"/>
        <v>0</v>
      </c>
      <c r="GI55" s="117">
        <f t="shared" si="122"/>
        <v>0</v>
      </c>
      <c r="GJ55" s="118"/>
      <c r="GK55" s="142">
        <f t="shared" ca="1" si="123"/>
        <v>0</v>
      </c>
    </row>
    <row r="56" spans="1:193">
      <c r="A56" s="388" t="s">
        <v>401</v>
      </c>
      <c r="B56" s="143"/>
      <c r="C56" s="199"/>
      <c r="D56" s="200"/>
      <c r="E56" s="406">
        <f t="shared" si="0"/>
        <v>0</v>
      </c>
      <c r="F56" s="407">
        <f t="shared" si="76"/>
        <v>0</v>
      </c>
      <c r="G56" s="201" t="str">
        <f t="shared" si="124"/>
        <v/>
      </c>
      <c r="H56" s="416">
        <f t="shared" si="58"/>
        <v>0</v>
      </c>
      <c r="I56" s="735">
        <f t="shared" si="3"/>
        <v>0</v>
      </c>
      <c r="J56" s="61"/>
      <c r="K56" s="61"/>
      <c r="L56" s="158"/>
      <c r="M56" s="158"/>
      <c r="N56" s="158"/>
      <c r="O56" s="157"/>
      <c r="P56" s="157"/>
      <c r="Q56" s="158"/>
      <c r="R56" s="159"/>
      <c r="S56" s="158"/>
      <c r="T56" s="158"/>
      <c r="U56" s="158"/>
      <c r="V56" s="158"/>
      <c r="W56" s="158"/>
      <c r="X56" s="158"/>
      <c r="Y56" s="158"/>
      <c r="Z56" s="158"/>
      <c r="AA56" s="158"/>
      <c r="AB56" s="157"/>
      <c r="AC56" s="158"/>
      <c r="AD56" s="159"/>
      <c r="AE56" s="165"/>
      <c r="AF56" s="165"/>
      <c r="AG56" s="165"/>
      <c r="AH56" s="165"/>
      <c r="AI56" s="165"/>
      <c r="AJ56" s="165"/>
      <c r="AK56" s="165"/>
      <c r="AL56" s="165"/>
      <c r="AM56" s="165"/>
      <c r="AN56" s="65"/>
      <c r="AO56" s="65"/>
      <c r="AP56" s="65"/>
      <c r="AQ56" s="65"/>
      <c r="AR56" s="65"/>
      <c r="AS56" s="145"/>
      <c r="AT56" s="146" t="s">
        <v>352</v>
      </c>
      <c r="AU56" s="111"/>
      <c r="AV56" s="126"/>
      <c r="AW56" s="127"/>
      <c r="AX56" s="213">
        <f t="shared" si="11"/>
        <v>0</v>
      </c>
      <c r="AY56" s="214">
        <f t="shared" si="12"/>
        <v>0</v>
      </c>
      <c r="AZ56" s="147" t="s">
        <v>402</v>
      </c>
      <c r="BA56" s="111"/>
      <c r="BB56" s="128"/>
      <c r="BC56" s="114"/>
      <c r="BD56" s="215">
        <f t="shared" si="13"/>
        <v>0</v>
      </c>
      <c r="BE56" s="217">
        <f t="shared" si="14"/>
        <v>0</v>
      </c>
      <c r="BF56" s="148" t="s">
        <v>403</v>
      </c>
      <c r="BG56" s="111"/>
      <c r="BH56" s="114"/>
      <c r="BI56" s="218">
        <f t="shared" si="15"/>
        <v>0</v>
      </c>
      <c r="BJ56" s="219">
        <f t="shared" si="16"/>
        <v>0</v>
      </c>
      <c r="DE56" s="116">
        <f t="shared" si="77"/>
        <v>3939.881183437501</v>
      </c>
      <c r="DF56" s="117">
        <f t="shared" si="78"/>
        <v>0</v>
      </c>
      <c r="DG56" s="117">
        <f t="shared" si="79"/>
        <v>0</v>
      </c>
      <c r="DH56" s="117">
        <f t="shared" si="80"/>
        <v>0</v>
      </c>
      <c r="DI56" s="117">
        <f t="shared" si="81"/>
        <v>0</v>
      </c>
      <c r="DJ56" s="117">
        <f t="shared" si="82"/>
        <v>0</v>
      </c>
      <c r="DK56" s="117">
        <f t="shared" si="83"/>
        <v>0</v>
      </c>
      <c r="DL56" s="117">
        <f t="shared" si="84"/>
        <v>0</v>
      </c>
      <c r="DM56" s="117">
        <f t="shared" si="85"/>
        <v>0</v>
      </c>
      <c r="DN56" s="117">
        <f t="shared" si="86"/>
        <v>0</v>
      </c>
      <c r="DO56" s="117">
        <f t="shared" si="87"/>
        <v>0</v>
      </c>
      <c r="DP56" s="117">
        <f t="shared" si="88"/>
        <v>0</v>
      </c>
      <c r="DQ56" s="117">
        <f t="shared" si="89"/>
        <v>0</v>
      </c>
      <c r="DR56" s="117">
        <f t="shared" si="90"/>
        <v>0</v>
      </c>
      <c r="DS56" s="117">
        <f t="shared" si="91"/>
        <v>0</v>
      </c>
      <c r="DT56" s="117">
        <f t="shared" si="92"/>
        <v>0</v>
      </c>
      <c r="DU56" s="117">
        <f t="shared" si="93"/>
        <v>0</v>
      </c>
      <c r="DV56" s="117">
        <f t="shared" si="94"/>
        <v>0</v>
      </c>
      <c r="DW56" s="117">
        <f t="shared" si="95"/>
        <v>0</v>
      </c>
      <c r="DX56" s="117">
        <f t="shared" si="96"/>
        <v>0</v>
      </c>
      <c r="DY56" s="117">
        <f t="shared" si="97"/>
        <v>0</v>
      </c>
      <c r="DZ56" s="117">
        <f t="shared" si="98"/>
        <v>0</v>
      </c>
      <c r="EA56" s="117">
        <f t="shared" si="99"/>
        <v>0</v>
      </c>
      <c r="EB56" s="117">
        <f t="shared" si="100"/>
        <v>0</v>
      </c>
      <c r="EC56" s="117">
        <f t="shared" si="101"/>
        <v>0</v>
      </c>
      <c r="ED56" s="117">
        <f t="shared" si="102"/>
        <v>0</v>
      </c>
      <c r="EE56" s="117">
        <f t="shared" si="103"/>
        <v>0</v>
      </c>
      <c r="EF56" s="117">
        <f t="shared" si="104"/>
        <v>0</v>
      </c>
      <c r="EG56" s="117">
        <f t="shared" si="105"/>
        <v>0</v>
      </c>
      <c r="EH56" s="117">
        <f t="shared" si="106"/>
        <v>0</v>
      </c>
      <c r="EI56" s="117">
        <f t="shared" si="107"/>
        <v>0</v>
      </c>
      <c r="EJ56" s="117">
        <f t="shared" si="108"/>
        <v>0</v>
      </c>
      <c r="EK56" s="117">
        <f t="shared" si="109"/>
        <v>0</v>
      </c>
      <c r="EL56" s="117">
        <f t="shared" si="110"/>
        <v>0</v>
      </c>
      <c r="EM56" s="117">
        <f t="shared" si="111"/>
        <v>0</v>
      </c>
      <c r="EN56" s="117">
        <f t="shared" si="112"/>
        <v>0</v>
      </c>
      <c r="EO56" s="117">
        <f t="shared" si="113"/>
        <v>0</v>
      </c>
      <c r="EP56" s="117">
        <f t="shared" si="114"/>
        <v>0</v>
      </c>
      <c r="EQ56" s="117">
        <f t="shared" si="115"/>
        <v>0</v>
      </c>
      <c r="ER56" s="117">
        <f t="shared" si="116"/>
        <v>0</v>
      </c>
      <c r="ES56" s="118"/>
      <c r="ET56" s="142">
        <f t="shared" si="117"/>
        <v>0</v>
      </c>
      <c r="EU56" s="71"/>
      <c r="EV56" s="116">
        <f t="shared" si="118"/>
        <v>3939.881183437501</v>
      </c>
      <c r="EW56" s="117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7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7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7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7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7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7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7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7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7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7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7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7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7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7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7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7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7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7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7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7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7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7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7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7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7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7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7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7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7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7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7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7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7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7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7">
        <f t="shared" si="119"/>
        <v>0</v>
      </c>
      <c r="GG56" s="117">
        <f t="shared" si="120"/>
        <v>0</v>
      </c>
      <c r="GH56" s="117">
        <f t="shared" si="121"/>
        <v>0</v>
      </c>
      <c r="GI56" s="117">
        <f t="shared" si="122"/>
        <v>0</v>
      </c>
      <c r="GJ56" s="118"/>
      <c r="GK56" s="142">
        <f t="shared" ca="1" si="123"/>
        <v>0</v>
      </c>
    </row>
    <row r="57" spans="1:193">
      <c r="A57" s="388" t="s">
        <v>401</v>
      </c>
      <c r="B57" s="143"/>
      <c r="C57" s="199"/>
      <c r="D57" s="200"/>
      <c r="E57" s="406">
        <f t="shared" si="0"/>
        <v>0</v>
      </c>
      <c r="F57" s="407">
        <f t="shared" si="76"/>
        <v>0</v>
      </c>
      <c r="G57" s="201" t="str">
        <f t="shared" si="124"/>
        <v/>
      </c>
      <c r="H57" s="416">
        <f t="shared" si="58"/>
        <v>0</v>
      </c>
      <c r="I57" s="735">
        <f t="shared" si="3"/>
        <v>0</v>
      </c>
      <c r="J57" s="61"/>
      <c r="K57" s="61"/>
      <c r="L57" s="158"/>
      <c r="M57" s="158"/>
      <c r="N57" s="158"/>
      <c r="O57" s="158"/>
      <c r="P57" s="157"/>
      <c r="Q57" s="158"/>
      <c r="R57" s="159"/>
      <c r="S57" s="158"/>
      <c r="T57" s="158"/>
      <c r="U57" s="158"/>
      <c r="V57" s="158"/>
      <c r="W57" s="158"/>
      <c r="X57" s="158"/>
      <c r="Y57" s="158"/>
      <c r="Z57" s="158"/>
      <c r="AA57" s="158"/>
      <c r="AB57" s="157"/>
      <c r="AC57" s="158"/>
      <c r="AD57" s="159"/>
      <c r="AE57" s="165"/>
      <c r="AF57" s="165"/>
      <c r="AG57" s="165"/>
      <c r="AH57" s="165"/>
      <c r="AI57" s="165"/>
      <c r="AJ57" s="165"/>
      <c r="AK57" s="165"/>
      <c r="AL57" s="165"/>
      <c r="AM57" s="165"/>
      <c r="AN57" s="65"/>
      <c r="AO57" s="65"/>
      <c r="AP57" s="65"/>
      <c r="AQ57" s="65"/>
      <c r="AR57" s="65"/>
      <c r="AS57" s="145"/>
      <c r="AT57" s="146" t="s">
        <v>352</v>
      </c>
      <c r="AU57" s="111"/>
      <c r="AV57" s="126"/>
      <c r="AW57" s="127"/>
      <c r="AX57" s="213">
        <f t="shared" si="11"/>
        <v>0</v>
      </c>
      <c r="AY57" s="214">
        <f t="shared" si="12"/>
        <v>0</v>
      </c>
      <c r="AZ57" s="147" t="s">
        <v>402</v>
      </c>
      <c r="BA57" s="111"/>
      <c r="BB57" s="128"/>
      <c r="BC57" s="114"/>
      <c r="BD57" s="215">
        <f t="shared" si="13"/>
        <v>0</v>
      </c>
      <c r="BE57" s="217">
        <f t="shared" si="14"/>
        <v>0</v>
      </c>
      <c r="BF57" s="148" t="s">
        <v>403</v>
      </c>
      <c r="BG57" s="111"/>
      <c r="BH57" s="114"/>
      <c r="BI57" s="218">
        <f t="shared" si="15"/>
        <v>0</v>
      </c>
      <c r="BJ57" s="219">
        <f t="shared" si="16"/>
        <v>0</v>
      </c>
      <c r="DE57" s="116">
        <f t="shared" si="77"/>
        <v>4136.8752426093761</v>
      </c>
      <c r="DF57" s="117">
        <f t="shared" si="78"/>
        <v>0</v>
      </c>
      <c r="DG57" s="117">
        <f t="shared" si="79"/>
        <v>0</v>
      </c>
      <c r="DH57" s="117">
        <f t="shared" si="80"/>
        <v>0</v>
      </c>
      <c r="DI57" s="117">
        <f t="shared" si="81"/>
        <v>0</v>
      </c>
      <c r="DJ57" s="117">
        <f t="shared" si="82"/>
        <v>0</v>
      </c>
      <c r="DK57" s="117">
        <f t="shared" si="83"/>
        <v>0</v>
      </c>
      <c r="DL57" s="117">
        <f t="shared" si="84"/>
        <v>0</v>
      </c>
      <c r="DM57" s="117">
        <f t="shared" si="85"/>
        <v>0</v>
      </c>
      <c r="DN57" s="117">
        <f t="shared" si="86"/>
        <v>0</v>
      </c>
      <c r="DO57" s="117">
        <f t="shared" si="87"/>
        <v>0</v>
      </c>
      <c r="DP57" s="117">
        <f t="shared" si="88"/>
        <v>0</v>
      </c>
      <c r="DQ57" s="117">
        <f t="shared" si="89"/>
        <v>0</v>
      </c>
      <c r="DR57" s="117">
        <f t="shared" si="90"/>
        <v>0</v>
      </c>
      <c r="DS57" s="117">
        <f t="shared" si="91"/>
        <v>0</v>
      </c>
      <c r="DT57" s="117">
        <f t="shared" si="92"/>
        <v>0</v>
      </c>
      <c r="DU57" s="117">
        <f t="shared" si="93"/>
        <v>0</v>
      </c>
      <c r="DV57" s="117">
        <f t="shared" si="94"/>
        <v>0</v>
      </c>
      <c r="DW57" s="117">
        <f t="shared" si="95"/>
        <v>0</v>
      </c>
      <c r="DX57" s="117">
        <f t="shared" si="96"/>
        <v>0</v>
      </c>
      <c r="DY57" s="117">
        <f t="shared" si="97"/>
        <v>0</v>
      </c>
      <c r="DZ57" s="117">
        <f t="shared" si="98"/>
        <v>0</v>
      </c>
      <c r="EA57" s="117">
        <f t="shared" si="99"/>
        <v>0</v>
      </c>
      <c r="EB57" s="117">
        <f t="shared" si="100"/>
        <v>0</v>
      </c>
      <c r="EC57" s="117">
        <f t="shared" si="101"/>
        <v>0</v>
      </c>
      <c r="ED57" s="117">
        <f t="shared" si="102"/>
        <v>0</v>
      </c>
      <c r="EE57" s="117">
        <f t="shared" si="103"/>
        <v>0</v>
      </c>
      <c r="EF57" s="117">
        <f t="shared" si="104"/>
        <v>0</v>
      </c>
      <c r="EG57" s="117">
        <f t="shared" si="105"/>
        <v>0</v>
      </c>
      <c r="EH57" s="117">
        <f t="shared" si="106"/>
        <v>0</v>
      </c>
      <c r="EI57" s="117">
        <f t="shared" si="107"/>
        <v>0</v>
      </c>
      <c r="EJ57" s="117">
        <f t="shared" si="108"/>
        <v>0</v>
      </c>
      <c r="EK57" s="117">
        <f t="shared" si="109"/>
        <v>0</v>
      </c>
      <c r="EL57" s="117">
        <f t="shared" si="110"/>
        <v>0</v>
      </c>
      <c r="EM57" s="117">
        <f t="shared" si="111"/>
        <v>0</v>
      </c>
      <c r="EN57" s="117">
        <f t="shared" si="112"/>
        <v>0</v>
      </c>
      <c r="EO57" s="117">
        <f t="shared" si="113"/>
        <v>0</v>
      </c>
      <c r="EP57" s="117">
        <f t="shared" si="114"/>
        <v>0</v>
      </c>
      <c r="EQ57" s="117">
        <f t="shared" si="115"/>
        <v>0</v>
      </c>
      <c r="ER57" s="117">
        <f t="shared" si="116"/>
        <v>0</v>
      </c>
      <c r="ES57" s="118"/>
      <c r="ET57" s="142">
        <f t="shared" si="117"/>
        <v>0</v>
      </c>
      <c r="EU57" s="71"/>
      <c r="EV57" s="116">
        <f t="shared" si="118"/>
        <v>4136.8752426093761</v>
      </c>
      <c r="EW57" s="117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7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7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7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7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7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7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7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7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7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7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7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7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7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7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7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7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7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7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7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7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7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7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7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7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7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7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7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7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7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7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7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7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7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7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7">
        <f t="shared" si="119"/>
        <v>0</v>
      </c>
      <c r="GG57" s="117">
        <f t="shared" si="120"/>
        <v>0</v>
      </c>
      <c r="GH57" s="117">
        <f t="shared" si="121"/>
        <v>0</v>
      </c>
      <c r="GI57" s="117">
        <f t="shared" si="122"/>
        <v>0</v>
      </c>
      <c r="GJ57" s="118"/>
      <c r="GK57" s="142">
        <f t="shared" ca="1" si="123"/>
        <v>0</v>
      </c>
    </row>
    <row r="58" spans="1:193">
      <c r="A58" s="388" t="s">
        <v>401</v>
      </c>
      <c r="B58" s="143"/>
      <c r="C58" s="199"/>
      <c r="D58" s="200"/>
      <c r="E58" s="406">
        <f t="shared" si="0"/>
        <v>0</v>
      </c>
      <c r="F58" s="407">
        <f t="shared" si="76"/>
        <v>0</v>
      </c>
      <c r="G58" s="201" t="str">
        <f t="shared" si="124"/>
        <v/>
      </c>
      <c r="H58" s="416">
        <f t="shared" si="58"/>
        <v>0</v>
      </c>
      <c r="I58" s="735">
        <f t="shared" si="3"/>
        <v>0</v>
      </c>
      <c r="J58" s="61"/>
      <c r="K58" s="61"/>
      <c r="L58" s="158"/>
      <c r="M58" s="158"/>
      <c r="N58" s="158"/>
      <c r="O58" s="158"/>
      <c r="P58" s="157"/>
      <c r="Q58" s="158"/>
      <c r="R58" s="159"/>
      <c r="S58" s="158"/>
      <c r="T58" s="158"/>
      <c r="U58" s="158"/>
      <c r="V58" s="158"/>
      <c r="W58" s="158"/>
      <c r="X58" s="158"/>
      <c r="Y58" s="158"/>
      <c r="Z58" s="158"/>
      <c r="AA58" s="158"/>
      <c r="AB58" s="157"/>
      <c r="AC58" s="158"/>
      <c r="AD58" s="159"/>
      <c r="AE58" s="165"/>
      <c r="AF58" s="165"/>
      <c r="AG58" s="165"/>
      <c r="AH58" s="165"/>
      <c r="AI58" s="165"/>
      <c r="AJ58" s="165"/>
      <c r="AK58" s="165"/>
      <c r="AL58" s="165"/>
      <c r="AM58" s="165"/>
      <c r="AN58" s="65"/>
      <c r="AO58" s="65"/>
      <c r="AP58" s="65"/>
      <c r="AQ58" s="65"/>
      <c r="AR58" s="65"/>
      <c r="AS58" s="145"/>
      <c r="AT58" s="146" t="s">
        <v>352</v>
      </c>
      <c r="AU58" s="111"/>
      <c r="AV58" s="126"/>
      <c r="AW58" s="127"/>
      <c r="AX58" s="213">
        <f t="shared" si="11"/>
        <v>0</v>
      </c>
      <c r="AY58" s="214">
        <f t="shared" si="12"/>
        <v>0</v>
      </c>
      <c r="AZ58" s="147" t="s">
        <v>402</v>
      </c>
      <c r="BA58" s="111"/>
      <c r="BB58" s="128"/>
      <c r="BC58" s="114"/>
      <c r="BD58" s="215">
        <f t="shared" si="13"/>
        <v>0</v>
      </c>
      <c r="BE58" s="217">
        <f t="shared" si="14"/>
        <v>0</v>
      </c>
      <c r="BF58" s="148" t="s">
        <v>403</v>
      </c>
      <c r="BG58" s="111"/>
      <c r="BH58" s="114"/>
      <c r="BI58" s="218">
        <f t="shared" si="15"/>
        <v>0</v>
      </c>
      <c r="BJ58" s="219">
        <f t="shared" si="16"/>
        <v>0</v>
      </c>
      <c r="DE58" s="116">
        <f t="shared" si="77"/>
        <v>4343.7190047398453</v>
      </c>
      <c r="DF58" s="117">
        <f t="shared" si="78"/>
        <v>0</v>
      </c>
      <c r="DG58" s="117">
        <f t="shared" si="79"/>
        <v>0</v>
      </c>
      <c r="DH58" s="117">
        <f t="shared" si="80"/>
        <v>0</v>
      </c>
      <c r="DI58" s="117">
        <f t="shared" si="81"/>
        <v>0</v>
      </c>
      <c r="DJ58" s="117">
        <f t="shared" si="82"/>
        <v>0</v>
      </c>
      <c r="DK58" s="117">
        <f t="shared" si="83"/>
        <v>0</v>
      </c>
      <c r="DL58" s="117">
        <f t="shared" si="84"/>
        <v>0</v>
      </c>
      <c r="DM58" s="117">
        <f t="shared" si="85"/>
        <v>0</v>
      </c>
      <c r="DN58" s="117">
        <f t="shared" si="86"/>
        <v>0</v>
      </c>
      <c r="DO58" s="117">
        <f t="shared" si="87"/>
        <v>0</v>
      </c>
      <c r="DP58" s="117">
        <f t="shared" si="88"/>
        <v>0</v>
      </c>
      <c r="DQ58" s="117">
        <f t="shared" si="89"/>
        <v>0</v>
      </c>
      <c r="DR58" s="117">
        <f t="shared" si="90"/>
        <v>0</v>
      </c>
      <c r="DS58" s="117">
        <f t="shared" si="91"/>
        <v>0</v>
      </c>
      <c r="DT58" s="117">
        <f t="shared" si="92"/>
        <v>0</v>
      </c>
      <c r="DU58" s="117">
        <f t="shared" si="93"/>
        <v>0</v>
      </c>
      <c r="DV58" s="117">
        <f t="shared" si="94"/>
        <v>0</v>
      </c>
      <c r="DW58" s="117">
        <f t="shared" si="95"/>
        <v>0</v>
      </c>
      <c r="DX58" s="117">
        <f t="shared" si="96"/>
        <v>0</v>
      </c>
      <c r="DY58" s="117">
        <f t="shared" si="97"/>
        <v>0</v>
      </c>
      <c r="DZ58" s="117">
        <f t="shared" si="98"/>
        <v>0</v>
      </c>
      <c r="EA58" s="117">
        <f t="shared" si="99"/>
        <v>0</v>
      </c>
      <c r="EB58" s="117">
        <f t="shared" si="100"/>
        <v>0</v>
      </c>
      <c r="EC58" s="117">
        <f t="shared" si="101"/>
        <v>0</v>
      </c>
      <c r="ED58" s="117">
        <f t="shared" si="102"/>
        <v>0</v>
      </c>
      <c r="EE58" s="117">
        <f t="shared" si="103"/>
        <v>0</v>
      </c>
      <c r="EF58" s="117">
        <f t="shared" si="104"/>
        <v>0</v>
      </c>
      <c r="EG58" s="117">
        <f t="shared" si="105"/>
        <v>0</v>
      </c>
      <c r="EH58" s="117">
        <f t="shared" si="106"/>
        <v>0</v>
      </c>
      <c r="EI58" s="117">
        <f t="shared" si="107"/>
        <v>0</v>
      </c>
      <c r="EJ58" s="117">
        <f t="shared" si="108"/>
        <v>0</v>
      </c>
      <c r="EK58" s="117">
        <f t="shared" si="109"/>
        <v>0</v>
      </c>
      <c r="EL58" s="117">
        <f t="shared" si="110"/>
        <v>0</v>
      </c>
      <c r="EM58" s="117">
        <f t="shared" si="111"/>
        <v>0</v>
      </c>
      <c r="EN58" s="117">
        <f t="shared" si="112"/>
        <v>0</v>
      </c>
      <c r="EO58" s="117">
        <f t="shared" si="113"/>
        <v>0</v>
      </c>
      <c r="EP58" s="117">
        <f t="shared" si="114"/>
        <v>0</v>
      </c>
      <c r="EQ58" s="117">
        <f t="shared" si="115"/>
        <v>0</v>
      </c>
      <c r="ER58" s="117">
        <f t="shared" si="116"/>
        <v>0</v>
      </c>
      <c r="ES58" s="118"/>
      <c r="ET58" s="142">
        <f t="shared" si="117"/>
        <v>0</v>
      </c>
      <c r="EU58" s="71"/>
      <c r="EV58" s="116">
        <f t="shared" si="118"/>
        <v>4343.7190047398453</v>
      </c>
      <c r="EW58" s="117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7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7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7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7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7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7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7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7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7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7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7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7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7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7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7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7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7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7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7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7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7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7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7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7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7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7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7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7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7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7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7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7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7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7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7">
        <f t="shared" si="119"/>
        <v>0</v>
      </c>
      <c r="GG58" s="117">
        <f t="shared" si="120"/>
        <v>0</v>
      </c>
      <c r="GH58" s="117">
        <f t="shared" si="121"/>
        <v>0</v>
      </c>
      <c r="GI58" s="117">
        <f t="shared" si="122"/>
        <v>0</v>
      </c>
      <c r="GJ58" s="118"/>
      <c r="GK58" s="142">
        <f t="shared" ca="1" si="123"/>
        <v>0</v>
      </c>
    </row>
    <row r="59" spans="1:193">
      <c r="A59" s="388" t="s">
        <v>401</v>
      </c>
      <c r="B59" s="143"/>
      <c r="C59" s="199"/>
      <c r="D59" s="200"/>
      <c r="E59" s="406">
        <f t="shared" si="0"/>
        <v>0</v>
      </c>
      <c r="F59" s="407">
        <f t="shared" si="76"/>
        <v>0</v>
      </c>
      <c r="G59" s="201" t="str">
        <f t="shared" si="124"/>
        <v/>
      </c>
      <c r="H59" s="416">
        <f t="shared" si="58"/>
        <v>0</v>
      </c>
      <c r="I59" s="735">
        <f t="shared" si="3"/>
        <v>0</v>
      </c>
      <c r="J59" s="61"/>
      <c r="K59" s="61"/>
      <c r="L59" s="158"/>
      <c r="M59" s="158"/>
      <c r="N59" s="158"/>
      <c r="O59" s="158"/>
      <c r="P59" s="157"/>
      <c r="Q59" s="158"/>
      <c r="R59" s="159"/>
      <c r="S59" s="158"/>
      <c r="T59" s="158"/>
      <c r="U59" s="158"/>
      <c r="V59" s="158"/>
      <c r="W59" s="158"/>
      <c r="X59" s="158"/>
      <c r="Y59" s="158"/>
      <c r="Z59" s="158"/>
      <c r="AA59" s="158"/>
      <c r="AB59" s="157"/>
      <c r="AC59" s="158"/>
      <c r="AD59" s="159"/>
      <c r="AE59" s="165"/>
      <c r="AF59" s="165"/>
      <c r="AG59" s="165"/>
      <c r="AH59" s="165"/>
      <c r="AI59" s="165"/>
      <c r="AJ59" s="165"/>
      <c r="AK59" s="165"/>
      <c r="AL59" s="165"/>
      <c r="AM59" s="165"/>
      <c r="AN59" s="65"/>
      <c r="AO59" s="65"/>
      <c r="AP59" s="65"/>
      <c r="AQ59" s="65"/>
      <c r="AR59" s="65"/>
      <c r="AS59" s="145"/>
      <c r="AT59" s="146" t="s">
        <v>352</v>
      </c>
      <c r="AU59" s="111"/>
      <c r="AV59" s="126"/>
      <c r="AW59" s="127"/>
      <c r="AX59" s="213">
        <f t="shared" si="11"/>
        <v>0</v>
      </c>
      <c r="AY59" s="214">
        <f t="shared" si="12"/>
        <v>0</v>
      </c>
      <c r="AZ59" s="147" t="s">
        <v>402</v>
      </c>
      <c r="BA59" s="111"/>
      <c r="BB59" s="128"/>
      <c r="BC59" s="114"/>
      <c r="BD59" s="215">
        <f t="shared" si="13"/>
        <v>0</v>
      </c>
      <c r="BE59" s="217">
        <f t="shared" si="14"/>
        <v>0</v>
      </c>
      <c r="BF59" s="148" t="s">
        <v>403</v>
      </c>
      <c r="BG59" s="111"/>
      <c r="BH59" s="114"/>
      <c r="BI59" s="218">
        <f t="shared" si="15"/>
        <v>0</v>
      </c>
      <c r="BJ59" s="219">
        <f t="shared" si="16"/>
        <v>0</v>
      </c>
      <c r="DE59" s="116">
        <f t="shared" si="77"/>
        <v>4560.9049549768379</v>
      </c>
      <c r="DF59" s="117">
        <f t="shared" si="78"/>
        <v>0</v>
      </c>
      <c r="DG59" s="117">
        <f t="shared" si="79"/>
        <v>0</v>
      </c>
      <c r="DH59" s="117">
        <f t="shared" si="80"/>
        <v>0</v>
      </c>
      <c r="DI59" s="117">
        <f t="shared" si="81"/>
        <v>0</v>
      </c>
      <c r="DJ59" s="117">
        <f t="shared" si="82"/>
        <v>0</v>
      </c>
      <c r="DK59" s="117">
        <f t="shared" si="83"/>
        <v>0</v>
      </c>
      <c r="DL59" s="117">
        <f t="shared" si="84"/>
        <v>0</v>
      </c>
      <c r="DM59" s="117">
        <f t="shared" si="85"/>
        <v>0</v>
      </c>
      <c r="DN59" s="117">
        <f t="shared" si="86"/>
        <v>0</v>
      </c>
      <c r="DO59" s="117">
        <f t="shared" si="87"/>
        <v>0</v>
      </c>
      <c r="DP59" s="117">
        <f t="shared" si="88"/>
        <v>0</v>
      </c>
      <c r="DQ59" s="117">
        <f t="shared" si="89"/>
        <v>0</v>
      </c>
      <c r="DR59" s="117">
        <f t="shared" si="90"/>
        <v>0</v>
      </c>
      <c r="DS59" s="117">
        <f t="shared" si="91"/>
        <v>0</v>
      </c>
      <c r="DT59" s="117">
        <f t="shared" si="92"/>
        <v>0</v>
      </c>
      <c r="DU59" s="117">
        <f t="shared" si="93"/>
        <v>0</v>
      </c>
      <c r="DV59" s="117">
        <f t="shared" si="94"/>
        <v>0</v>
      </c>
      <c r="DW59" s="117">
        <f t="shared" si="95"/>
        <v>0</v>
      </c>
      <c r="DX59" s="117">
        <f t="shared" si="96"/>
        <v>0</v>
      </c>
      <c r="DY59" s="117">
        <f t="shared" si="97"/>
        <v>0</v>
      </c>
      <c r="DZ59" s="117">
        <f t="shared" si="98"/>
        <v>0</v>
      </c>
      <c r="EA59" s="117">
        <f t="shared" si="99"/>
        <v>0</v>
      </c>
      <c r="EB59" s="117">
        <f t="shared" si="100"/>
        <v>0</v>
      </c>
      <c r="EC59" s="117">
        <f t="shared" si="101"/>
        <v>0</v>
      </c>
      <c r="ED59" s="117">
        <f t="shared" si="102"/>
        <v>0</v>
      </c>
      <c r="EE59" s="117">
        <f t="shared" si="103"/>
        <v>0</v>
      </c>
      <c r="EF59" s="117">
        <f t="shared" si="104"/>
        <v>0</v>
      </c>
      <c r="EG59" s="117">
        <f t="shared" si="105"/>
        <v>0</v>
      </c>
      <c r="EH59" s="117">
        <f t="shared" si="106"/>
        <v>0</v>
      </c>
      <c r="EI59" s="117">
        <f t="shared" si="107"/>
        <v>0</v>
      </c>
      <c r="EJ59" s="117">
        <f t="shared" si="108"/>
        <v>0</v>
      </c>
      <c r="EK59" s="117">
        <f t="shared" si="109"/>
        <v>0</v>
      </c>
      <c r="EL59" s="117">
        <f t="shared" si="110"/>
        <v>0</v>
      </c>
      <c r="EM59" s="117">
        <f t="shared" si="111"/>
        <v>0</v>
      </c>
      <c r="EN59" s="117">
        <f t="shared" si="112"/>
        <v>0</v>
      </c>
      <c r="EO59" s="117">
        <f t="shared" si="113"/>
        <v>0</v>
      </c>
      <c r="EP59" s="117">
        <f t="shared" si="114"/>
        <v>0</v>
      </c>
      <c r="EQ59" s="117">
        <f t="shared" si="115"/>
        <v>0</v>
      </c>
      <c r="ER59" s="117">
        <f t="shared" si="116"/>
        <v>0</v>
      </c>
      <c r="ES59" s="118"/>
      <c r="ET59" s="142">
        <f t="shared" si="117"/>
        <v>0</v>
      </c>
      <c r="EU59" s="71"/>
      <c r="EV59" s="116">
        <f t="shared" si="118"/>
        <v>4560.9049549768379</v>
      </c>
      <c r="EW59" s="117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7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7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7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7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7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7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7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7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7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7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7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7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7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7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7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7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7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7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7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7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7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7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7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7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7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7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7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7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7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7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7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7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7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7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7">
        <f t="shared" si="119"/>
        <v>0</v>
      </c>
      <c r="GG59" s="117">
        <f t="shared" si="120"/>
        <v>0</v>
      </c>
      <c r="GH59" s="117">
        <f t="shared" si="121"/>
        <v>0</v>
      </c>
      <c r="GI59" s="117">
        <f t="shared" si="122"/>
        <v>0</v>
      </c>
      <c r="GJ59" s="118"/>
      <c r="GK59" s="142">
        <f t="shared" ca="1" si="123"/>
        <v>0</v>
      </c>
    </row>
    <row r="60" spans="1:193">
      <c r="A60" s="388" t="s">
        <v>401</v>
      </c>
      <c r="B60" s="143"/>
      <c r="C60" s="199"/>
      <c r="D60" s="200"/>
      <c r="E60" s="406">
        <f t="shared" si="0"/>
        <v>0</v>
      </c>
      <c r="F60" s="407">
        <f t="shared" si="76"/>
        <v>0</v>
      </c>
      <c r="G60" s="201" t="str">
        <f t="shared" si="124"/>
        <v/>
      </c>
      <c r="H60" s="416">
        <f t="shared" si="58"/>
        <v>0</v>
      </c>
      <c r="I60" s="735">
        <f t="shared" si="3"/>
        <v>0</v>
      </c>
      <c r="J60" s="61"/>
      <c r="K60" s="61"/>
      <c r="L60" s="158"/>
      <c r="M60" s="158"/>
      <c r="N60" s="158"/>
      <c r="O60" s="158"/>
      <c r="P60" s="157"/>
      <c r="Q60" s="158"/>
      <c r="R60" s="159"/>
      <c r="S60" s="158"/>
      <c r="T60" s="158"/>
      <c r="U60" s="158"/>
      <c r="V60" s="158"/>
      <c r="W60" s="158"/>
      <c r="X60" s="158"/>
      <c r="Y60" s="158"/>
      <c r="Z60" s="158"/>
      <c r="AA60" s="158"/>
      <c r="AB60" s="157"/>
      <c r="AC60" s="158"/>
      <c r="AD60" s="159"/>
      <c r="AE60" s="165"/>
      <c r="AF60" s="165"/>
      <c r="AG60" s="165"/>
      <c r="AH60" s="165"/>
      <c r="AI60" s="165"/>
      <c r="AJ60" s="165"/>
      <c r="AK60" s="165"/>
      <c r="AL60" s="165"/>
      <c r="AM60" s="165"/>
      <c r="AN60" s="65"/>
      <c r="AO60" s="65"/>
      <c r="AP60" s="65"/>
      <c r="AQ60" s="65"/>
      <c r="AR60" s="65"/>
      <c r="AS60" s="145"/>
      <c r="AT60" s="146" t="s">
        <v>352</v>
      </c>
      <c r="AU60" s="111"/>
      <c r="AV60" s="126"/>
      <c r="AW60" s="127"/>
      <c r="AX60" s="213">
        <f t="shared" si="11"/>
        <v>0</v>
      </c>
      <c r="AY60" s="214">
        <f t="shared" si="12"/>
        <v>0</v>
      </c>
      <c r="AZ60" s="147" t="s">
        <v>402</v>
      </c>
      <c r="BA60" s="111"/>
      <c r="BB60" s="128"/>
      <c r="BC60" s="114"/>
      <c r="BD60" s="215">
        <f t="shared" si="13"/>
        <v>0</v>
      </c>
      <c r="BE60" s="217">
        <f t="shared" si="14"/>
        <v>0</v>
      </c>
      <c r="BF60" s="148" t="s">
        <v>403</v>
      </c>
      <c r="BG60" s="111"/>
      <c r="BH60" s="114"/>
      <c r="BI60" s="218">
        <f t="shared" si="15"/>
        <v>0</v>
      </c>
      <c r="BJ60" s="219">
        <f t="shared" si="16"/>
        <v>0</v>
      </c>
      <c r="DE60" s="116">
        <f t="shared" si="77"/>
        <v>4788.9502027256804</v>
      </c>
      <c r="DF60" s="117">
        <f t="shared" si="78"/>
        <v>0</v>
      </c>
      <c r="DG60" s="117">
        <f t="shared" si="79"/>
        <v>0</v>
      </c>
      <c r="DH60" s="117">
        <f t="shared" si="80"/>
        <v>0</v>
      </c>
      <c r="DI60" s="117">
        <f t="shared" si="81"/>
        <v>0</v>
      </c>
      <c r="DJ60" s="117">
        <f t="shared" si="82"/>
        <v>0</v>
      </c>
      <c r="DK60" s="117">
        <f t="shared" si="83"/>
        <v>0</v>
      </c>
      <c r="DL60" s="117">
        <f t="shared" si="84"/>
        <v>0</v>
      </c>
      <c r="DM60" s="117">
        <f t="shared" si="85"/>
        <v>0</v>
      </c>
      <c r="DN60" s="117">
        <f t="shared" si="86"/>
        <v>0</v>
      </c>
      <c r="DO60" s="117">
        <f t="shared" si="87"/>
        <v>0</v>
      </c>
      <c r="DP60" s="117">
        <f t="shared" si="88"/>
        <v>0</v>
      </c>
      <c r="DQ60" s="117">
        <f t="shared" si="89"/>
        <v>0</v>
      </c>
      <c r="DR60" s="117">
        <f t="shared" si="90"/>
        <v>0</v>
      </c>
      <c r="DS60" s="117">
        <f t="shared" si="91"/>
        <v>0</v>
      </c>
      <c r="DT60" s="117">
        <f t="shared" si="92"/>
        <v>0</v>
      </c>
      <c r="DU60" s="117">
        <f t="shared" si="93"/>
        <v>0</v>
      </c>
      <c r="DV60" s="117">
        <f t="shared" si="94"/>
        <v>0</v>
      </c>
      <c r="DW60" s="117">
        <f t="shared" si="95"/>
        <v>0</v>
      </c>
      <c r="DX60" s="117">
        <f t="shared" si="96"/>
        <v>0</v>
      </c>
      <c r="DY60" s="117">
        <f t="shared" si="97"/>
        <v>0</v>
      </c>
      <c r="DZ60" s="117">
        <f t="shared" si="98"/>
        <v>0</v>
      </c>
      <c r="EA60" s="117">
        <f t="shared" si="99"/>
        <v>0</v>
      </c>
      <c r="EB60" s="117">
        <f t="shared" si="100"/>
        <v>0</v>
      </c>
      <c r="EC60" s="117">
        <f t="shared" si="101"/>
        <v>0</v>
      </c>
      <c r="ED60" s="117">
        <f t="shared" si="102"/>
        <v>0</v>
      </c>
      <c r="EE60" s="117">
        <f t="shared" si="103"/>
        <v>0</v>
      </c>
      <c r="EF60" s="117">
        <f t="shared" si="104"/>
        <v>0</v>
      </c>
      <c r="EG60" s="117">
        <f t="shared" si="105"/>
        <v>0</v>
      </c>
      <c r="EH60" s="117">
        <f t="shared" si="106"/>
        <v>0</v>
      </c>
      <c r="EI60" s="117">
        <f t="shared" si="107"/>
        <v>0</v>
      </c>
      <c r="EJ60" s="117">
        <f t="shared" si="108"/>
        <v>0</v>
      </c>
      <c r="EK60" s="117">
        <f t="shared" si="109"/>
        <v>0</v>
      </c>
      <c r="EL60" s="117">
        <f t="shared" si="110"/>
        <v>0</v>
      </c>
      <c r="EM60" s="117">
        <f t="shared" si="111"/>
        <v>0</v>
      </c>
      <c r="EN60" s="117">
        <f t="shared" si="112"/>
        <v>0</v>
      </c>
      <c r="EO60" s="117">
        <f t="shared" si="113"/>
        <v>0</v>
      </c>
      <c r="EP60" s="117">
        <f t="shared" si="114"/>
        <v>0</v>
      </c>
      <c r="EQ60" s="117">
        <f t="shared" si="115"/>
        <v>0</v>
      </c>
      <c r="ER60" s="117">
        <f t="shared" si="116"/>
        <v>0</v>
      </c>
      <c r="ES60" s="118"/>
      <c r="ET60" s="142">
        <f t="shared" si="117"/>
        <v>0</v>
      </c>
      <c r="EU60" s="71"/>
      <c r="EV60" s="116">
        <f t="shared" si="118"/>
        <v>4788.9502027256804</v>
      </c>
      <c r="EW60" s="117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7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7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7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7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7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7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7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7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7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7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7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7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7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7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7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7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7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7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7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7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7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7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7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7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7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7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7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7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7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7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7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7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7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7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7">
        <f t="shared" si="119"/>
        <v>0</v>
      </c>
      <c r="GG60" s="117">
        <f t="shared" si="120"/>
        <v>0</v>
      </c>
      <c r="GH60" s="117">
        <f t="shared" si="121"/>
        <v>0</v>
      </c>
      <c r="GI60" s="117">
        <f t="shared" si="122"/>
        <v>0</v>
      </c>
      <c r="GJ60" s="118"/>
      <c r="GK60" s="142">
        <f t="shared" ca="1" si="123"/>
        <v>0</v>
      </c>
    </row>
    <row r="61" spans="1:193">
      <c r="A61" s="388" t="s">
        <v>401</v>
      </c>
      <c r="B61" s="143"/>
      <c r="C61" s="199"/>
      <c r="D61" s="200"/>
      <c r="E61" s="406">
        <f t="shared" si="0"/>
        <v>0</v>
      </c>
      <c r="F61" s="407">
        <f t="shared" si="76"/>
        <v>0</v>
      </c>
      <c r="G61" s="201" t="str">
        <f t="shared" si="124"/>
        <v/>
      </c>
      <c r="H61" s="416">
        <f t="shared" si="58"/>
        <v>0</v>
      </c>
      <c r="I61" s="735">
        <f t="shared" si="3"/>
        <v>0</v>
      </c>
      <c r="J61" s="61"/>
      <c r="K61" s="61"/>
      <c r="L61" s="158"/>
      <c r="M61" s="158"/>
      <c r="N61" s="158"/>
      <c r="O61" s="158"/>
      <c r="P61" s="157"/>
      <c r="Q61" s="158"/>
      <c r="R61" s="159"/>
      <c r="S61" s="158"/>
      <c r="T61" s="158"/>
      <c r="U61" s="158"/>
      <c r="V61" s="158"/>
      <c r="W61" s="158"/>
      <c r="X61" s="158"/>
      <c r="Y61" s="158"/>
      <c r="Z61" s="158"/>
      <c r="AA61" s="158"/>
      <c r="AB61" s="157"/>
      <c r="AC61" s="158"/>
      <c r="AD61" s="159"/>
      <c r="AE61" s="165"/>
      <c r="AF61" s="165"/>
      <c r="AG61" s="165"/>
      <c r="AH61" s="165"/>
      <c r="AI61" s="165"/>
      <c r="AJ61" s="165"/>
      <c r="AK61" s="165"/>
      <c r="AL61" s="165"/>
      <c r="AM61" s="165"/>
      <c r="AN61" s="65"/>
      <c r="AO61" s="65"/>
      <c r="AP61" s="65"/>
      <c r="AQ61" s="65"/>
      <c r="AR61" s="65"/>
      <c r="AS61" s="145"/>
      <c r="AT61" s="146" t="s">
        <v>352</v>
      </c>
      <c r="AU61" s="111"/>
      <c r="AV61" s="126"/>
      <c r="AW61" s="127"/>
      <c r="AX61" s="213">
        <f t="shared" si="11"/>
        <v>0</v>
      </c>
      <c r="AY61" s="214">
        <f t="shared" si="12"/>
        <v>0</v>
      </c>
      <c r="AZ61" s="147" t="s">
        <v>402</v>
      </c>
      <c r="BA61" s="111"/>
      <c r="BB61" s="128"/>
      <c r="BC61" s="114"/>
      <c r="BD61" s="215">
        <f t="shared" si="13"/>
        <v>0</v>
      </c>
      <c r="BE61" s="217">
        <f t="shared" si="14"/>
        <v>0</v>
      </c>
      <c r="BF61" s="148" t="s">
        <v>403</v>
      </c>
      <c r="BG61" s="111"/>
      <c r="BH61" s="114"/>
      <c r="BI61" s="218">
        <f t="shared" si="15"/>
        <v>0</v>
      </c>
      <c r="BJ61" s="219">
        <f t="shared" si="16"/>
        <v>0</v>
      </c>
      <c r="DE61" s="116">
        <f t="shared" si="77"/>
        <v>5028.3977128619645</v>
      </c>
      <c r="DF61" s="117">
        <f t="shared" si="78"/>
        <v>0</v>
      </c>
      <c r="DG61" s="117">
        <f t="shared" si="79"/>
        <v>0</v>
      </c>
      <c r="DH61" s="117">
        <f t="shared" si="80"/>
        <v>0</v>
      </c>
      <c r="DI61" s="117">
        <f t="shared" si="81"/>
        <v>0</v>
      </c>
      <c r="DJ61" s="117">
        <f t="shared" si="82"/>
        <v>0</v>
      </c>
      <c r="DK61" s="117">
        <f t="shared" si="83"/>
        <v>0</v>
      </c>
      <c r="DL61" s="117">
        <f t="shared" si="84"/>
        <v>0</v>
      </c>
      <c r="DM61" s="117">
        <f t="shared" si="85"/>
        <v>0</v>
      </c>
      <c r="DN61" s="117">
        <f t="shared" si="86"/>
        <v>0</v>
      </c>
      <c r="DO61" s="117">
        <f t="shared" si="87"/>
        <v>0</v>
      </c>
      <c r="DP61" s="117">
        <f t="shared" si="88"/>
        <v>0</v>
      </c>
      <c r="DQ61" s="117">
        <f t="shared" si="89"/>
        <v>0</v>
      </c>
      <c r="DR61" s="117">
        <f t="shared" si="90"/>
        <v>0</v>
      </c>
      <c r="DS61" s="117">
        <f t="shared" si="91"/>
        <v>0</v>
      </c>
      <c r="DT61" s="117">
        <f t="shared" si="92"/>
        <v>0</v>
      </c>
      <c r="DU61" s="117">
        <f t="shared" si="93"/>
        <v>0</v>
      </c>
      <c r="DV61" s="117">
        <f t="shared" si="94"/>
        <v>0</v>
      </c>
      <c r="DW61" s="117">
        <f t="shared" si="95"/>
        <v>0</v>
      </c>
      <c r="DX61" s="117">
        <f t="shared" si="96"/>
        <v>0</v>
      </c>
      <c r="DY61" s="117">
        <f t="shared" si="97"/>
        <v>0</v>
      </c>
      <c r="DZ61" s="117">
        <f t="shared" si="98"/>
        <v>0</v>
      </c>
      <c r="EA61" s="117">
        <f t="shared" si="99"/>
        <v>0</v>
      </c>
      <c r="EB61" s="117">
        <f t="shared" si="100"/>
        <v>0</v>
      </c>
      <c r="EC61" s="117">
        <f t="shared" si="101"/>
        <v>0</v>
      </c>
      <c r="ED61" s="117">
        <f t="shared" si="102"/>
        <v>0</v>
      </c>
      <c r="EE61" s="117">
        <f t="shared" si="103"/>
        <v>0</v>
      </c>
      <c r="EF61" s="117">
        <f t="shared" si="104"/>
        <v>0</v>
      </c>
      <c r="EG61" s="117">
        <f t="shared" si="105"/>
        <v>0</v>
      </c>
      <c r="EH61" s="117">
        <f t="shared" si="106"/>
        <v>0</v>
      </c>
      <c r="EI61" s="117">
        <f t="shared" si="107"/>
        <v>0</v>
      </c>
      <c r="EJ61" s="117">
        <f t="shared" si="108"/>
        <v>0</v>
      </c>
      <c r="EK61" s="117">
        <f t="shared" si="109"/>
        <v>0</v>
      </c>
      <c r="EL61" s="117">
        <f t="shared" si="110"/>
        <v>0</v>
      </c>
      <c r="EM61" s="117">
        <f t="shared" si="111"/>
        <v>0</v>
      </c>
      <c r="EN61" s="117">
        <f t="shared" si="112"/>
        <v>0</v>
      </c>
      <c r="EO61" s="117">
        <f t="shared" si="113"/>
        <v>0</v>
      </c>
      <c r="EP61" s="117">
        <f t="shared" si="114"/>
        <v>0</v>
      </c>
      <c r="EQ61" s="117">
        <f t="shared" si="115"/>
        <v>0</v>
      </c>
      <c r="ER61" s="117">
        <f t="shared" si="116"/>
        <v>0</v>
      </c>
      <c r="ES61" s="118"/>
      <c r="ET61" s="142">
        <f t="shared" si="117"/>
        <v>0</v>
      </c>
      <c r="EU61" s="71"/>
      <c r="EV61" s="116">
        <f t="shared" si="118"/>
        <v>5028.3977128619645</v>
      </c>
      <c r="EW61" s="117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7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7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7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7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7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7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7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7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7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7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7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7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7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7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7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7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7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7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7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7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7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7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7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7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7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7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7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7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7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7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7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7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7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7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7">
        <f t="shared" si="119"/>
        <v>0</v>
      </c>
      <c r="GG61" s="117">
        <f t="shared" si="120"/>
        <v>0</v>
      </c>
      <c r="GH61" s="117">
        <f t="shared" si="121"/>
        <v>0</v>
      </c>
      <c r="GI61" s="117">
        <f t="shared" si="122"/>
        <v>0</v>
      </c>
      <c r="GJ61" s="118"/>
      <c r="GK61" s="142">
        <f t="shared" ca="1" si="123"/>
        <v>0</v>
      </c>
    </row>
    <row r="62" spans="1:193">
      <c r="A62" s="388" t="s">
        <v>401</v>
      </c>
      <c r="B62" s="143"/>
      <c r="C62" s="199"/>
      <c r="D62" s="200"/>
      <c r="E62" s="406">
        <f t="shared" si="0"/>
        <v>0</v>
      </c>
      <c r="F62" s="407">
        <f t="shared" si="76"/>
        <v>0</v>
      </c>
      <c r="G62" s="201" t="str">
        <f t="shared" si="124"/>
        <v/>
      </c>
      <c r="H62" s="416">
        <f t="shared" si="58"/>
        <v>0</v>
      </c>
      <c r="I62" s="735">
        <f t="shared" si="3"/>
        <v>0</v>
      </c>
      <c r="J62" s="61"/>
      <c r="K62" s="61"/>
      <c r="L62" s="158"/>
      <c r="M62" s="158"/>
      <c r="N62" s="158"/>
      <c r="O62" s="158"/>
      <c r="P62" s="157"/>
      <c r="Q62" s="158"/>
      <c r="R62" s="159"/>
      <c r="S62" s="158"/>
      <c r="T62" s="158"/>
      <c r="U62" s="158"/>
      <c r="V62" s="158"/>
      <c r="W62" s="158"/>
      <c r="X62" s="158"/>
      <c r="Y62" s="158"/>
      <c r="Z62" s="158"/>
      <c r="AA62" s="158"/>
      <c r="AB62" s="157"/>
      <c r="AC62" s="158"/>
      <c r="AD62" s="159"/>
      <c r="AE62" s="165"/>
      <c r="AF62" s="165"/>
      <c r="AG62" s="165"/>
      <c r="AH62" s="165"/>
      <c r="AI62" s="165"/>
      <c r="AJ62" s="165"/>
      <c r="AK62" s="165"/>
      <c r="AL62" s="165"/>
      <c r="AM62" s="165"/>
      <c r="AN62" s="65"/>
      <c r="AO62" s="65"/>
      <c r="AP62" s="65"/>
      <c r="AQ62" s="65"/>
      <c r="AR62" s="65"/>
      <c r="AS62" s="145"/>
      <c r="AT62" s="146" t="s">
        <v>352</v>
      </c>
      <c r="AU62" s="111"/>
      <c r="AV62" s="126"/>
      <c r="AW62" s="127"/>
      <c r="AX62" s="213">
        <f t="shared" si="11"/>
        <v>0</v>
      </c>
      <c r="AY62" s="214">
        <f t="shared" si="12"/>
        <v>0</v>
      </c>
      <c r="AZ62" s="147" t="s">
        <v>402</v>
      </c>
      <c r="BA62" s="111"/>
      <c r="BB62" s="128"/>
      <c r="BC62" s="114"/>
      <c r="BD62" s="215">
        <f t="shared" si="13"/>
        <v>0</v>
      </c>
      <c r="BE62" s="217">
        <f t="shared" si="14"/>
        <v>0</v>
      </c>
      <c r="BF62" s="148" t="s">
        <v>403</v>
      </c>
      <c r="BG62" s="111"/>
      <c r="BH62" s="114"/>
      <c r="BI62" s="218">
        <f t="shared" si="15"/>
        <v>0</v>
      </c>
      <c r="BJ62" s="219">
        <f t="shared" si="16"/>
        <v>0</v>
      </c>
      <c r="DE62" s="116">
        <f t="shared" si="77"/>
        <v>5279.817598505063</v>
      </c>
      <c r="DF62" s="117">
        <f t="shared" si="78"/>
        <v>0</v>
      </c>
      <c r="DG62" s="117">
        <f t="shared" si="79"/>
        <v>0</v>
      </c>
      <c r="DH62" s="117">
        <f t="shared" si="80"/>
        <v>0</v>
      </c>
      <c r="DI62" s="117">
        <f t="shared" si="81"/>
        <v>0</v>
      </c>
      <c r="DJ62" s="117">
        <f t="shared" si="82"/>
        <v>0</v>
      </c>
      <c r="DK62" s="117">
        <f t="shared" si="83"/>
        <v>0</v>
      </c>
      <c r="DL62" s="117">
        <f t="shared" si="84"/>
        <v>0</v>
      </c>
      <c r="DM62" s="117">
        <f t="shared" si="85"/>
        <v>0</v>
      </c>
      <c r="DN62" s="117">
        <f t="shared" si="86"/>
        <v>0</v>
      </c>
      <c r="DO62" s="117">
        <f t="shared" si="87"/>
        <v>0</v>
      </c>
      <c r="DP62" s="117">
        <f t="shared" si="88"/>
        <v>0</v>
      </c>
      <c r="DQ62" s="117">
        <f t="shared" si="89"/>
        <v>0</v>
      </c>
      <c r="DR62" s="117">
        <f t="shared" si="90"/>
        <v>0</v>
      </c>
      <c r="DS62" s="117">
        <f t="shared" si="91"/>
        <v>0</v>
      </c>
      <c r="DT62" s="117">
        <f t="shared" si="92"/>
        <v>0</v>
      </c>
      <c r="DU62" s="117">
        <f t="shared" si="93"/>
        <v>0</v>
      </c>
      <c r="DV62" s="117">
        <f t="shared" si="94"/>
        <v>0</v>
      </c>
      <c r="DW62" s="117">
        <f t="shared" si="95"/>
        <v>0</v>
      </c>
      <c r="DX62" s="117">
        <f t="shared" si="96"/>
        <v>0</v>
      </c>
      <c r="DY62" s="117">
        <f t="shared" si="97"/>
        <v>0</v>
      </c>
      <c r="DZ62" s="117">
        <f t="shared" si="98"/>
        <v>0</v>
      </c>
      <c r="EA62" s="117">
        <f t="shared" si="99"/>
        <v>0</v>
      </c>
      <c r="EB62" s="117">
        <f t="shared" si="100"/>
        <v>0</v>
      </c>
      <c r="EC62" s="117">
        <f t="shared" si="101"/>
        <v>0</v>
      </c>
      <c r="ED62" s="117">
        <f t="shared" si="102"/>
        <v>0</v>
      </c>
      <c r="EE62" s="117">
        <f t="shared" si="103"/>
        <v>0</v>
      </c>
      <c r="EF62" s="117">
        <f t="shared" si="104"/>
        <v>0</v>
      </c>
      <c r="EG62" s="117">
        <f t="shared" si="105"/>
        <v>0</v>
      </c>
      <c r="EH62" s="117">
        <f t="shared" si="106"/>
        <v>0</v>
      </c>
      <c r="EI62" s="117">
        <f t="shared" si="107"/>
        <v>0</v>
      </c>
      <c r="EJ62" s="117">
        <f t="shared" si="108"/>
        <v>0</v>
      </c>
      <c r="EK62" s="117">
        <f t="shared" si="109"/>
        <v>0</v>
      </c>
      <c r="EL62" s="117">
        <f t="shared" si="110"/>
        <v>0</v>
      </c>
      <c r="EM62" s="117">
        <f t="shared" si="111"/>
        <v>0</v>
      </c>
      <c r="EN62" s="117">
        <f t="shared" si="112"/>
        <v>0</v>
      </c>
      <c r="EO62" s="117">
        <f t="shared" si="113"/>
        <v>0</v>
      </c>
      <c r="EP62" s="117">
        <f t="shared" si="114"/>
        <v>0</v>
      </c>
      <c r="EQ62" s="117">
        <f t="shared" si="115"/>
        <v>0</v>
      </c>
      <c r="ER62" s="117">
        <f t="shared" si="116"/>
        <v>0</v>
      </c>
      <c r="ES62" s="118"/>
      <c r="ET62" s="142">
        <f t="shared" si="117"/>
        <v>0</v>
      </c>
      <c r="EU62" s="71"/>
      <c r="EV62" s="116">
        <f t="shared" si="118"/>
        <v>5279.817598505063</v>
      </c>
      <c r="EW62" s="117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7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7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7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7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7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7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7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7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7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7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7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7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7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7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7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7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7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7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7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7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7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7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7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7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7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7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7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7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7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7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7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7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7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7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7">
        <f t="shared" si="119"/>
        <v>0</v>
      </c>
      <c r="GG62" s="117">
        <f t="shared" si="120"/>
        <v>0</v>
      </c>
      <c r="GH62" s="117">
        <f t="shared" si="121"/>
        <v>0</v>
      </c>
      <c r="GI62" s="117">
        <f t="shared" si="122"/>
        <v>0</v>
      </c>
      <c r="GJ62" s="118"/>
      <c r="GK62" s="142">
        <f t="shared" ca="1" si="123"/>
        <v>0</v>
      </c>
    </row>
    <row r="63" spans="1:193">
      <c r="A63" s="388" t="s">
        <v>401</v>
      </c>
      <c r="B63" s="143"/>
      <c r="C63" s="199"/>
      <c r="D63" s="200"/>
      <c r="E63" s="406">
        <f t="shared" si="0"/>
        <v>0</v>
      </c>
      <c r="F63" s="407">
        <f t="shared" si="76"/>
        <v>0</v>
      </c>
      <c r="G63" s="201" t="str">
        <f t="shared" si="124"/>
        <v/>
      </c>
      <c r="H63" s="416">
        <f t="shared" si="58"/>
        <v>0</v>
      </c>
      <c r="I63" s="735">
        <f t="shared" si="3"/>
        <v>0</v>
      </c>
      <c r="J63" s="61"/>
      <c r="K63" s="61"/>
      <c r="L63" s="158"/>
      <c r="M63" s="158"/>
      <c r="N63" s="158"/>
      <c r="O63" s="158"/>
      <c r="P63" s="157"/>
      <c r="Q63" s="158"/>
      <c r="R63" s="159"/>
      <c r="S63" s="158"/>
      <c r="T63" s="158"/>
      <c r="U63" s="158"/>
      <c r="V63" s="158"/>
      <c r="W63" s="158"/>
      <c r="X63" s="158"/>
      <c r="Y63" s="158"/>
      <c r="Z63" s="158"/>
      <c r="AA63" s="158"/>
      <c r="AB63" s="157"/>
      <c r="AC63" s="158"/>
      <c r="AD63" s="159"/>
      <c r="AE63" s="165"/>
      <c r="AF63" s="165"/>
      <c r="AG63" s="165"/>
      <c r="AH63" s="165"/>
      <c r="AI63" s="165"/>
      <c r="AJ63" s="165"/>
      <c r="AK63" s="165"/>
      <c r="AL63" s="165"/>
      <c r="AM63" s="165"/>
      <c r="AN63" s="65"/>
      <c r="AO63" s="65"/>
      <c r="AP63" s="65"/>
      <c r="AQ63" s="65"/>
      <c r="AR63" s="65"/>
      <c r="AS63" s="145"/>
      <c r="AT63" s="146" t="s">
        <v>352</v>
      </c>
      <c r="AU63" s="111"/>
      <c r="AV63" s="126"/>
      <c r="AW63" s="127"/>
      <c r="AX63" s="213">
        <f t="shared" si="11"/>
        <v>0</v>
      </c>
      <c r="AY63" s="214">
        <f t="shared" si="12"/>
        <v>0</v>
      </c>
      <c r="AZ63" s="147" t="s">
        <v>402</v>
      </c>
      <c r="BA63" s="111"/>
      <c r="BB63" s="128"/>
      <c r="BC63" s="114"/>
      <c r="BD63" s="215">
        <f t="shared" si="13"/>
        <v>0</v>
      </c>
      <c r="BE63" s="217">
        <f t="shared" si="14"/>
        <v>0</v>
      </c>
      <c r="BF63" s="148" t="s">
        <v>403</v>
      </c>
      <c r="BG63" s="111"/>
      <c r="BH63" s="114"/>
      <c r="BI63" s="218">
        <f t="shared" si="15"/>
        <v>0</v>
      </c>
      <c r="BJ63" s="219">
        <f t="shared" si="16"/>
        <v>0</v>
      </c>
      <c r="DE63" s="116">
        <f t="shared" si="77"/>
        <v>5543.8084784303164</v>
      </c>
      <c r="DF63" s="117">
        <f t="shared" si="78"/>
        <v>0</v>
      </c>
      <c r="DG63" s="117">
        <f t="shared" si="79"/>
        <v>0</v>
      </c>
      <c r="DH63" s="117">
        <f t="shared" si="80"/>
        <v>0</v>
      </c>
      <c r="DI63" s="117">
        <f t="shared" si="81"/>
        <v>0</v>
      </c>
      <c r="DJ63" s="117">
        <f t="shared" si="82"/>
        <v>0</v>
      </c>
      <c r="DK63" s="117">
        <f t="shared" si="83"/>
        <v>0</v>
      </c>
      <c r="DL63" s="117">
        <f t="shared" si="84"/>
        <v>0</v>
      </c>
      <c r="DM63" s="117">
        <f t="shared" si="85"/>
        <v>0</v>
      </c>
      <c r="DN63" s="117">
        <f t="shared" si="86"/>
        <v>0</v>
      </c>
      <c r="DO63" s="117">
        <f t="shared" si="87"/>
        <v>0</v>
      </c>
      <c r="DP63" s="117">
        <f t="shared" si="88"/>
        <v>0</v>
      </c>
      <c r="DQ63" s="117">
        <f t="shared" si="89"/>
        <v>0</v>
      </c>
      <c r="DR63" s="117">
        <f t="shared" si="90"/>
        <v>0</v>
      </c>
      <c r="DS63" s="117">
        <f t="shared" si="91"/>
        <v>0</v>
      </c>
      <c r="DT63" s="117">
        <f t="shared" si="92"/>
        <v>0</v>
      </c>
      <c r="DU63" s="117">
        <f t="shared" si="93"/>
        <v>0</v>
      </c>
      <c r="DV63" s="117">
        <f t="shared" si="94"/>
        <v>0</v>
      </c>
      <c r="DW63" s="117">
        <f t="shared" si="95"/>
        <v>0</v>
      </c>
      <c r="DX63" s="117">
        <f t="shared" si="96"/>
        <v>0</v>
      </c>
      <c r="DY63" s="117">
        <f t="shared" si="97"/>
        <v>0</v>
      </c>
      <c r="DZ63" s="117">
        <f t="shared" si="98"/>
        <v>0</v>
      </c>
      <c r="EA63" s="117">
        <f t="shared" si="99"/>
        <v>0</v>
      </c>
      <c r="EB63" s="117">
        <f t="shared" si="100"/>
        <v>0</v>
      </c>
      <c r="EC63" s="117">
        <f t="shared" si="101"/>
        <v>0</v>
      </c>
      <c r="ED63" s="117">
        <f t="shared" si="102"/>
        <v>0</v>
      </c>
      <c r="EE63" s="117">
        <f t="shared" si="103"/>
        <v>0</v>
      </c>
      <c r="EF63" s="117">
        <f t="shared" si="104"/>
        <v>0</v>
      </c>
      <c r="EG63" s="117">
        <f t="shared" si="105"/>
        <v>0</v>
      </c>
      <c r="EH63" s="117">
        <f t="shared" si="106"/>
        <v>0</v>
      </c>
      <c r="EI63" s="117">
        <f t="shared" si="107"/>
        <v>0</v>
      </c>
      <c r="EJ63" s="117">
        <f t="shared" si="108"/>
        <v>0</v>
      </c>
      <c r="EK63" s="117">
        <f t="shared" si="109"/>
        <v>0</v>
      </c>
      <c r="EL63" s="117">
        <f t="shared" si="110"/>
        <v>0</v>
      </c>
      <c r="EM63" s="117">
        <f t="shared" si="111"/>
        <v>0</v>
      </c>
      <c r="EN63" s="117">
        <f t="shared" si="112"/>
        <v>0</v>
      </c>
      <c r="EO63" s="117">
        <f t="shared" si="113"/>
        <v>0</v>
      </c>
      <c r="EP63" s="117">
        <f t="shared" si="114"/>
        <v>0</v>
      </c>
      <c r="EQ63" s="117">
        <f t="shared" si="115"/>
        <v>0</v>
      </c>
      <c r="ER63" s="117">
        <f t="shared" si="116"/>
        <v>0</v>
      </c>
      <c r="ES63" s="118"/>
      <c r="ET63" s="142">
        <f t="shared" si="117"/>
        <v>0</v>
      </c>
      <c r="EU63" s="71"/>
      <c r="EV63" s="116">
        <f t="shared" si="118"/>
        <v>5543.8084784303164</v>
      </c>
      <c r="EW63" s="117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7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7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7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7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7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7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7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7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7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7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7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7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7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7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7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7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7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7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7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7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7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7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7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7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7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7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7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7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7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7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7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7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7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7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7">
        <f t="shared" si="119"/>
        <v>0</v>
      </c>
      <c r="GG63" s="117">
        <f t="shared" si="120"/>
        <v>0</v>
      </c>
      <c r="GH63" s="117">
        <f t="shared" si="121"/>
        <v>0</v>
      </c>
      <c r="GI63" s="117">
        <f t="shared" si="122"/>
        <v>0</v>
      </c>
      <c r="GJ63" s="118"/>
      <c r="GK63" s="142">
        <f t="shared" ca="1" si="123"/>
        <v>0</v>
      </c>
    </row>
    <row r="64" spans="1:193">
      <c r="A64" s="388" t="s">
        <v>401</v>
      </c>
      <c r="B64" s="143"/>
      <c r="C64" s="199"/>
      <c r="D64" s="200"/>
      <c r="E64" s="406">
        <f t="shared" si="0"/>
        <v>0</v>
      </c>
      <c r="F64" s="407">
        <f t="shared" si="76"/>
        <v>0</v>
      </c>
      <c r="G64" s="201" t="str">
        <f t="shared" si="124"/>
        <v/>
      </c>
      <c r="H64" s="416">
        <f t="shared" si="58"/>
        <v>0</v>
      </c>
      <c r="I64" s="735">
        <f t="shared" si="3"/>
        <v>0</v>
      </c>
      <c r="J64" s="61"/>
      <c r="K64" s="61"/>
      <c r="L64" s="158"/>
      <c r="M64" s="158"/>
      <c r="N64" s="158"/>
      <c r="O64" s="158"/>
      <c r="P64" s="157"/>
      <c r="Q64" s="158"/>
      <c r="R64" s="159"/>
      <c r="S64" s="158"/>
      <c r="T64" s="158"/>
      <c r="U64" s="158"/>
      <c r="V64" s="158"/>
      <c r="W64" s="158"/>
      <c r="X64" s="158"/>
      <c r="Y64" s="158"/>
      <c r="Z64" s="158"/>
      <c r="AA64" s="158"/>
      <c r="AB64" s="157"/>
      <c r="AC64" s="158"/>
      <c r="AD64" s="159"/>
      <c r="AE64" s="165"/>
      <c r="AF64" s="165"/>
      <c r="AG64" s="165"/>
      <c r="AH64" s="165"/>
      <c r="AI64" s="165"/>
      <c r="AJ64" s="165"/>
      <c r="AK64" s="165"/>
      <c r="AL64" s="165"/>
      <c r="AM64" s="165"/>
      <c r="AN64" s="65"/>
      <c r="AO64" s="65"/>
      <c r="AP64" s="65"/>
      <c r="AQ64" s="65"/>
      <c r="AR64" s="65"/>
      <c r="AS64" s="145"/>
      <c r="AT64" s="146" t="s">
        <v>352</v>
      </c>
      <c r="AU64" s="111"/>
      <c r="AV64" s="126"/>
      <c r="AW64" s="127"/>
      <c r="AX64" s="213">
        <f t="shared" si="11"/>
        <v>0</v>
      </c>
      <c r="AY64" s="214">
        <f t="shared" si="12"/>
        <v>0</v>
      </c>
      <c r="AZ64" s="147" t="s">
        <v>402</v>
      </c>
      <c r="BA64" s="111"/>
      <c r="BB64" s="128"/>
      <c r="BC64" s="114"/>
      <c r="BD64" s="215">
        <f t="shared" si="13"/>
        <v>0</v>
      </c>
      <c r="BE64" s="217">
        <f t="shared" si="14"/>
        <v>0</v>
      </c>
      <c r="BF64" s="148" t="s">
        <v>403</v>
      </c>
      <c r="BG64" s="111"/>
      <c r="BH64" s="114"/>
      <c r="BI64" s="218">
        <f t="shared" si="15"/>
        <v>0</v>
      </c>
      <c r="BJ64" s="219">
        <f t="shared" si="16"/>
        <v>0</v>
      </c>
      <c r="DE64" s="116">
        <f t="shared" si="77"/>
        <v>5820.9989023518328</v>
      </c>
      <c r="DF64" s="117">
        <f t="shared" si="78"/>
        <v>0</v>
      </c>
      <c r="DG64" s="117">
        <f t="shared" si="79"/>
        <v>0</v>
      </c>
      <c r="DH64" s="117">
        <f t="shared" si="80"/>
        <v>0</v>
      </c>
      <c r="DI64" s="117">
        <f t="shared" si="81"/>
        <v>0</v>
      </c>
      <c r="DJ64" s="117">
        <f t="shared" si="82"/>
        <v>0</v>
      </c>
      <c r="DK64" s="117">
        <f t="shared" si="83"/>
        <v>0</v>
      </c>
      <c r="DL64" s="117">
        <f t="shared" si="84"/>
        <v>0</v>
      </c>
      <c r="DM64" s="117">
        <f t="shared" si="85"/>
        <v>0</v>
      </c>
      <c r="DN64" s="117">
        <f t="shared" si="86"/>
        <v>0</v>
      </c>
      <c r="DO64" s="117">
        <f t="shared" si="87"/>
        <v>0</v>
      </c>
      <c r="DP64" s="117">
        <f t="shared" si="88"/>
        <v>0</v>
      </c>
      <c r="DQ64" s="117">
        <f t="shared" si="89"/>
        <v>0</v>
      </c>
      <c r="DR64" s="117">
        <f t="shared" si="90"/>
        <v>0</v>
      </c>
      <c r="DS64" s="117">
        <f t="shared" si="91"/>
        <v>0</v>
      </c>
      <c r="DT64" s="117">
        <f t="shared" si="92"/>
        <v>0</v>
      </c>
      <c r="DU64" s="117">
        <f t="shared" si="93"/>
        <v>0</v>
      </c>
      <c r="DV64" s="117">
        <f t="shared" si="94"/>
        <v>0</v>
      </c>
      <c r="DW64" s="117">
        <f t="shared" si="95"/>
        <v>0</v>
      </c>
      <c r="DX64" s="117">
        <f t="shared" si="96"/>
        <v>0</v>
      </c>
      <c r="DY64" s="117">
        <f t="shared" si="97"/>
        <v>0</v>
      </c>
      <c r="DZ64" s="117">
        <f t="shared" si="98"/>
        <v>0</v>
      </c>
      <c r="EA64" s="117">
        <f t="shared" si="99"/>
        <v>0</v>
      </c>
      <c r="EB64" s="117">
        <f t="shared" si="100"/>
        <v>0</v>
      </c>
      <c r="EC64" s="117">
        <f t="shared" si="101"/>
        <v>0</v>
      </c>
      <c r="ED64" s="117">
        <f t="shared" si="102"/>
        <v>0</v>
      </c>
      <c r="EE64" s="117">
        <f t="shared" si="103"/>
        <v>0</v>
      </c>
      <c r="EF64" s="117">
        <f t="shared" si="104"/>
        <v>0</v>
      </c>
      <c r="EG64" s="117">
        <f t="shared" si="105"/>
        <v>0</v>
      </c>
      <c r="EH64" s="117">
        <f t="shared" si="106"/>
        <v>0</v>
      </c>
      <c r="EI64" s="117">
        <f t="shared" si="107"/>
        <v>0</v>
      </c>
      <c r="EJ64" s="117">
        <f t="shared" si="108"/>
        <v>0</v>
      </c>
      <c r="EK64" s="117">
        <f t="shared" si="109"/>
        <v>0</v>
      </c>
      <c r="EL64" s="117">
        <f t="shared" si="110"/>
        <v>0</v>
      </c>
      <c r="EM64" s="117">
        <f t="shared" si="111"/>
        <v>0</v>
      </c>
      <c r="EN64" s="117">
        <f t="shared" si="112"/>
        <v>0</v>
      </c>
      <c r="EO64" s="117">
        <f t="shared" si="113"/>
        <v>0</v>
      </c>
      <c r="EP64" s="117">
        <f t="shared" si="114"/>
        <v>0</v>
      </c>
      <c r="EQ64" s="117">
        <f t="shared" si="115"/>
        <v>0</v>
      </c>
      <c r="ER64" s="117">
        <f t="shared" si="116"/>
        <v>0</v>
      </c>
      <c r="ES64" s="118"/>
      <c r="ET64" s="142">
        <f t="shared" si="117"/>
        <v>0</v>
      </c>
      <c r="EU64" s="71"/>
      <c r="EV64" s="116">
        <f t="shared" si="118"/>
        <v>5820.9989023518328</v>
      </c>
      <c r="EW64" s="117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7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7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7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7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7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7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7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7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7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7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7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7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7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7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7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7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7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7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7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7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7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7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7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7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7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7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7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7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7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7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7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7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7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7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7">
        <f t="shared" si="119"/>
        <v>0</v>
      </c>
      <c r="GG64" s="117">
        <f t="shared" si="120"/>
        <v>0</v>
      </c>
      <c r="GH64" s="117">
        <f t="shared" si="121"/>
        <v>0</v>
      </c>
      <c r="GI64" s="117">
        <f t="shared" si="122"/>
        <v>0</v>
      </c>
      <c r="GJ64" s="118"/>
      <c r="GK64" s="142">
        <f t="shared" ca="1" si="123"/>
        <v>0</v>
      </c>
    </row>
    <row r="65" spans="1:193">
      <c r="A65" s="388" t="s">
        <v>401</v>
      </c>
      <c r="B65" s="143"/>
      <c r="C65" s="199"/>
      <c r="D65" s="200"/>
      <c r="E65" s="406">
        <f t="shared" si="0"/>
        <v>0</v>
      </c>
      <c r="F65" s="407">
        <f t="shared" si="76"/>
        <v>0</v>
      </c>
      <c r="G65" s="201" t="str">
        <f t="shared" si="124"/>
        <v/>
      </c>
      <c r="H65" s="416">
        <f t="shared" si="58"/>
        <v>0</v>
      </c>
      <c r="I65" s="735">
        <f t="shared" si="3"/>
        <v>0</v>
      </c>
      <c r="J65" s="61"/>
      <c r="K65" s="61"/>
      <c r="L65" s="158"/>
      <c r="M65" s="158"/>
      <c r="N65" s="158"/>
      <c r="O65" s="158"/>
      <c r="P65" s="157"/>
      <c r="Q65" s="158"/>
      <c r="R65" s="159"/>
      <c r="S65" s="158"/>
      <c r="T65" s="158"/>
      <c r="U65" s="158"/>
      <c r="V65" s="158"/>
      <c r="W65" s="158"/>
      <c r="X65" s="158"/>
      <c r="Y65" s="158"/>
      <c r="Z65" s="158"/>
      <c r="AA65" s="158"/>
      <c r="AB65" s="157"/>
      <c r="AC65" s="158"/>
      <c r="AD65" s="159"/>
      <c r="AE65" s="165"/>
      <c r="AF65" s="165"/>
      <c r="AG65" s="165"/>
      <c r="AH65" s="165"/>
      <c r="AI65" s="165"/>
      <c r="AJ65" s="165"/>
      <c r="AK65" s="165"/>
      <c r="AL65" s="165"/>
      <c r="AM65" s="165"/>
      <c r="AN65" s="65"/>
      <c r="AO65" s="65"/>
      <c r="AP65" s="65"/>
      <c r="AQ65" s="65"/>
      <c r="AR65" s="65"/>
      <c r="AS65" s="145"/>
      <c r="AT65" s="146" t="s">
        <v>352</v>
      </c>
      <c r="AU65" s="111"/>
      <c r="AV65" s="126"/>
      <c r="AW65" s="127"/>
      <c r="AX65" s="213">
        <f t="shared" si="11"/>
        <v>0</v>
      </c>
      <c r="AY65" s="214">
        <f t="shared" si="12"/>
        <v>0</v>
      </c>
      <c r="AZ65" s="147" t="s">
        <v>402</v>
      </c>
      <c r="BA65" s="111"/>
      <c r="BB65" s="128"/>
      <c r="BC65" s="114"/>
      <c r="BD65" s="215">
        <f t="shared" si="13"/>
        <v>0</v>
      </c>
      <c r="BE65" s="217">
        <f t="shared" si="14"/>
        <v>0</v>
      </c>
      <c r="BF65" s="148" t="s">
        <v>403</v>
      </c>
      <c r="BG65" s="111"/>
      <c r="BH65" s="114"/>
      <c r="BI65" s="218">
        <f t="shared" si="15"/>
        <v>0</v>
      </c>
      <c r="BJ65" s="219">
        <f t="shared" si="16"/>
        <v>0</v>
      </c>
      <c r="DE65" s="116">
        <f t="shared" si="77"/>
        <v>6112.0488474694248</v>
      </c>
      <c r="DF65" s="117">
        <f t="shared" si="78"/>
        <v>0</v>
      </c>
      <c r="DG65" s="117">
        <f t="shared" si="79"/>
        <v>0</v>
      </c>
      <c r="DH65" s="117">
        <f t="shared" si="80"/>
        <v>0</v>
      </c>
      <c r="DI65" s="117">
        <f t="shared" si="81"/>
        <v>0</v>
      </c>
      <c r="DJ65" s="117">
        <f t="shared" si="82"/>
        <v>0</v>
      </c>
      <c r="DK65" s="117">
        <f t="shared" si="83"/>
        <v>0</v>
      </c>
      <c r="DL65" s="117">
        <f t="shared" si="84"/>
        <v>0</v>
      </c>
      <c r="DM65" s="117">
        <f t="shared" si="85"/>
        <v>0</v>
      </c>
      <c r="DN65" s="117">
        <f t="shared" si="86"/>
        <v>0</v>
      </c>
      <c r="DO65" s="117">
        <f t="shared" si="87"/>
        <v>0</v>
      </c>
      <c r="DP65" s="117">
        <f t="shared" si="88"/>
        <v>0</v>
      </c>
      <c r="DQ65" s="117">
        <f t="shared" si="89"/>
        <v>0</v>
      </c>
      <c r="DR65" s="117">
        <f t="shared" si="90"/>
        <v>0</v>
      </c>
      <c r="DS65" s="117">
        <f t="shared" si="91"/>
        <v>0</v>
      </c>
      <c r="DT65" s="117">
        <f t="shared" si="92"/>
        <v>0</v>
      </c>
      <c r="DU65" s="117">
        <f t="shared" si="93"/>
        <v>0</v>
      </c>
      <c r="DV65" s="117">
        <f t="shared" si="94"/>
        <v>0</v>
      </c>
      <c r="DW65" s="117">
        <f t="shared" si="95"/>
        <v>0</v>
      </c>
      <c r="DX65" s="117">
        <f t="shared" si="96"/>
        <v>0</v>
      </c>
      <c r="DY65" s="117">
        <f t="shared" si="97"/>
        <v>0</v>
      </c>
      <c r="DZ65" s="117">
        <f t="shared" si="98"/>
        <v>0</v>
      </c>
      <c r="EA65" s="117">
        <f t="shared" si="99"/>
        <v>0</v>
      </c>
      <c r="EB65" s="117">
        <f t="shared" si="100"/>
        <v>0</v>
      </c>
      <c r="EC65" s="117">
        <f t="shared" si="101"/>
        <v>0</v>
      </c>
      <c r="ED65" s="117">
        <f t="shared" si="102"/>
        <v>0</v>
      </c>
      <c r="EE65" s="117">
        <f t="shared" si="103"/>
        <v>0</v>
      </c>
      <c r="EF65" s="117">
        <f t="shared" si="104"/>
        <v>0</v>
      </c>
      <c r="EG65" s="117">
        <f t="shared" si="105"/>
        <v>0</v>
      </c>
      <c r="EH65" s="117">
        <f t="shared" si="106"/>
        <v>0</v>
      </c>
      <c r="EI65" s="117">
        <f t="shared" si="107"/>
        <v>0</v>
      </c>
      <c r="EJ65" s="117">
        <f t="shared" si="108"/>
        <v>0</v>
      </c>
      <c r="EK65" s="117">
        <f t="shared" si="109"/>
        <v>0</v>
      </c>
      <c r="EL65" s="117">
        <f t="shared" si="110"/>
        <v>0</v>
      </c>
      <c r="EM65" s="117">
        <f t="shared" si="111"/>
        <v>0</v>
      </c>
      <c r="EN65" s="117">
        <f t="shared" si="112"/>
        <v>0</v>
      </c>
      <c r="EO65" s="117">
        <f t="shared" si="113"/>
        <v>0</v>
      </c>
      <c r="EP65" s="117">
        <f t="shared" si="114"/>
        <v>0</v>
      </c>
      <c r="EQ65" s="117">
        <f t="shared" si="115"/>
        <v>0</v>
      </c>
      <c r="ER65" s="117">
        <f t="shared" si="116"/>
        <v>0</v>
      </c>
      <c r="ES65" s="118"/>
      <c r="ET65" s="142">
        <f t="shared" si="117"/>
        <v>0</v>
      </c>
      <c r="EU65" s="71"/>
      <c r="EV65" s="116">
        <f t="shared" si="118"/>
        <v>6112.0488474694248</v>
      </c>
      <c r="EW65" s="117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7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7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7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7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7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7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7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7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7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7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7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7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7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7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7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7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7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7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7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7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7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7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7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7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7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7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7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7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7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7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7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7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7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7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7">
        <f t="shared" si="119"/>
        <v>0</v>
      </c>
      <c r="GG65" s="117">
        <f t="shared" si="120"/>
        <v>0</v>
      </c>
      <c r="GH65" s="117">
        <f t="shared" si="121"/>
        <v>0</v>
      </c>
      <c r="GI65" s="117">
        <f t="shared" si="122"/>
        <v>0</v>
      </c>
      <c r="GJ65" s="118"/>
      <c r="GK65" s="142">
        <f t="shared" ca="1" si="123"/>
        <v>0</v>
      </c>
    </row>
    <row r="66" spans="1:193">
      <c r="A66" s="388" t="s">
        <v>401</v>
      </c>
      <c r="B66" s="143"/>
      <c r="C66" s="199"/>
      <c r="D66" s="200"/>
      <c r="E66" s="406">
        <f t="shared" si="0"/>
        <v>0</v>
      </c>
      <c r="F66" s="407">
        <f t="shared" si="76"/>
        <v>0</v>
      </c>
      <c r="G66" s="201" t="str">
        <f t="shared" si="124"/>
        <v/>
      </c>
      <c r="H66" s="416">
        <f t="shared" si="58"/>
        <v>0</v>
      </c>
      <c r="I66" s="735">
        <f t="shared" si="3"/>
        <v>0</v>
      </c>
      <c r="J66" s="61"/>
      <c r="K66" s="61"/>
      <c r="L66" s="158"/>
      <c r="M66" s="158"/>
      <c r="N66" s="158"/>
      <c r="O66" s="158"/>
      <c r="P66" s="157"/>
      <c r="Q66" s="158"/>
      <c r="R66" s="159"/>
      <c r="S66" s="158"/>
      <c r="T66" s="158"/>
      <c r="U66" s="158"/>
      <c r="V66" s="158"/>
      <c r="W66" s="158"/>
      <c r="X66" s="158"/>
      <c r="Y66" s="158"/>
      <c r="Z66" s="158"/>
      <c r="AA66" s="158"/>
      <c r="AB66" s="157"/>
      <c r="AC66" s="158"/>
      <c r="AD66" s="159"/>
      <c r="AE66" s="165"/>
      <c r="AF66" s="165"/>
      <c r="AG66" s="165"/>
      <c r="AH66" s="165"/>
      <c r="AI66" s="165"/>
      <c r="AJ66" s="165"/>
      <c r="AK66" s="165"/>
      <c r="AL66" s="165"/>
      <c r="AM66" s="165"/>
      <c r="AN66" s="65"/>
      <c r="AO66" s="65"/>
      <c r="AP66" s="65"/>
      <c r="AQ66" s="65"/>
      <c r="AR66" s="65"/>
      <c r="AS66" s="145"/>
      <c r="AT66" s="146" t="s">
        <v>352</v>
      </c>
      <c r="AU66" s="111"/>
      <c r="AV66" s="126"/>
      <c r="AW66" s="127"/>
      <c r="AX66" s="213">
        <f t="shared" si="11"/>
        <v>0</v>
      </c>
      <c r="AY66" s="214">
        <f t="shared" si="12"/>
        <v>0</v>
      </c>
      <c r="AZ66" s="147" t="s">
        <v>402</v>
      </c>
      <c r="BA66" s="111"/>
      <c r="BB66" s="128"/>
      <c r="BC66" s="114"/>
      <c r="BD66" s="215">
        <f t="shared" si="13"/>
        <v>0</v>
      </c>
      <c r="BE66" s="217">
        <f t="shared" si="14"/>
        <v>0</v>
      </c>
      <c r="BF66" s="148" t="s">
        <v>403</v>
      </c>
      <c r="BG66" s="111"/>
      <c r="BH66" s="114"/>
      <c r="BI66" s="218">
        <f t="shared" si="15"/>
        <v>0</v>
      </c>
      <c r="BJ66" s="219">
        <f t="shared" si="16"/>
        <v>0</v>
      </c>
      <c r="DE66" s="116">
        <f t="shared" si="77"/>
        <v>6417.6512898428964</v>
      </c>
      <c r="DF66" s="117">
        <f t="shared" si="78"/>
        <v>0</v>
      </c>
      <c r="DG66" s="117">
        <f t="shared" si="79"/>
        <v>0</v>
      </c>
      <c r="DH66" s="117">
        <f t="shared" si="80"/>
        <v>0</v>
      </c>
      <c r="DI66" s="117">
        <f t="shared" si="81"/>
        <v>0</v>
      </c>
      <c r="DJ66" s="117">
        <f t="shared" si="82"/>
        <v>0</v>
      </c>
      <c r="DK66" s="117">
        <f t="shared" si="83"/>
        <v>0</v>
      </c>
      <c r="DL66" s="117">
        <f t="shared" si="84"/>
        <v>0</v>
      </c>
      <c r="DM66" s="117">
        <f t="shared" si="85"/>
        <v>0</v>
      </c>
      <c r="DN66" s="117">
        <f t="shared" si="86"/>
        <v>0</v>
      </c>
      <c r="DO66" s="117">
        <f t="shared" si="87"/>
        <v>0</v>
      </c>
      <c r="DP66" s="117">
        <f t="shared" si="88"/>
        <v>0</v>
      </c>
      <c r="DQ66" s="117">
        <f t="shared" si="89"/>
        <v>0</v>
      </c>
      <c r="DR66" s="117">
        <f t="shared" si="90"/>
        <v>0</v>
      </c>
      <c r="DS66" s="117">
        <f t="shared" si="91"/>
        <v>0</v>
      </c>
      <c r="DT66" s="117">
        <f t="shared" si="92"/>
        <v>0</v>
      </c>
      <c r="DU66" s="117">
        <f t="shared" si="93"/>
        <v>0</v>
      </c>
      <c r="DV66" s="117">
        <f t="shared" si="94"/>
        <v>0</v>
      </c>
      <c r="DW66" s="117">
        <f t="shared" si="95"/>
        <v>0</v>
      </c>
      <c r="DX66" s="117">
        <f t="shared" si="96"/>
        <v>0</v>
      </c>
      <c r="DY66" s="117">
        <f t="shared" si="97"/>
        <v>0</v>
      </c>
      <c r="DZ66" s="117">
        <f t="shared" si="98"/>
        <v>0</v>
      </c>
      <c r="EA66" s="117">
        <f t="shared" si="99"/>
        <v>0</v>
      </c>
      <c r="EB66" s="117">
        <f t="shared" si="100"/>
        <v>0</v>
      </c>
      <c r="EC66" s="117">
        <f t="shared" si="101"/>
        <v>0</v>
      </c>
      <c r="ED66" s="117">
        <f t="shared" si="102"/>
        <v>0</v>
      </c>
      <c r="EE66" s="117">
        <f t="shared" si="103"/>
        <v>0</v>
      </c>
      <c r="EF66" s="117">
        <f t="shared" si="104"/>
        <v>0</v>
      </c>
      <c r="EG66" s="117">
        <f t="shared" si="105"/>
        <v>0</v>
      </c>
      <c r="EH66" s="117">
        <f t="shared" si="106"/>
        <v>0</v>
      </c>
      <c r="EI66" s="117">
        <f t="shared" si="107"/>
        <v>0</v>
      </c>
      <c r="EJ66" s="117">
        <f t="shared" si="108"/>
        <v>0</v>
      </c>
      <c r="EK66" s="117">
        <f t="shared" si="109"/>
        <v>0</v>
      </c>
      <c r="EL66" s="117">
        <f t="shared" si="110"/>
        <v>0</v>
      </c>
      <c r="EM66" s="117">
        <f t="shared" si="111"/>
        <v>0</v>
      </c>
      <c r="EN66" s="117">
        <f t="shared" si="112"/>
        <v>0</v>
      </c>
      <c r="EO66" s="117">
        <f t="shared" si="113"/>
        <v>0</v>
      </c>
      <c r="EP66" s="117">
        <f t="shared" si="114"/>
        <v>0</v>
      </c>
      <c r="EQ66" s="117">
        <f t="shared" si="115"/>
        <v>0</v>
      </c>
      <c r="ER66" s="117">
        <f t="shared" si="116"/>
        <v>0</v>
      </c>
      <c r="ES66" s="118"/>
      <c r="ET66" s="142">
        <f t="shared" si="117"/>
        <v>0</v>
      </c>
      <c r="EU66" s="71"/>
      <c r="EV66" s="116">
        <f t="shared" si="118"/>
        <v>6417.6512898428964</v>
      </c>
      <c r="EW66" s="117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7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7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7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7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7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7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7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7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7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7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7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7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7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7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7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7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7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7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7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7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7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7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7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7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7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7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7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7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7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7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7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7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7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7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7">
        <f t="shared" si="119"/>
        <v>0</v>
      </c>
      <c r="GG66" s="117">
        <f t="shared" si="120"/>
        <v>0</v>
      </c>
      <c r="GH66" s="117">
        <f t="shared" si="121"/>
        <v>0</v>
      </c>
      <c r="GI66" s="117">
        <f t="shared" si="122"/>
        <v>0</v>
      </c>
      <c r="GJ66" s="118"/>
      <c r="GK66" s="142">
        <f t="shared" ca="1" si="123"/>
        <v>0</v>
      </c>
    </row>
    <row r="67" spans="1:193">
      <c r="A67" s="388" t="s">
        <v>401</v>
      </c>
      <c r="B67" s="143"/>
      <c r="C67" s="199"/>
      <c r="D67" s="200"/>
      <c r="E67" s="406">
        <f t="shared" si="0"/>
        <v>0</v>
      </c>
      <c r="F67" s="407">
        <f t="shared" ref="F67:F72" si="125">IF(B67&gt;0,+B67*D67*(1+($N$53+0.002)*1.21)*-100,B67*D67*(1-($N$53+0.002)*1.21)*-100)</f>
        <v>0</v>
      </c>
      <c r="G67" s="201" t="str">
        <f t="shared" si="124"/>
        <v/>
      </c>
      <c r="H67" s="416">
        <f t="shared" si="58"/>
        <v>0</v>
      </c>
      <c r="I67" s="735">
        <f t="shared" si="3"/>
        <v>0</v>
      </c>
      <c r="J67" s="61"/>
      <c r="K67" s="61"/>
      <c r="L67" s="158"/>
      <c r="M67" s="158"/>
      <c r="N67" s="158"/>
      <c r="O67" s="158"/>
      <c r="P67" s="157"/>
      <c r="Q67" s="158"/>
      <c r="R67" s="159"/>
      <c r="S67" s="158"/>
      <c r="T67" s="158"/>
      <c r="U67" s="158"/>
      <c r="V67" s="158"/>
      <c r="W67" s="158"/>
      <c r="X67" s="158"/>
      <c r="Y67" s="158"/>
      <c r="Z67" s="158"/>
      <c r="AA67" s="158"/>
      <c r="AB67" s="157"/>
      <c r="AC67" s="158"/>
      <c r="AD67" s="159"/>
      <c r="AE67" s="165"/>
      <c r="AF67" s="165"/>
      <c r="AG67" s="165"/>
      <c r="AH67" s="165"/>
      <c r="AI67" s="165"/>
      <c r="AJ67" s="165"/>
      <c r="AK67" s="165"/>
      <c r="AL67" s="165"/>
      <c r="AM67" s="165"/>
      <c r="AN67" s="65"/>
      <c r="AO67" s="65"/>
      <c r="AP67" s="65"/>
      <c r="AQ67" s="65"/>
      <c r="AR67" s="65"/>
      <c r="AS67" s="145"/>
      <c r="AT67" s="146" t="s">
        <v>352</v>
      </c>
      <c r="AU67" s="111"/>
      <c r="AV67" s="126"/>
      <c r="AW67" s="127"/>
      <c r="AX67" s="213">
        <f t="shared" si="11"/>
        <v>0</v>
      </c>
      <c r="AY67" s="214">
        <f t="shared" si="12"/>
        <v>0</v>
      </c>
      <c r="AZ67" s="147" t="s">
        <v>402</v>
      </c>
      <c r="BA67" s="111"/>
      <c r="BB67" s="128"/>
      <c r="BC67" s="114"/>
      <c r="BD67" s="215">
        <f t="shared" si="13"/>
        <v>0</v>
      </c>
      <c r="BE67" s="217">
        <f t="shared" si="14"/>
        <v>0</v>
      </c>
      <c r="BF67" s="148" t="s">
        <v>403</v>
      </c>
      <c r="BG67" s="111"/>
      <c r="BH67" s="114"/>
      <c r="BI67" s="218">
        <f t="shared" si="15"/>
        <v>0</v>
      </c>
      <c r="BJ67" s="219">
        <f t="shared" si="16"/>
        <v>0</v>
      </c>
      <c r="DE67" s="166">
        <f t="shared" si="77"/>
        <v>6738.5338543350417</v>
      </c>
      <c r="DF67" s="167">
        <f t="shared" si="78"/>
        <v>0</v>
      </c>
      <c r="DG67" s="167">
        <f t="shared" si="79"/>
        <v>0</v>
      </c>
      <c r="DH67" s="167">
        <f t="shared" si="80"/>
        <v>0</v>
      </c>
      <c r="DI67" s="167">
        <f t="shared" si="81"/>
        <v>0</v>
      </c>
      <c r="DJ67" s="167">
        <f t="shared" si="82"/>
        <v>0</v>
      </c>
      <c r="DK67" s="167">
        <f t="shared" si="83"/>
        <v>0</v>
      </c>
      <c r="DL67" s="167">
        <f t="shared" si="84"/>
        <v>0</v>
      </c>
      <c r="DM67" s="167">
        <f t="shared" si="85"/>
        <v>0</v>
      </c>
      <c r="DN67" s="167">
        <f t="shared" si="86"/>
        <v>0</v>
      </c>
      <c r="DO67" s="167">
        <f t="shared" si="87"/>
        <v>0</v>
      </c>
      <c r="DP67" s="167">
        <f t="shared" si="88"/>
        <v>0</v>
      </c>
      <c r="DQ67" s="167">
        <f t="shared" si="89"/>
        <v>0</v>
      </c>
      <c r="DR67" s="167">
        <f t="shared" si="90"/>
        <v>0</v>
      </c>
      <c r="DS67" s="167">
        <f t="shared" si="91"/>
        <v>0</v>
      </c>
      <c r="DT67" s="167">
        <f t="shared" si="92"/>
        <v>0</v>
      </c>
      <c r="DU67" s="167">
        <f t="shared" si="93"/>
        <v>0</v>
      </c>
      <c r="DV67" s="167">
        <f t="shared" si="94"/>
        <v>0</v>
      </c>
      <c r="DW67" s="167">
        <f t="shared" si="95"/>
        <v>0</v>
      </c>
      <c r="DX67" s="167">
        <f t="shared" si="96"/>
        <v>0</v>
      </c>
      <c r="DY67" s="167">
        <f t="shared" si="97"/>
        <v>0</v>
      </c>
      <c r="DZ67" s="167">
        <f t="shared" si="98"/>
        <v>0</v>
      </c>
      <c r="EA67" s="167">
        <f t="shared" si="99"/>
        <v>0</v>
      </c>
      <c r="EB67" s="167">
        <f t="shared" si="100"/>
        <v>0</v>
      </c>
      <c r="EC67" s="167">
        <f t="shared" si="101"/>
        <v>0</v>
      </c>
      <c r="ED67" s="167">
        <f t="shared" si="102"/>
        <v>0</v>
      </c>
      <c r="EE67" s="167">
        <f t="shared" si="103"/>
        <v>0</v>
      </c>
      <c r="EF67" s="167">
        <f t="shared" si="104"/>
        <v>0</v>
      </c>
      <c r="EG67" s="167">
        <f t="shared" si="105"/>
        <v>0</v>
      </c>
      <c r="EH67" s="167">
        <f t="shared" si="106"/>
        <v>0</v>
      </c>
      <c r="EI67" s="167">
        <f t="shared" si="107"/>
        <v>0</v>
      </c>
      <c r="EJ67" s="167">
        <f t="shared" si="108"/>
        <v>0</v>
      </c>
      <c r="EK67" s="167">
        <f t="shared" si="109"/>
        <v>0</v>
      </c>
      <c r="EL67" s="167">
        <f t="shared" si="110"/>
        <v>0</v>
      </c>
      <c r="EM67" s="167">
        <f t="shared" si="111"/>
        <v>0</v>
      </c>
      <c r="EN67" s="167">
        <f t="shared" si="112"/>
        <v>0</v>
      </c>
      <c r="EO67" s="167">
        <f t="shared" si="113"/>
        <v>0</v>
      </c>
      <c r="EP67" s="167">
        <f t="shared" si="114"/>
        <v>0</v>
      </c>
      <c r="EQ67" s="167">
        <f t="shared" si="115"/>
        <v>0</v>
      </c>
      <c r="ER67" s="167">
        <f t="shared" si="116"/>
        <v>0</v>
      </c>
      <c r="ES67" s="168"/>
      <c r="ET67" s="169">
        <f t="shared" si="117"/>
        <v>0</v>
      </c>
      <c r="EU67" s="71"/>
      <c r="EV67" s="166">
        <f t="shared" si="118"/>
        <v>6738.5338543350417</v>
      </c>
      <c r="EW67" s="167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7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7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7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7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7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7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7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7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7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7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7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7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7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7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7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7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7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7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7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7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7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7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7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7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7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7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7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7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7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7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7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7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7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7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7">
        <f t="shared" si="119"/>
        <v>0</v>
      </c>
      <c r="GG67" s="167">
        <f t="shared" si="120"/>
        <v>0</v>
      </c>
      <c r="GH67" s="167">
        <f t="shared" si="121"/>
        <v>0</v>
      </c>
      <c r="GI67" s="167">
        <f t="shared" si="122"/>
        <v>0</v>
      </c>
      <c r="GJ67" s="168"/>
      <c r="GK67" s="169">
        <f t="shared" ca="1" si="123"/>
        <v>0</v>
      </c>
    </row>
    <row r="68" spans="1:193">
      <c r="A68" s="388" t="s">
        <v>401</v>
      </c>
      <c r="B68" s="143"/>
      <c r="C68" s="199"/>
      <c r="D68" s="200"/>
      <c r="E68" s="406">
        <f t="shared" si="0"/>
        <v>0</v>
      </c>
      <c r="F68" s="407">
        <f t="shared" si="125"/>
        <v>0</v>
      </c>
      <c r="G68" s="201" t="str">
        <f t="shared" si="124"/>
        <v/>
      </c>
      <c r="H68" s="416">
        <f>IFERROR(+G68*B68*-100,0)</f>
        <v>0</v>
      </c>
      <c r="I68" s="735">
        <f t="shared" si="3"/>
        <v>0</v>
      </c>
      <c r="J68" s="61"/>
      <c r="K68" s="61"/>
      <c r="L68" s="158"/>
      <c r="M68" s="158"/>
      <c r="N68" s="158"/>
      <c r="O68" s="158"/>
      <c r="P68" s="157"/>
      <c r="Q68" s="158"/>
      <c r="R68" s="159"/>
      <c r="S68" s="158"/>
      <c r="T68" s="158"/>
      <c r="U68" s="158"/>
      <c r="V68" s="158"/>
      <c r="W68" s="158"/>
      <c r="X68" s="158"/>
      <c r="Y68" s="158"/>
      <c r="Z68" s="158"/>
      <c r="AA68" s="158"/>
      <c r="AB68" s="157"/>
      <c r="AC68" s="158"/>
      <c r="AD68" s="159"/>
      <c r="AE68" s="165"/>
      <c r="AF68" s="165"/>
      <c r="AG68" s="165"/>
      <c r="AH68" s="165"/>
      <c r="AI68" s="165"/>
      <c r="AJ68" s="165"/>
      <c r="AK68" s="165"/>
      <c r="AL68" s="165"/>
      <c r="AM68" s="165"/>
      <c r="AN68" s="65"/>
      <c r="AO68" s="65"/>
      <c r="AP68" s="65"/>
      <c r="AQ68" s="65"/>
      <c r="AR68" s="65"/>
      <c r="AS68" s="145"/>
      <c r="AT68" s="146" t="s">
        <v>352</v>
      </c>
      <c r="AU68" s="111"/>
      <c r="AV68" s="126"/>
      <c r="AW68" s="127"/>
      <c r="AX68" s="213">
        <f t="shared" si="11"/>
        <v>0</v>
      </c>
      <c r="AY68" s="214">
        <f t="shared" si="12"/>
        <v>0</v>
      </c>
      <c r="AZ68" s="147" t="s">
        <v>402</v>
      </c>
      <c r="BA68" s="111"/>
      <c r="BB68" s="128"/>
      <c r="BC68" s="114"/>
      <c r="BD68" s="215">
        <f t="shared" si="13"/>
        <v>0</v>
      </c>
      <c r="BE68" s="217">
        <f t="shared" si="14"/>
        <v>0</v>
      </c>
      <c r="BF68" s="148" t="s">
        <v>403</v>
      </c>
      <c r="BG68" s="111"/>
      <c r="BH68" s="114"/>
      <c r="BI68" s="218">
        <f t="shared" si="15"/>
        <v>0</v>
      </c>
      <c r="BJ68" s="219">
        <f t="shared" si="16"/>
        <v>0</v>
      </c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71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</row>
    <row r="69" spans="1:193">
      <c r="A69" s="388" t="s">
        <v>401</v>
      </c>
      <c r="B69" s="143"/>
      <c r="C69" s="199"/>
      <c r="D69" s="200"/>
      <c r="E69" s="406">
        <f t="shared" si="0"/>
        <v>0</v>
      </c>
      <c r="F69" s="407">
        <f t="shared" si="125"/>
        <v>0</v>
      </c>
      <c r="G69" s="201" t="str">
        <f t="shared" si="124"/>
        <v/>
      </c>
      <c r="H69" s="416">
        <f>IFERROR(+G69*B69*-100,0)</f>
        <v>0</v>
      </c>
      <c r="I69" s="735">
        <f t="shared" si="3"/>
        <v>0</v>
      </c>
      <c r="J69" s="61"/>
      <c r="K69" s="61"/>
      <c r="L69" s="158"/>
      <c r="M69" s="158"/>
      <c r="N69" s="158"/>
      <c r="O69" s="158"/>
      <c r="P69" s="157"/>
      <c r="Q69" s="158"/>
      <c r="R69" s="159"/>
      <c r="S69" s="158"/>
      <c r="T69" s="158"/>
      <c r="U69" s="158"/>
      <c r="V69" s="158"/>
      <c r="W69" s="158"/>
      <c r="X69" s="158"/>
      <c r="Y69" s="158"/>
      <c r="Z69" s="158"/>
      <c r="AA69" s="158"/>
      <c r="AB69" s="157"/>
      <c r="AC69" s="158"/>
      <c r="AD69" s="159"/>
      <c r="AE69" s="165"/>
      <c r="AF69" s="165"/>
      <c r="AG69" s="165"/>
      <c r="AH69" s="165"/>
      <c r="AI69" s="165"/>
      <c r="AJ69" s="165"/>
      <c r="AK69" s="165"/>
      <c r="AL69" s="165"/>
      <c r="AM69" s="165"/>
      <c r="AN69" s="65"/>
      <c r="AO69" s="65"/>
      <c r="AP69" s="65"/>
      <c r="AQ69" s="65"/>
      <c r="AR69" s="65"/>
      <c r="AS69" s="145"/>
      <c r="AT69" s="146" t="s">
        <v>352</v>
      </c>
      <c r="AU69" s="111"/>
      <c r="AV69" s="126"/>
      <c r="AW69" s="127"/>
      <c r="AX69" s="213">
        <f t="shared" si="11"/>
        <v>0</v>
      </c>
      <c r="AY69" s="214">
        <f t="shared" si="12"/>
        <v>0</v>
      </c>
      <c r="AZ69" s="147" t="s">
        <v>402</v>
      </c>
      <c r="BA69" s="111"/>
      <c r="BB69" s="128"/>
      <c r="BC69" s="114"/>
      <c r="BD69" s="215">
        <f t="shared" si="13"/>
        <v>0</v>
      </c>
      <c r="BE69" s="217">
        <f t="shared" si="14"/>
        <v>0</v>
      </c>
      <c r="BF69" s="148" t="s">
        <v>403</v>
      </c>
      <c r="BG69" s="111"/>
      <c r="BH69" s="114"/>
      <c r="BI69" s="218">
        <f t="shared" si="15"/>
        <v>0</v>
      </c>
      <c r="BJ69" s="219">
        <f t="shared" si="16"/>
        <v>0</v>
      </c>
      <c r="DE69" s="171" t="s">
        <v>349</v>
      </c>
      <c r="DF69" s="172" t="s">
        <v>364</v>
      </c>
      <c r="DG69" s="172" t="s">
        <v>365</v>
      </c>
      <c r="DH69" s="172" t="s">
        <v>366</v>
      </c>
      <c r="DI69" s="172" t="s">
        <v>367</v>
      </c>
      <c r="DJ69" s="172" t="s">
        <v>368</v>
      </c>
      <c r="DK69" s="172" t="s">
        <v>369</v>
      </c>
      <c r="DL69" s="172" t="s">
        <v>370</v>
      </c>
      <c r="DM69" s="172" t="s">
        <v>371</v>
      </c>
      <c r="DN69" s="172" t="s">
        <v>372</v>
      </c>
      <c r="DO69" s="172" t="s">
        <v>373</v>
      </c>
      <c r="DP69" s="172" t="s">
        <v>374</v>
      </c>
      <c r="DQ69" s="172" t="s">
        <v>375</v>
      </c>
      <c r="DR69" s="172" t="s">
        <v>376</v>
      </c>
      <c r="DS69" s="172" t="s">
        <v>377</v>
      </c>
      <c r="DT69" s="172" t="s">
        <v>378</v>
      </c>
      <c r="DU69" s="172" t="s">
        <v>379</v>
      </c>
      <c r="DV69" s="172" t="s">
        <v>380</v>
      </c>
      <c r="DW69" s="173" t="s">
        <v>381</v>
      </c>
      <c r="DX69" s="173" t="s">
        <v>382</v>
      </c>
      <c r="DY69" s="173" t="s">
        <v>383</v>
      </c>
      <c r="DZ69" s="172" t="s">
        <v>384</v>
      </c>
      <c r="EA69" s="172" t="s">
        <v>385</v>
      </c>
      <c r="EB69" s="172" t="s">
        <v>386</v>
      </c>
      <c r="EC69" s="172" t="s">
        <v>387</v>
      </c>
      <c r="ED69" s="172" t="s">
        <v>388</v>
      </c>
      <c r="EE69" s="172" t="s">
        <v>389</v>
      </c>
      <c r="EF69" s="172" t="s">
        <v>390</v>
      </c>
      <c r="EG69" s="172" t="s">
        <v>391</v>
      </c>
      <c r="EH69" s="172" t="s">
        <v>392</v>
      </c>
      <c r="EI69" s="172" t="s">
        <v>393</v>
      </c>
      <c r="EJ69" s="172" t="s">
        <v>394</v>
      </c>
      <c r="EK69" s="172" t="s">
        <v>395</v>
      </c>
      <c r="EL69" s="172" t="s">
        <v>396</v>
      </c>
      <c r="EM69" s="172" t="s">
        <v>397</v>
      </c>
      <c r="EN69" s="172" t="s">
        <v>398</v>
      </c>
      <c r="EO69" s="172" t="s">
        <v>404</v>
      </c>
      <c r="EP69" s="172" t="s">
        <v>405</v>
      </c>
      <c r="EQ69" s="172" t="s">
        <v>406</v>
      </c>
      <c r="ER69" s="172" t="s">
        <v>407</v>
      </c>
      <c r="ES69" s="172" t="s">
        <v>408</v>
      </c>
      <c r="ET69" s="174" t="s">
        <v>399</v>
      </c>
      <c r="EU69" s="71"/>
      <c r="EV69" s="171" t="s">
        <v>349</v>
      </c>
      <c r="EW69" s="172" t="s">
        <v>364</v>
      </c>
      <c r="EX69" s="172" t="s">
        <v>365</v>
      </c>
      <c r="EY69" s="172" t="s">
        <v>366</v>
      </c>
      <c r="EZ69" s="172" t="s">
        <v>367</v>
      </c>
      <c r="FA69" s="172" t="s">
        <v>368</v>
      </c>
      <c r="FB69" s="172" t="s">
        <v>369</v>
      </c>
      <c r="FC69" s="172" t="s">
        <v>370</v>
      </c>
      <c r="FD69" s="172" t="s">
        <v>371</v>
      </c>
      <c r="FE69" s="172" t="s">
        <v>372</v>
      </c>
      <c r="FF69" s="172" t="s">
        <v>373</v>
      </c>
      <c r="FG69" s="172" t="s">
        <v>374</v>
      </c>
      <c r="FH69" s="172" t="s">
        <v>375</v>
      </c>
      <c r="FI69" s="172" t="s">
        <v>376</v>
      </c>
      <c r="FJ69" s="172" t="s">
        <v>377</v>
      </c>
      <c r="FK69" s="172" t="s">
        <v>378</v>
      </c>
      <c r="FL69" s="172" t="s">
        <v>379</v>
      </c>
      <c r="FM69" s="172" t="s">
        <v>380</v>
      </c>
      <c r="FN69" s="173" t="s">
        <v>381</v>
      </c>
      <c r="FO69" s="173" t="s">
        <v>382</v>
      </c>
      <c r="FP69" s="173" t="s">
        <v>383</v>
      </c>
      <c r="FQ69" s="172" t="s">
        <v>384</v>
      </c>
      <c r="FR69" s="172" t="s">
        <v>385</v>
      </c>
      <c r="FS69" s="172" t="s">
        <v>386</v>
      </c>
      <c r="FT69" s="172" t="s">
        <v>387</v>
      </c>
      <c r="FU69" s="172" t="s">
        <v>388</v>
      </c>
      <c r="FV69" s="172" t="s">
        <v>389</v>
      </c>
      <c r="FW69" s="172" t="s">
        <v>390</v>
      </c>
      <c r="FX69" s="172" t="s">
        <v>391</v>
      </c>
      <c r="FY69" s="172" t="s">
        <v>392</v>
      </c>
      <c r="FZ69" s="172" t="s">
        <v>393</v>
      </c>
      <c r="GA69" s="172" t="s">
        <v>394</v>
      </c>
      <c r="GB69" s="172" t="s">
        <v>395</v>
      </c>
      <c r="GC69" s="172" t="s">
        <v>396</v>
      </c>
      <c r="GD69" s="172" t="s">
        <v>397</v>
      </c>
      <c r="GE69" s="172" t="s">
        <v>398</v>
      </c>
      <c r="GF69" s="172" t="s">
        <v>404</v>
      </c>
      <c r="GG69" s="172" t="s">
        <v>405</v>
      </c>
      <c r="GH69" s="172" t="s">
        <v>406</v>
      </c>
      <c r="GI69" s="172" t="s">
        <v>407</v>
      </c>
      <c r="GJ69" s="172" t="s">
        <v>408</v>
      </c>
      <c r="GK69" s="174" t="s">
        <v>399</v>
      </c>
    </row>
    <row r="70" spans="1:193">
      <c r="A70" s="388" t="s">
        <v>401</v>
      </c>
      <c r="B70" s="143"/>
      <c r="C70" s="199"/>
      <c r="D70" s="200"/>
      <c r="E70" s="406">
        <f t="shared" si="0"/>
        <v>0</v>
      </c>
      <c r="F70" s="407">
        <f t="shared" si="125"/>
        <v>0</v>
      </c>
      <c r="G70" s="201" t="str">
        <f t="shared" si="124"/>
        <v/>
      </c>
      <c r="H70" s="416">
        <f>IFERROR(+G70*B70*-100,0)</f>
        <v>0</v>
      </c>
      <c r="I70" s="735">
        <f t="shared" si="3"/>
        <v>0</v>
      </c>
      <c r="J70" s="61"/>
      <c r="K70" s="61"/>
      <c r="L70" s="158"/>
      <c r="M70" s="158"/>
      <c r="N70" s="158"/>
      <c r="O70" s="158"/>
      <c r="P70" s="157"/>
      <c r="Q70" s="158"/>
      <c r="R70" s="159"/>
      <c r="S70" s="158"/>
      <c r="T70" s="158"/>
      <c r="U70" s="158"/>
      <c r="V70" s="158"/>
      <c r="W70" s="158"/>
      <c r="X70" s="158"/>
      <c r="Y70" s="158"/>
      <c r="Z70" s="158"/>
      <c r="AA70" s="158"/>
      <c r="AB70" s="157"/>
      <c r="AC70" s="165"/>
      <c r="AD70" s="175"/>
      <c r="AE70" s="165"/>
      <c r="AF70" s="165"/>
      <c r="AG70" s="165"/>
      <c r="AH70" s="165"/>
      <c r="AI70" s="165"/>
      <c r="AJ70" s="165"/>
      <c r="AK70" s="165"/>
      <c r="AL70" s="165"/>
      <c r="AM70" s="165"/>
      <c r="AN70" s="65"/>
      <c r="AO70" s="65"/>
      <c r="AP70" s="65"/>
      <c r="AQ70" s="65"/>
      <c r="AR70" s="65"/>
      <c r="AS70" s="145"/>
      <c r="AT70" s="146" t="s">
        <v>352</v>
      </c>
      <c r="AU70" s="111"/>
      <c r="AV70" s="126"/>
      <c r="AW70" s="127"/>
      <c r="AX70" s="213">
        <f t="shared" si="11"/>
        <v>0</v>
      </c>
      <c r="AY70" s="214">
        <f t="shared" si="12"/>
        <v>0</v>
      </c>
      <c r="AZ70" s="147" t="s">
        <v>402</v>
      </c>
      <c r="BA70" s="111"/>
      <c r="BB70" s="128"/>
      <c r="BC70" s="114"/>
      <c r="BD70" s="215">
        <f t="shared" si="13"/>
        <v>0</v>
      </c>
      <c r="BE70" s="217">
        <f t="shared" si="14"/>
        <v>0</v>
      </c>
      <c r="BF70" s="148" t="s">
        <v>403</v>
      </c>
      <c r="BG70" s="111"/>
      <c r="BH70" s="114"/>
      <c r="BI70" s="218">
        <f t="shared" si="15"/>
        <v>0</v>
      </c>
      <c r="BJ70" s="219">
        <f t="shared" si="16"/>
        <v>0</v>
      </c>
      <c r="DE70" s="116">
        <f t="shared" ref="DE70:DE101" si="126">DE3</f>
        <v>1430.1800275031574</v>
      </c>
      <c r="DF70" s="117">
        <f t="shared" ref="DF70:DF101" si="127">IF($DE70&gt;$R$3,$Q$3*100*($DE70-$R$3),0)</f>
        <v>0</v>
      </c>
      <c r="DG70" s="117">
        <f t="shared" ref="DG70:DG101" si="128">IF($DE70&gt;$R$4,$Q$4*100*($DE70-$R$4),0)</f>
        <v>0</v>
      </c>
      <c r="DH70" s="117">
        <f t="shared" ref="DH70:DH101" si="129">IF($DE70&gt;$R$5,$Q$5*100*($DE70-$R$5),0)</f>
        <v>0</v>
      </c>
      <c r="DI70" s="117">
        <f t="shared" ref="DI70:DI101" si="130">IF($DE70&gt;$R$6,$Q$6*100*($DE70-$R$6),0)</f>
        <v>0</v>
      </c>
      <c r="DJ70" s="117">
        <f t="shared" ref="DJ70:DJ101" si="131">IF($DE70&gt;$R$7,$Q$7*100*($DE70-$R$7),0)</f>
        <v>0</v>
      </c>
      <c r="DK70" s="117">
        <f t="shared" ref="DK70:DK101" si="132">IF($DE70&gt;$R$8,$Q$8*100*($DE70-$R$8),0)</f>
        <v>0</v>
      </c>
      <c r="DL70" s="117">
        <f t="shared" ref="DL70:DL101" si="133">IF($DE70&gt;$R$9,$Q$9*100*($DE70-$R$9),0)</f>
        <v>0</v>
      </c>
      <c r="DM70" s="117">
        <f t="shared" ref="DM70:DM101" si="134">IF($DE70&gt;$R$10,$Q$10*100*($DE70-$R$10),0)</f>
        <v>0</v>
      </c>
      <c r="DN70" s="117">
        <f t="shared" ref="DN70:DN101" si="135">IF($DE70&gt;$R$11,$Q$11*100*($DE70-$R$11),0)</f>
        <v>0</v>
      </c>
      <c r="DO70" s="117">
        <f t="shared" ref="DO70:DO101" si="136">IF($DE70&gt;$R$12,$Q$12*100*($DE70-$R$12),0)</f>
        <v>0</v>
      </c>
      <c r="DP70" s="117">
        <f t="shared" ref="DP70:DP101" si="137">IF($DE70&gt;$R$13,$Q$13*100*($DE70-$R$13),0)</f>
        <v>0</v>
      </c>
      <c r="DQ70" s="117">
        <f t="shared" ref="DQ70:DQ101" si="138">IF($DE70&gt;$R$14,$Q$14*100*($DE70-$R$14),0)</f>
        <v>0</v>
      </c>
      <c r="DR70" s="117">
        <f t="shared" ref="DR70:DR101" si="139">IF($DE70&gt;$R$15,$Q$15*100*($DE70-$R$15),0)</f>
        <v>0</v>
      </c>
      <c r="DS70" s="117">
        <f t="shared" ref="DS70:DS101" si="140">IF($DE70&gt;$R$16,$Q$16*100*($DE70-$R$16),0)</f>
        <v>0</v>
      </c>
      <c r="DT70" s="117">
        <f t="shared" ref="DT70:DT101" si="141">IF($DE70&gt;$R$17,$Q$17*100*($DE70-$R$17),0)</f>
        <v>0</v>
      </c>
      <c r="DU70" s="117">
        <f t="shared" ref="DU70:DU101" si="142">IF($DE70&gt;$R$18,$Q$18*100*($DE70-$R$18),0)</f>
        <v>0</v>
      </c>
      <c r="DV70" s="117">
        <f t="shared" ref="DV70:DV101" si="143">IF($DE70&gt;$R$19,$Q$19*100*($DE70-$R$19),0)</f>
        <v>0</v>
      </c>
      <c r="DW70" s="117">
        <f t="shared" ref="DW70:DW101" si="144">IF($DE70&gt;$R$20,$Q$20*100*($DE70-$R$20),0)</f>
        <v>0</v>
      </c>
      <c r="DX70" s="117">
        <f t="shared" ref="DX70:DX101" si="145">IF($DE70&gt;$R$21,$Q$21*100*($DE70-$R$21),0)</f>
        <v>0</v>
      </c>
      <c r="DY70" s="117">
        <f t="shared" ref="DY70:DY101" si="146">IF($DE70&gt;$R$22,$Q$22*100*($DE70-$R$22),0)</f>
        <v>0</v>
      </c>
      <c r="DZ70" s="117">
        <f t="shared" ref="DZ70:DZ101" si="147">IF($DE70&gt;$R$23,$Q$23*100*($DE70-$R$23),0)</f>
        <v>0</v>
      </c>
      <c r="EA70" s="117">
        <f t="shared" ref="EA70:EA101" si="148">IF($DE70&gt;$R$24,$Q$24*100*($DE70-$R$24),0)</f>
        <v>0</v>
      </c>
      <c r="EB70" s="117">
        <f t="shared" ref="EB70:EB101" si="149">IF($DE70&gt;$R$25,$Q$25*100*($DE70-$R$25),0)</f>
        <v>0</v>
      </c>
      <c r="EC70" s="117">
        <f t="shared" ref="EC70:EC101" si="150">IF($DE70&gt;$R$26,$Q$26*100*($DE70-$R$26),0)</f>
        <v>0</v>
      </c>
      <c r="ED70" s="117">
        <f t="shared" ref="ED70:ED101" si="151">IF($DE70&gt;$R$27,$Q$27*100*($DE70-$R$27),0)</f>
        <v>0</v>
      </c>
      <c r="EE70" s="117">
        <f t="shared" ref="EE70:EE101" si="152">IF($DE70&gt;$R$28,$Q$28*100*($DE70-$R$28),0)</f>
        <v>0</v>
      </c>
      <c r="EF70" s="117">
        <f t="shared" ref="EF70:EF101" si="153">IF($DE70&gt;$R$29,$Q$29*100*($DE70-$R$29),0)</f>
        <v>0</v>
      </c>
      <c r="EG70" s="117">
        <f t="shared" ref="EG70:EG101" si="154">IF($DE70&gt;$R$30,$Q$30*100*($DE70-$R$30),0)</f>
        <v>0</v>
      </c>
      <c r="EH70" s="117">
        <f t="shared" ref="EH70:EH101" si="155">IF($DE70&gt;$R$31,$Q$31*100*($DE70-$R$31),0)</f>
        <v>0</v>
      </c>
      <c r="EI70" s="117">
        <f t="shared" ref="EI70:EI101" si="156">IF($DE70&gt;$R$32,$Q$32*100*($DE70-$R$32),0)</f>
        <v>0</v>
      </c>
      <c r="EJ70" s="117">
        <f t="shared" ref="EJ70:EJ101" si="157">IF($DE70&gt;$R$33,$Q$33*100*($DE70-$R$33),0)</f>
        <v>0</v>
      </c>
      <c r="EK70" s="117">
        <f t="shared" ref="EK70:EK101" si="158">IF($DE70&gt;$R$34,$Q$34*100*($DE70-$R$34),0)</f>
        <v>0</v>
      </c>
      <c r="EL70" s="117">
        <f t="shared" ref="EL70:EL101" si="159">IF($DE70&gt;$R$35,$Q$35*100*($DE70-$R$35),0)</f>
        <v>0</v>
      </c>
      <c r="EM70" s="117">
        <f t="shared" ref="EM70:EM101" si="160">IF($DE70&gt;$R$36,$Q$36*100*($DE70-$R$36),0)</f>
        <v>0</v>
      </c>
      <c r="EN70" s="117">
        <f t="shared" ref="EN70:EN101" si="161">IF($DE70&gt;$R$37,$Q$37*100*($DE70-$R$37),0)</f>
        <v>0</v>
      </c>
      <c r="EO70" s="117">
        <f t="shared" ref="EO70:EO101" si="162">IF($DE70&gt;$R$38,$Q$38*100*($DE70-$R$38),0)</f>
        <v>0</v>
      </c>
      <c r="EP70" s="117">
        <f t="shared" ref="EP70:EP101" si="163">IF($DE70&gt;$R$39,$Q$39*100*($DE70-$R$39),0)</f>
        <v>0</v>
      </c>
      <c r="EQ70" s="117">
        <f t="shared" ref="EQ70:EQ101" si="164">IF($DE70&gt;$R$40,$Q$40*100*($DE70-$R$40),0)</f>
        <v>0</v>
      </c>
      <c r="ER70" s="117">
        <f t="shared" ref="ER70:ER101" si="165">IF($DE70&gt;$R$41,$Q$41*100*($DE70-$R$41),0)</f>
        <v>0</v>
      </c>
      <c r="ES70" s="117">
        <f t="shared" ref="ES70:ES101" si="166">IF($DE70&gt;$R$42,$Q$42*100*($DE70-$R$42),0)</f>
        <v>0</v>
      </c>
      <c r="ET70" s="176">
        <f t="shared" ref="ET70:ET101" si="167">SUM(DF70:ES70)</f>
        <v>0</v>
      </c>
      <c r="EU70" s="71"/>
      <c r="EV70" s="116">
        <f t="shared" ref="EV70:EV101" si="168">EV3</f>
        <v>1430.1800275031574</v>
      </c>
      <c r="EW70" s="117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7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7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7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7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7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7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7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7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7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7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7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7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7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7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7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7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7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7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7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7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7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7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7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7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7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7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7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7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7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7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7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7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7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7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7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7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7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7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7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6">
        <f t="shared" ref="GK70:GK101" ca="1" si="169">SUM(EW70:GJ70)</f>
        <v>0</v>
      </c>
    </row>
    <row r="71" spans="1:193">
      <c r="A71" s="388" t="s">
        <v>401</v>
      </c>
      <c r="B71" s="143"/>
      <c r="C71" s="199"/>
      <c r="D71" s="200"/>
      <c r="E71" s="406">
        <f t="shared" si="0"/>
        <v>0</v>
      </c>
      <c r="F71" s="407">
        <f t="shared" si="125"/>
        <v>0</v>
      </c>
      <c r="G71" s="201" t="str">
        <f t="shared" si="124"/>
        <v/>
      </c>
      <c r="H71" s="416">
        <f>IFERROR(+G71*B71*-100,0)</f>
        <v>0</v>
      </c>
      <c r="I71" s="735">
        <f t="shared" si="3"/>
        <v>0</v>
      </c>
      <c r="J71" s="61"/>
      <c r="K71" s="61"/>
      <c r="L71" s="158"/>
      <c r="M71" s="158"/>
      <c r="N71" s="158"/>
      <c r="O71" s="158"/>
      <c r="P71" s="157"/>
      <c r="Q71" s="158"/>
      <c r="R71" s="159"/>
      <c r="S71" s="158"/>
      <c r="T71" s="158"/>
      <c r="U71" s="158"/>
      <c r="V71" s="158"/>
      <c r="W71" s="158"/>
      <c r="X71" s="158"/>
      <c r="Y71" s="158"/>
      <c r="Z71" s="158"/>
      <c r="AA71" s="158"/>
      <c r="AB71" s="157"/>
      <c r="AC71" s="158"/>
      <c r="AD71" s="159"/>
      <c r="AE71" s="158"/>
      <c r="AF71" s="158"/>
      <c r="AG71" s="158"/>
      <c r="AH71" s="158"/>
      <c r="AI71" s="158"/>
      <c r="AJ71" s="158"/>
      <c r="AK71" s="158"/>
      <c r="AL71" s="158"/>
      <c r="AM71" s="158"/>
      <c r="AN71" s="61"/>
      <c r="AO71" s="61"/>
      <c r="AP71" s="61"/>
      <c r="AQ71" s="61"/>
      <c r="AR71" s="61"/>
      <c r="AS71" s="145"/>
      <c r="AT71" s="146" t="s">
        <v>352</v>
      </c>
      <c r="AU71" s="111"/>
      <c r="AV71" s="126"/>
      <c r="AW71" s="127"/>
      <c r="AX71" s="213">
        <f t="shared" si="11"/>
        <v>0</v>
      </c>
      <c r="AY71" s="214">
        <f t="shared" si="12"/>
        <v>0</v>
      </c>
      <c r="AZ71" s="147" t="s">
        <v>402</v>
      </c>
      <c r="BA71" s="111"/>
      <c r="BB71" s="128"/>
      <c r="BC71" s="114"/>
      <c r="BD71" s="215">
        <f t="shared" si="13"/>
        <v>0</v>
      </c>
      <c r="BE71" s="217">
        <f t="shared" si="14"/>
        <v>0</v>
      </c>
      <c r="BF71" s="148" t="s">
        <v>403</v>
      </c>
      <c r="BG71" s="111"/>
      <c r="BH71" s="114"/>
      <c r="BI71" s="218">
        <f t="shared" si="15"/>
        <v>0</v>
      </c>
      <c r="BJ71" s="219">
        <f t="shared" si="16"/>
        <v>0</v>
      </c>
      <c r="DE71" s="116">
        <f t="shared" si="126"/>
        <v>1505.4526605296394</v>
      </c>
      <c r="DF71" s="117">
        <f t="shared" si="127"/>
        <v>0</v>
      </c>
      <c r="DG71" s="117">
        <f t="shared" si="128"/>
        <v>0</v>
      </c>
      <c r="DH71" s="117">
        <f t="shared" si="129"/>
        <v>0</v>
      </c>
      <c r="DI71" s="117">
        <f t="shared" si="130"/>
        <v>0</v>
      </c>
      <c r="DJ71" s="117">
        <f t="shared" si="131"/>
        <v>0</v>
      </c>
      <c r="DK71" s="117">
        <f t="shared" si="132"/>
        <v>0</v>
      </c>
      <c r="DL71" s="117">
        <f t="shared" si="133"/>
        <v>0</v>
      </c>
      <c r="DM71" s="117">
        <f t="shared" si="134"/>
        <v>0</v>
      </c>
      <c r="DN71" s="117">
        <f t="shared" si="135"/>
        <v>0</v>
      </c>
      <c r="DO71" s="117">
        <f t="shared" si="136"/>
        <v>0</v>
      </c>
      <c r="DP71" s="117">
        <f t="shared" si="137"/>
        <v>0</v>
      </c>
      <c r="DQ71" s="117">
        <f t="shared" si="138"/>
        <v>0</v>
      </c>
      <c r="DR71" s="117">
        <f t="shared" si="139"/>
        <v>0</v>
      </c>
      <c r="DS71" s="117">
        <f t="shared" si="140"/>
        <v>0</v>
      </c>
      <c r="DT71" s="117">
        <f t="shared" si="141"/>
        <v>0</v>
      </c>
      <c r="DU71" s="117">
        <f t="shared" si="142"/>
        <v>0</v>
      </c>
      <c r="DV71" s="117">
        <f t="shared" si="143"/>
        <v>0</v>
      </c>
      <c r="DW71" s="117">
        <f t="shared" si="144"/>
        <v>0</v>
      </c>
      <c r="DX71" s="117">
        <f t="shared" si="145"/>
        <v>0</v>
      </c>
      <c r="DY71" s="117">
        <f t="shared" si="146"/>
        <v>0</v>
      </c>
      <c r="DZ71" s="117">
        <f t="shared" si="147"/>
        <v>0</v>
      </c>
      <c r="EA71" s="117">
        <f t="shared" si="148"/>
        <v>0</v>
      </c>
      <c r="EB71" s="117">
        <f t="shared" si="149"/>
        <v>0</v>
      </c>
      <c r="EC71" s="117">
        <f t="shared" si="150"/>
        <v>0</v>
      </c>
      <c r="ED71" s="117">
        <f t="shared" si="151"/>
        <v>0</v>
      </c>
      <c r="EE71" s="117">
        <f t="shared" si="152"/>
        <v>0</v>
      </c>
      <c r="EF71" s="117">
        <f t="shared" si="153"/>
        <v>0</v>
      </c>
      <c r="EG71" s="117">
        <f t="shared" si="154"/>
        <v>0</v>
      </c>
      <c r="EH71" s="117">
        <f t="shared" si="155"/>
        <v>0</v>
      </c>
      <c r="EI71" s="117">
        <f t="shared" si="156"/>
        <v>0</v>
      </c>
      <c r="EJ71" s="117">
        <f t="shared" si="157"/>
        <v>0</v>
      </c>
      <c r="EK71" s="117">
        <f t="shared" si="158"/>
        <v>0</v>
      </c>
      <c r="EL71" s="117">
        <f t="shared" si="159"/>
        <v>0</v>
      </c>
      <c r="EM71" s="117">
        <f t="shared" si="160"/>
        <v>0</v>
      </c>
      <c r="EN71" s="117">
        <f t="shared" si="161"/>
        <v>0</v>
      </c>
      <c r="EO71" s="117">
        <f t="shared" si="162"/>
        <v>0</v>
      </c>
      <c r="EP71" s="117">
        <f t="shared" si="163"/>
        <v>0</v>
      </c>
      <c r="EQ71" s="117">
        <f t="shared" si="164"/>
        <v>0</v>
      </c>
      <c r="ER71" s="117">
        <f t="shared" si="165"/>
        <v>0</v>
      </c>
      <c r="ES71" s="117">
        <f t="shared" si="166"/>
        <v>0</v>
      </c>
      <c r="ET71" s="176">
        <f t="shared" si="167"/>
        <v>0</v>
      </c>
      <c r="EU71" s="71"/>
      <c r="EV71" s="116">
        <f t="shared" si="168"/>
        <v>1505.4526605296394</v>
      </c>
      <c r="EW71" s="117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7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7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7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7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7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7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7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7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7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7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7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7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7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7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7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7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7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7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7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7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7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7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7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7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7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7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7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7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7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7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7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7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7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7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7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7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7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7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7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6">
        <f t="shared" ca="1" si="169"/>
        <v>0</v>
      </c>
    </row>
    <row r="72" spans="1:193" ht="13.5" thickBot="1">
      <c r="A72" s="388" t="s">
        <v>401</v>
      </c>
      <c r="B72" s="177"/>
      <c r="C72" s="206"/>
      <c r="D72" s="207"/>
      <c r="E72" s="408">
        <f t="shared" si="0"/>
        <v>0</v>
      </c>
      <c r="F72" s="409">
        <f t="shared" si="125"/>
        <v>0</v>
      </c>
      <c r="G72" s="205" t="str">
        <f t="shared" si="124"/>
        <v/>
      </c>
      <c r="H72" s="417">
        <f>IFERROR(+G72*B72*-100,0)</f>
        <v>0</v>
      </c>
      <c r="I72" s="736">
        <f t="shared" si="3"/>
        <v>0</v>
      </c>
      <c r="J72" s="61"/>
      <c r="K72" s="61"/>
      <c r="L72" s="158"/>
      <c r="M72" s="158"/>
      <c r="N72" s="158"/>
      <c r="O72" s="158"/>
      <c r="P72" s="157"/>
      <c r="Q72" s="158"/>
      <c r="R72" s="159"/>
      <c r="S72" s="158"/>
      <c r="T72" s="158"/>
      <c r="U72" s="158"/>
      <c r="V72" s="158"/>
      <c r="W72" s="158"/>
      <c r="X72" s="158"/>
      <c r="Y72" s="158"/>
      <c r="Z72" s="158"/>
      <c r="AA72" s="158"/>
      <c r="AB72" s="157"/>
      <c r="AC72" s="158"/>
      <c r="AD72" s="159"/>
      <c r="AE72" s="158"/>
      <c r="AF72" s="158"/>
      <c r="AG72" s="158"/>
      <c r="AH72" s="158"/>
      <c r="AI72" s="158"/>
      <c r="AJ72" s="158"/>
      <c r="AK72" s="158"/>
      <c r="AL72" s="158"/>
      <c r="AM72" s="158"/>
      <c r="AN72" s="61"/>
      <c r="AO72" s="61"/>
      <c r="AP72" s="61"/>
      <c r="AQ72" s="61"/>
      <c r="AR72" s="61"/>
      <c r="AS72" s="145"/>
      <c r="AT72" s="146" t="s">
        <v>352</v>
      </c>
      <c r="AU72" s="111"/>
      <c r="AV72" s="126"/>
      <c r="AW72" s="127"/>
      <c r="AX72" s="213">
        <f t="shared" si="11"/>
        <v>0</v>
      </c>
      <c r="AY72" s="214">
        <f t="shared" si="12"/>
        <v>0</v>
      </c>
      <c r="AZ72" s="147" t="s">
        <v>402</v>
      </c>
      <c r="BA72" s="111"/>
      <c r="BB72" s="128"/>
      <c r="BC72" s="114"/>
      <c r="BD72" s="215">
        <f t="shared" si="13"/>
        <v>0</v>
      </c>
      <c r="BE72" s="217">
        <f t="shared" si="14"/>
        <v>0</v>
      </c>
      <c r="BF72" s="148" t="s">
        <v>403</v>
      </c>
      <c r="BG72" s="111"/>
      <c r="BH72" s="114"/>
      <c r="BI72" s="218">
        <f t="shared" si="15"/>
        <v>0</v>
      </c>
      <c r="BJ72" s="219">
        <f t="shared" si="16"/>
        <v>0</v>
      </c>
      <c r="DE72" s="116">
        <f t="shared" si="126"/>
        <v>1584.6870110838311</v>
      </c>
      <c r="DF72" s="117">
        <f t="shared" si="127"/>
        <v>0</v>
      </c>
      <c r="DG72" s="117">
        <f t="shared" si="128"/>
        <v>0</v>
      </c>
      <c r="DH72" s="117">
        <f t="shared" si="129"/>
        <v>0</v>
      </c>
      <c r="DI72" s="117">
        <f t="shared" si="130"/>
        <v>0</v>
      </c>
      <c r="DJ72" s="117">
        <f t="shared" si="131"/>
        <v>0</v>
      </c>
      <c r="DK72" s="117">
        <f t="shared" si="132"/>
        <v>0</v>
      </c>
      <c r="DL72" s="117">
        <f t="shared" si="133"/>
        <v>0</v>
      </c>
      <c r="DM72" s="117">
        <f t="shared" si="134"/>
        <v>0</v>
      </c>
      <c r="DN72" s="117">
        <f t="shared" si="135"/>
        <v>0</v>
      </c>
      <c r="DO72" s="117">
        <f t="shared" si="136"/>
        <v>0</v>
      </c>
      <c r="DP72" s="117">
        <f t="shared" si="137"/>
        <v>0</v>
      </c>
      <c r="DQ72" s="117">
        <f t="shared" si="138"/>
        <v>0</v>
      </c>
      <c r="DR72" s="117">
        <f t="shared" si="139"/>
        <v>0</v>
      </c>
      <c r="DS72" s="117">
        <f t="shared" si="140"/>
        <v>0</v>
      </c>
      <c r="DT72" s="117">
        <f t="shared" si="141"/>
        <v>0</v>
      </c>
      <c r="DU72" s="117">
        <f t="shared" si="142"/>
        <v>0</v>
      </c>
      <c r="DV72" s="117">
        <f t="shared" si="143"/>
        <v>0</v>
      </c>
      <c r="DW72" s="117">
        <f t="shared" si="144"/>
        <v>0</v>
      </c>
      <c r="DX72" s="117">
        <f t="shared" si="145"/>
        <v>0</v>
      </c>
      <c r="DY72" s="117">
        <f t="shared" si="146"/>
        <v>0</v>
      </c>
      <c r="DZ72" s="117">
        <f t="shared" si="147"/>
        <v>0</v>
      </c>
      <c r="EA72" s="117">
        <f t="shared" si="148"/>
        <v>0</v>
      </c>
      <c r="EB72" s="117">
        <f t="shared" si="149"/>
        <v>0</v>
      </c>
      <c r="EC72" s="117">
        <f t="shared" si="150"/>
        <v>0</v>
      </c>
      <c r="ED72" s="117">
        <f t="shared" si="151"/>
        <v>0</v>
      </c>
      <c r="EE72" s="117">
        <f t="shared" si="152"/>
        <v>0</v>
      </c>
      <c r="EF72" s="117">
        <f t="shared" si="153"/>
        <v>0</v>
      </c>
      <c r="EG72" s="117">
        <f t="shared" si="154"/>
        <v>0</v>
      </c>
      <c r="EH72" s="117">
        <f t="shared" si="155"/>
        <v>0</v>
      </c>
      <c r="EI72" s="117">
        <f t="shared" si="156"/>
        <v>0</v>
      </c>
      <c r="EJ72" s="117">
        <f t="shared" si="157"/>
        <v>0</v>
      </c>
      <c r="EK72" s="117">
        <f t="shared" si="158"/>
        <v>0</v>
      </c>
      <c r="EL72" s="117">
        <f t="shared" si="159"/>
        <v>0</v>
      </c>
      <c r="EM72" s="117">
        <f t="shared" si="160"/>
        <v>0</v>
      </c>
      <c r="EN72" s="117">
        <f t="shared" si="161"/>
        <v>0</v>
      </c>
      <c r="EO72" s="117">
        <f t="shared" si="162"/>
        <v>0</v>
      </c>
      <c r="EP72" s="117">
        <f t="shared" si="163"/>
        <v>0</v>
      </c>
      <c r="EQ72" s="117">
        <f t="shared" si="164"/>
        <v>0</v>
      </c>
      <c r="ER72" s="117">
        <f t="shared" si="165"/>
        <v>0</v>
      </c>
      <c r="ES72" s="117">
        <f t="shared" si="166"/>
        <v>0</v>
      </c>
      <c r="ET72" s="176">
        <f t="shared" si="167"/>
        <v>0</v>
      </c>
      <c r="EU72" s="71"/>
      <c r="EV72" s="116">
        <f t="shared" si="168"/>
        <v>1584.6870110838311</v>
      </c>
      <c r="EW72" s="117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7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7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7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7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7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7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7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7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7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7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7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7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7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7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7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7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7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7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7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7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7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7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7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7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7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7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7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7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7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7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7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7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7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7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7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7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7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7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7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6">
        <f t="shared" ca="1" si="169"/>
        <v>0</v>
      </c>
    </row>
    <row r="73" spans="1:193">
      <c r="A73" s="849" t="s">
        <v>403</v>
      </c>
      <c r="B73" s="178"/>
      <c r="C73" s="179"/>
      <c r="D73" s="180"/>
      <c r="E73" s="410">
        <f>-C73*B73</f>
        <v>0</v>
      </c>
      <c r="F73" s="411">
        <f>IF(B73&gt;0,-C73*(1+($N$52+0.0008)*1.21)*B73,-C73*(1-($N$52+0.0008)*1.21)*B73)</f>
        <v>0</v>
      </c>
      <c r="G73" s="209">
        <f>B76</f>
        <v>3087</v>
      </c>
      <c r="H73" s="418">
        <f>-G73*B73</f>
        <v>0</v>
      </c>
      <c r="I73" s="737">
        <f>F73-H73</f>
        <v>0</v>
      </c>
      <c r="J73" s="61"/>
      <c r="K73" s="158"/>
      <c r="L73" s="158"/>
      <c r="M73" s="158"/>
      <c r="N73" s="158"/>
      <c r="O73" s="158"/>
      <c r="P73" s="157"/>
      <c r="Q73" s="158"/>
      <c r="R73" s="159"/>
      <c r="S73" s="158"/>
      <c r="T73" s="158"/>
      <c r="U73" s="158"/>
      <c r="V73" s="158"/>
      <c r="W73" s="158"/>
      <c r="X73" s="158"/>
      <c r="Y73" s="158"/>
      <c r="Z73" s="158"/>
      <c r="AA73" s="158"/>
      <c r="AB73" s="157"/>
      <c r="AC73" s="158"/>
      <c r="AD73" s="159"/>
      <c r="AE73" s="158"/>
      <c r="AF73" s="158"/>
      <c r="AG73" s="158"/>
      <c r="AH73" s="158"/>
      <c r="AI73" s="158"/>
      <c r="AJ73" s="158"/>
      <c r="AK73" s="158"/>
      <c r="AL73" s="158"/>
      <c r="AM73" s="158"/>
      <c r="AN73" s="61"/>
      <c r="AO73" s="61"/>
      <c r="AP73" s="61"/>
      <c r="AQ73" s="61"/>
      <c r="AR73" s="61"/>
      <c r="AS73" s="145"/>
      <c r="AT73" s="146" t="s">
        <v>352</v>
      </c>
      <c r="AU73" s="111"/>
      <c r="AV73" s="126"/>
      <c r="AW73" s="127"/>
      <c r="AX73" s="213">
        <f t="shared" si="11"/>
        <v>0</v>
      </c>
      <c r="AY73" s="214">
        <f t="shared" si="12"/>
        <v>0</v>
      </c>
      <c r="AZ73" s="147" t="s">
        <v>402</v>
      </c>
      <c r="BA73" s="111"/>
      <c r="BB73" s="128"/>
      <c r="BC73" s="114"/>
      <c r="BD73" s="215">
        <f t="shared" si="13"/>
        <v>0</v>
      </c>
      <c r="BE73" s="217">
        <f t="shared" si="14"/>
        <v>0</v>
      </c>
      <c r="BF73" s="148" t="s">
        <v>403</v>
      </c>
      <c r="BG73" s="111"/>
      <c r="BH73" s="114"/>
      <c r="BI73" s="218">
        <f t="shared" si="15"/>
        <v>0</v>
      </c>
      <c r="BJ73" s="219">
        <f t="shared" si="16"/>
        <v>0</v>
      </c>
      <c r="DE73" s="116">
        <f t="shared" si="126"/>
        <v>1668.0915906145592</v>
      </c>
      <c r="DF73" s="117">
        <f t="shared" si="127"/>
        <v>0</v>
      </c>
      <c r="DG73" s="117">
        <f t="shared" si="128"/>
        <v>0</v>
      </c>
      <c r="DH73" s="117">
        <f t="shared" si="129"/>
        <v>0</v>
      </c>
      <c r="DI73" s="117">
        <f t="shared" si="130"/>
        <v>0</v>
      </c>
      <c r="DJ73" s="117">
        <f t="shared" si="131"/>
        <v>0</v>
      </c>
      <c r="DK73" s="117">
        <f t="shared" si="132"/>
        <v>0</v>
      </c>
      <c r="DL73" s="117">
        <f t="shared" si="133"/>
        <v>0</v>
      </c>
      <c r="DM73" s="117">
        <f t="shared" si="134"/>
        <v>0</v>
      </c>
      <c r="DN73" s="117">
        <f t="shared" si="135"/>
        <v>0</v>
      </c>
      <c r="DO73" s="117">
        <f t="shared" si="136"/>
        <v>0</v>
      </c>
      <c r="DP73" s="117">
        <f t="shared" si="137"/>
        <v>0</v>
      </c>
      <c r="DQ73" s="117">
        <f t="shared" si="138"/>
        <v>0</v>
      </c>
      <c r="DR73" s="117">
        <f t="shared" si="139"/>
        <v>0</v>
      </c>
      <c r="DS73" s="117">
        <f t="shared" si="140"/>
        <v>0</v>
      </c>
      <c r="DT73" s="117">
        <f t="shared" si="141"/>
        <v>0</v>
      </c>
      <c r="DU73" s="117">
        <f t="shared" si="142"/>
        <v>0</v>
      </c>
      <c r="DV73" s="117">
        <f t="shared" si="143"/>
        <v>0</v>
      </c>
      <c r="DW73" s="117">
        <f t="shared" si="144"/>
        <v>0</v>
      </c>
      <c r="DX73" s="117">
        <f t="shared" si="145"/>
        <v>0</v>
      </c>
      <c r="DY73" s="117">
        <f t="shared" si="146"/>
        <v>0</v>
      </c>
      <c r="DZ73" s="117">
        <f t="shared" si="147"/>
        <v>0</v>
      </c>
      <c r="EA73" s="117">
        <f t="shared" si="148"/>
        <v>0</v>
      </c>
      <c r="EB73" s="117">
        <f t="shared" si="149"/>
        <v>0</v>
      </c>
      <c r="EC73" s="117">
        <f t="shared" si="150"/>
        <v>0</v>
      </c>
      <c r="ED73" s="117">
        <f t="shared" si="151"/>
        <v>0</v>
      </c>
      <c r="EE73" s="117">
        <f t="shared" si="152"/>
        <v>0</v>
      </c>
      <c r="EF73" s="117">
        <f t="shared" si="153"/>
        <v>0</v>
      </c>
      <c r="EG73" s="117">
        <f t="shared" si="154"/>
        <v>0</v>
      </c>
      <c r="EH73" s="117">
        <f t="shared" si="155"/>
        <v>0</v>
      </c>
      <c r="EI73" s="117">
        <f t="shared" si="156"/>
        <v>0</v>
      </c>
      <c r="EJ73" s="117">
        <f t="shared" si="157"/>
        <v>0</v>
      </c>
      <c r="EK73" s="117">
        <f t="shared" si="158"/>
        <v>0</v>
      </c>
      <c r="EL73" s="117">
        <f t="shared" si="159"/>
        <v>0</v>
      </c>
      <c r="EM73" s="117">
        <f t="shared" si="160"/>
        <v>0</v>
      </c>
      <c r="EN73" s="117">
        <f t="shared" si="161"/>
        <v>0</v>
      </c>
      <c r="EO73" s="117">
        <f t="shared" si="162"/>
        <v>0</v>
      </c>
      <c r="EP73" s="117">
        <f t="shared" si="163"/>
        <v>0</v>
      </c>
      <c r="EQ73" s="117">
        <f t="shared" si="164"/>
        <v>0</v>
      </c>
      <c r="ER73" s="117">
        <f t="shared" si="165"/>
        <v>0</v>
      </c>
      <c r="ES73" s="117">
        <f t="shared" si="166"/>
        <v>0</v>
      </c>
      <c r="ET73" s="176">
        <f t="shared" si="167"/>
        <v>0</v>
      </c>
      <c r="EU73" s="71"/>
      <c r="EV73" s="116">
        <f t="shared" si="168"/>
        <v>1668.0915906145592</v>
      </c>
      <c r="EW73" s="117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7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7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7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7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7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7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7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7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7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7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7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7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7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7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7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7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7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7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7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7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7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7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7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7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7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7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7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7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7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7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7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7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7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7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7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7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7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7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7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6">
        <f t="shared" ca="1" si="169"/>
        <v>0</v>
      </c>
    </row>
    <row r="74" spans="1:193">
      <c r="A74" s="850"/>
      <c r="B74" s="143"/>
      <c r="C74" s="124"/>
      <c r="D74" s="181"/>
      <c r="E74" s="412">
        <f>-C74*B74</f>
        <v>0</v>
      </c>
      <c r="F74" s="413">
        <f>IF(B74&gt;0,-C74*(1+($N$52+0.0008)*1.21)*B74,-C74*(1-($N$52+0.0008)*1.21)*B74)</f>
        <v>0</v>
      </c>
      <c r="G74" s="209">
        <f>G73</f>
        <v>3087</v>
      </c>
      <c r="H74" s="418">
        <f>-G74*B74</f>
        <v>0</v>
      </c>
      <c r="I74" s="737">
        <f>F74-H74</f>
        <v>0</v>
      </c>
      <c r="J74" s="61"/>
      <c r="K74" s="61"/>
      <c r="L74" s="61"/>
      <c r="M74" s="61"/>
      <c r="N74" s="61"/>
      <c r="O74" s="61"/>
      <c r="P74" s="62"/>
      <c r="Q74" s="61"/>
      <c r="R74" s="66"/>
      <c r="S74" s="61"/>
      <c r="T74" s="61"/>
      <c r="U74" s="61"/>
      <c r="V74" s="61"/>
      <c r="W74" s="61"/>
      <c r="X74" s="61"/>
      <c r="Y74" s="61"/>
      <c r="Z74" s="61"/>
      <c r="AA74" s="61"/>
      <c r="AB74" s="62"/>
      <c r="AC74" s="61"/>
      <c r="AD74" s="66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145"/>
      <c r="AT74" s="146" t="s">
        <v>352</v>
      </c>
      <c r="AU74" s="111"/>
      <c r="AV74" s="126"/>
      <c r="AW74" s="127"/>
      <c r="AX74" s="213">
        <f t="shared" si="11"/>
        <v>0</v>
      </c>
      <c r="AY74" s="214">
        <f t="shared" si="12"/>
        <v>0</v>
      </c>
      <c r="AZ74" s="147" t="s">
        <v>402</v>
      </c>
      <c r="BA74" s="111"/>
      <c r="BB74" s="128"/>
      <c r="BC74" s="114"/>
      <c r="BD74" s="215">
        <f t="shared" si="13"/>
        <v>0</v>
      </c>
      <c r="BE74" s="217">
        <f t="shared" si="14"/>
        <v>0</v>
      </c>
      <c r="BF74" s="148" t="s">
        <v>403</v>
      </c>
      <c r="BG74" s="111"/>
      <c r="BH74" s="114"/>
      <c r="BI74" s="218">
        <f t="shared" si="15"/>
        <v>0</v>
      </c>
      <c r="BJ74" s="219">
        <f t="shared" si="16"/>
        <v>0</v>
      </c>
      <c r="DE74" s="116">
        <f t="shared" si="126"/>
        <v>1755.8858848574307</v>
      </c>
      <c r="DF74" s="117">
        <f t="shared" si="127"/>
        <v>0</v>
      </c>
      <c r="DG74" s="117">
        <f t="shared" si="128"/>
        <v>0</v>
      </c>
      <c r="DH74" s="117">
        <f t="shared" si="129"/>
        <v>0</v>
      </c>
      <c r="DI74" s="117">
        <f t="shared" si="130"/>
        <v>0</v>
      </c>
      <c r="DJ74" s="117">
        <f t="shared" si="131"/>
        <v>0</v>
      </c>
      <c r="DK74" s="117">
        <f t="shared" si="132"/>
        <v>0</v>
      </c>
      <c r="DL74" s="117">
        <f t="shared" si="133"/>
        <v>0</v>
      </c>
      <c r="DM74" s="117">
        <f t="shared" si="134"/>
        <v>0</v>
      </c>
      <c r="DN74" s="117">
        <f t="shared" si="135"/>
        <v>0</v>
      </c>
      <c r="DO74" s="117">
        <f t="shared" si="136"/>
        <v>0</v>
      </c>
      <c r="DP74" s="117">
        <f t="shared" si="137"/>
        <v>0</v>
      </c>
      <c r="DQ74" s="117">
        <f t="shared" si="138"/>
        <v>0</v>
      </c>
      <c r="DR74" s="117">
        <f t="shared" si="139"/>
        <v>0</v>
      </c>
      <c r="DS74" s="117">
        <f t="shared" si="140"/>
        <v>0</v>
      </c>
      <c r="DT74" s="117">
        <f t="shared" si="141"/>
        <v>0</v>
      </c>
      <c r="DU74" s="117">
        <f t="shared" si="142"/>
        <v>0</v>
      </c>
      <c r="DV74" s="117">
        <f t="shared" si="143"/>
        <v>0</v>
      </c>
      <c r="DW74" s="117">
        <f t="shared" si="144"/>
        <v>0</v>
      </c>
      <c r="DX74" s="117">
        <f t="shared" si="145"/>
        <v>0</v>
      </c>
      <c r="DY74" s="117">
        <f t="shared" si="146"/>
        <v>0</v>
      </c>
      <c r="DZ74" s="117">
        <f t="shared" si="147"/>
        <v>0</v>
      </c>
      <c r="EA74" s="117">
        <f t="shared" si="148"/>
        <v>0</v>
      </c>
      <c r="EB74" s="117">
        <f t="shared" si="149"/>
        <v>0</v>
      </c>
      <c r="EC74" s="117">
        <f t="shared" si="150"/>
        <v>0</v>
      </c>
      <c r="ED74" s="117">
        <f t="shared" si="151"/>
        <v>0</v>
      </c>
      <c r="EE74" s="117">
        <f t="shared" si="152"/>
        <v>0</v>
      </c>
      <c r="EF74" s="117">
        <f t="shared" si="153"/>
        <v>0</v>
      </c>
      <c r="EG74" s="117">
        <f t="shared" si="154"/>
        <v>0</v>
      </c>
      <c r="EH74" s="117">
        <f t="shared" si="155"/>
        <v>0</v>
      </c>
      <c r="EI74" s="117">
        <f t="shared" si="156"/>
        <v>0</v>
      </c>
      <c r="EJ74" s="117">
        <f t="shared" si="157"/>
        <v>0</v>
      </c>
      <c r="EK74" s="117">
        <f t="shared" si="158"/>
        <v>0</v>
      </c>
      <c r="EL74" s="117">
        <f t="shared" si="159"/>
        <v>0</v>
      </c>
      <c r="EM74" s="117">
        <f t="shared" si="160"/>
        <v>0</v>
      </c>
      <c r="EN74" s="117">
        <f t="shared" si="161"/>
        <v>0</v>
      </c>
      <c r="EO74" s="117">
        <f t="shared" si="162"/>
        <v>0</v>
      </c>
      <c r="EP74" s="117">
        <f t="shared" si="163"/>
        <v>0</v>
      </c>
      <c r="EQ74" s="117">
        <f t="shared" si="164"/>
        <v>0</v>
      </c>
      <c r="ER74" s="117">
        <f t="shared" si="165"/>
        <v>0</v>
      </c>
      <c r="ES74" s="117">
        <f t="shared" si="166"/>
        <v>0</v>
      </c>
      <c r="ET74" s="176">
        <f t="shared" si="167"/>
        <v>0</v>
      </c>
      <c r="EU74" s="71"/>
      <c r="EV74" s="116">
        <f t="shared" si="168"/>
        <v>1755.8858848574307</v>
      </c>
      <c r="EW74" s="117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7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7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7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7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7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7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7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7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7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7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7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7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7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7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7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7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7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7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7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7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7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7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7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7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7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7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7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7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7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7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7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7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7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7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7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7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7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7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7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6">
        <f t="shared" ca="1" si="169"/>
        <v>0</v>
      </c>
    </row>
    <row r="75" spans="1:193" ht="13.5" thickBot="1">
      <c r="A75" s="851"/>
      <c r="B75" s="177"/>
      <c r="C75" s="182"/>
      <c r="D75" s="183"/>
      <c r="E75" s="414">
        <f>-C75*B75</f>
        <v>0</v>
      </c>
      <c r="F75" s="415">
        <f>IF(B75&gt;0,-C75*(1+($N$52+0.0008)*1.21)*B75,-C75*(1-($N$52+0.0008)*1.21)*B75)</f>
        <v>0</v>
      </c>
      <c r="G75" s="210">
        <f>G74</f>
        <v>3087</v>
      </c>
      <c r="H75" s="419">
        <f>-G75*B75</f>
        <v>0</v>
      </c>
      <c r="I75" s="738">
        <f>F75-H75</f>
        <v>0</v>
      </c>
      <c r="J75" s="61"/>
      <c r="K75" s="61"/>
      <c r="L75" s="61"/>
      <c r="M75" s="61"/>
      <c r="N75" s="61"/>
      <c r="O75" s="61"/>
      <c r="P75" s="62"/>
      <c r="Q75" s="61"/>
      <c r="R75" s="66"/>
      <c r="S75" s="61"/>
      <c r="T75" s="61"/>
      <c r="U75" s="61"/>
      <c r="V75" s="61"/>
      <c r="W75" s="61"/>
      <c r="X75" s="61"/>
      <c r="Y75" s="61"/>
      <c r="Z75" s="61"/>
      <c r="AA75" s="61"/>
      <c r="AB75" s="62"/>
      <c r="AC75" s="61"/>
      <c r="AD75" s="66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145"/>
      <c r="AT75" s="146" t="s">
        <v>352</v>
      </c>
      <c r="AU75" s="111"/>
      <c r="AV75" s="126"/>
      <c r="AW75" s="127"/>
      <c r="AX75" s="213">
        <f t="shared" si="11"/>
        <v>0</v>
      </c>
      <c r="AY75" s="214">
        <f t="shared" si="12"/>
        <v>0</v>
      </c>
      <c r="AZ75" s="147" t="s">
        <v>402</v>
      </c>
      <c r="BA75" s="111"/>
      <c r="BB75" s="128"/>
      <c r="BC75" s="114"/>
      <c r="BD75" s="215">
        <f t="shared" si="13"/>
        <v>0</v>
      </c>
      <c r="BE75" s="217">
        <f t="shared" si="14"/>
        <v>0</v>
      </c>
      <c r="BF75" s="148" t="s">
        <v>403</v>
      </c>
      <c r="BG75" s="111"/>
      <c r="BH75" s="114"/>
      <c r="BI75" s="218">
        <f t="shared" si="15"/>
        <v>0</v>
      </c>
      <c r="BJ75" s="219">
        <f t="shared" si="16"/>
        <v>0</v>
      </c>
      <c r="DE75" s="116">
        <f t="shared" si="126"/>
        <v>1848.3009314288745</v>
      </c>
      <c r="DF75" s="117">
        <f t="shared" si="127"/>
        <v>0</v>
      </c>
      <c r="DG75" s="117">
        <f t="shared" si="128"/>
        <v>0</v>
      </c>
      <c r="DH75" s="117">
        <f t="shared" si="129"/>
        <v>0</v>
      </c>
      <c r="DI75" s="117">
        <f t="shared" si="130"/>
        <v>0</v>
      </c>
      <c r="DJ75" s="117">
        <f t="shared" si="131"/>
        <v>0</v>
      </c>
      <c r="DK75" s="117">
        <f t="shared" si="132"/>
        <v>0</v>
      </c>
      <c r="DL75" s="117">
        <f t="shared" si="133"/>
        <v>0</v>
      </c>
      <c r="DM75" s="117">
        <f t="shared" si="134"/>
        <v>0</v>
      </c>
      <c r="DN75" s="117">
        <f t="shared" si="135"/>
        <v>0</v>
      </c>
      <c r="DO75" s="117">
        <f t="shared" si="136"/>
        <v>0</v>
      </c>
      <c r="DP75" s="117">
        <f t="shared" si="137"/>
        <v>0</v>
      </c>
      <c r="DQ75" s="117">
        <f t="shared" si="138"/>
        <v>0</v>
      </c>
      <c r="DR75" s="117">
        <f t="shared" si="139"/>
        <v>0</v>
      </c>
      <c r="DS75" s="117">
        <f t="shared" si="140"/>
        <v>0</v>
      </c>
      <c r="DT75" s="117">
        <f t="shared" si="141"/>
        <v>0</v>
      </c>
      <c r="DU75" s="117">
        <f t="shared" si="142"/>
        <v>0</v>
      </c>
      <c r="DV75" s="117">
        <f t="shared" si="143"/>
        <v>0</v>
      </c>
      <c r="DW75" s="117">
        <f t="shared" si="144"/>
        <v>0</v>
      </c>
      <c r="DX75" s="117">
        <f t="shared" si="145"/>
        <v>0</v>
      </c>
      <c r="DY75" s="117">
        <f t="shared" si="146"/>
        <v>0</v>
      </c>
      <c r="DZ75" s="117">
        <f t="shared" si="147"/>
        <v>0</v>
      </c>
      <c r="EA75" s="117">
        <f t="shared" si="148"/>
        <v>0</v>
      </c>
      <c r="EB75" s="117">
        <f t="shared" si="149"/>
        <v>0</v>
      </c>
      <c r="EC75" s="117">
        <f t="shared" si="150"/>
        <v>0</v>
      </c>
      <c r="ED75" s="117">
        <f t="shared" si="151"/>
        <v>0</v>
      </c>
      <c r="EE75" s="117">
        <f t="shared" si="152"/>
        <v>0</v>
      </c>
      <c r="EF75" s="117">
        <f t="shared" si="153"/>
        <v>0</v>
      </c>
      <c r="EG75" s="117">
        <f t="shared" si="154"/>
        <v>0</v>
      </c>
      <c r="EH75" s="117">
        <f t="shared" si="155"/>
        <v>0</v>
      </c>
      <c r="EI75" s="117">
        <f t="shared" si="156"/>
        <v>0</v>
      </c>
      <c r="EJ75" s="117">
        <f t="shared" si="157"/>
        <v>0</v>
      </c>
      <c r="EK75" s="117">
        <f t="shared" si="158"/>
        <v>0</v>
      </c>
      <c r="EL75" s="117">
        <f t="shared" si="159"/>
        <v>0</v>
      </c>
      <c r="EM75" s="117">
        <f t="shared" si="160"/>
        <v>0</v>
      </c>
      <c r="EN75" s="117">
        <f t="shared" si="161"/>
        <v>0</v>
      </c>
      <c r="EO75" s="117">
        <f t="shared" si="162"/>
        <v>0</v>
      </c>
      <c r="EP75" s="117">
        <f t="shared" si="163"/>
        <v>0</v>
      </c>
      <c r="EQ75" s="117">
        <f t="shared" si="164"/>
        <v>0</v>
      </c>
      <c r="ER75" s="117">
        <f t="shared" si="165"/>
        <v>0</v>
      </c>
      <c r="ES75" s="117">
        <f t="shared" si="166"/>
        <v>0</v>
      </c>
      <c r="ET75" s="176">
        <f t="shared" si="167"/>
        <v>0</v>
      </c>
      <c r="EU75" s="71"/>
      <c r="EV75" s="116">
        <f t="shared" si="168"/>
        <v>1848.3009314288745</v>
      </c>
      <c r="EW75" s="117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7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7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7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7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7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7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7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7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7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7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7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7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7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7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7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7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7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7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7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7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7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7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7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7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7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7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7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7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7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7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7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7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7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7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7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7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7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7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7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6">
        <f t="shared" ca="1" si="169"/>
        <v>0</v>
      </c>
    </row>
    <row r="76" spans="1:193" ht="13.5" thickBot="1">
      <c r="A76" s="184" t="s">
        <v>458</v>
      </c>
      <c r="B76" s="385">
        <f>IFERROR(VLOOKUP("GGAL - 48hs",HomeBroker!$A$18:$F$106,6,0),0)</f>
        <v>3087</v>
      </c>
      <c r="C76" s="185"/>
      <c r="D76" s="186" t="s">
        <v>459</v>
      </c>
      <c r="E76" s="383">
        <f>SUM(E3:E75)</f>
        <v>-104000</v>
      </c>
      <c r="F76" s="384">
        <f>SUM(F3:F75)</f>
        <v>-104264.26399999998</v>
      </c>
      <c r="G76" s="187"/>
      <c r="H76" s="188"/>
      <c r="I76" s="734">
        <f>SUM(I3:I75)</f>
        <v>7735.736000000019</v>
      </c>
      <c r="J76" s="61"/>
      <c r="K76" s="61"/>
      <c r="L76" s="61"/>
      <c r="M76" s="61"/>
      <c r="N76" s="61"/>
      <c r="O76" s="61"/>
      <c r="P76" s="62"/>
      <c r="Q76" s="61"/>
      <c r="R76" s="66"/>
      <c r="S76" s="61"/>
      <c r="T76" s="61"/>
      <c r="U76" s="61"/>
      <c r="V76" s="61"/>
      <c r="W76" s="61"/>
      <c r="X76" s="61"/>
      <c r="Y76" s="61"/>
      <c r="Z76" s="61"/>
      <c r="AA76" s="61"/>
      <c r="AB76" s="62"/>
      <c r="AC76" s="61"/>
      <c r="AD76" s="66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145"/>
      <c r="AT76" s="146" t="s">
        <v>352</v>
      </c>
      <c r="AU76" s="111"/>
      <c r="AV76" s="126"/>
      <c r="AW76" s="127"/>
      <c r="AX76" s="213">
        <f t="shared" si="11"/>
        <v>0</v>
      </c>
      <c r="AY76" s="214">
        <f t="shared" si="12"/>
        <v>0</v>
      </c>
      <c r="AZ76" s="147" t="s">
        <v>402</v>
      </c>
      <c r="BA76" s="111"/>
      <c r="BB76" s="128"/>
      <c r="BC76" s="114"/>
      <c r="BD76" s="215">
        <f t="shared" si="13"/>
        <v>0</v>
      </c>
      <c r="BE76" s="217">
        <f t="shared" si="14"/>
        <v>0</v>
      </c>
      <c r="BF76" s="148" t="s">
        <v>403</v>
      </c>
      <c r="BG76" s="111"/>
      <c r="BH76" s="114"/>
      <c r="BI76" s="218">
        <f t="shared" si="15"/>
        <v>0</v>
      </c>
      <c r="BJ76" s="219">
        <f t="shared" si="16"/>
        <v>0</v>
      </c>
      <c r="DE76" s="116">
        <f t="shared" si="126"/>
        <v>1945.5799278198681</v>
      </c>
      <c r="DF76" s="117">
        <f t="shared" si="127"/>
        <v>0</v>
      </c>
      <c r="DG76" s="117">
        <f t="shared" si="128"/>
        <v>0</v>
      </c>
      <c r="DH76" s="117">
        <f t="shared" si="129"/>
        <v>0</v>
      </c>
      <c r="DI76" s="117">
        <f t="shared" si="130"/>
        <v>0</v>
      </c>
      <c r="DJ76" s="117">
        <f t="shared" si="131"/>
        <v>0</v>
      </c>
      <c r="DK76" s="117">
        <f t="shared" si="132"/>
        <v>0</v>
      </c>
      <c r="DL76" s="117">
        <f t="shared" si="133"/>
        <v>0</v>
      </c>
      <c r="DM76" s="117">
        <f t="shared" si="134"/>
        <v>0</v>
      </c>
      <c r="DN76" s="117">
        <f t="shared" si="135"/>
        <v>0</v>
      </c>
      <c r="DO76" s="117">
        <f t="shared" si="136"/>
        <v>0</v>
      </c>
      <c r="DP76" s="117">
        <f t="shared" si="137"/>
        <v>0</v>
      </c>
      <c r="DQ76" s="117">
        <f t="shared" si="138"/>
        <v>0</v>
      </c>
      <c r="DR76" s="117">
        <f t="shared" si="139"/>
        <v>0</v>
      </c>
      <c r="DS76" s="117">
        <f t="shared" si="140"/>
        <v>0</v>
      </c>
      <c r="DT76" s="117">
        <f t="shared" si="141"/>
        <v>0</v>
      </c>
      <c r="DU76" s="117">
        <f t="shared" si="142"/>
        <v>0</v>
      </c>
      <c r="DV76" s="117">
        <f t="shared" si="143"/>
        <v>0</v>
      </c>
      <c r="DW76" s="117">
        <f t="shared" si="144"/>
        <v>0</v>
      </c>
      <c r="DX76" s="117">
        <f t="shared" si="145"/>
        <v>0</v>
      </c>
      <c r="DY76" s="117">
        <f t="shared" si="146"/>
        <v>0</v>
      </c>
      <c r="DZ76" s="117">
        <f t="shared" si="147"/>
        <v>0</v>
      </c>
      <c r="EA76" s="117">
        <f t="shared" si="148"/>
        <v>0</v>
      </c>
      <c r="EB76" s="117">
        <f t="shared" si="149"/>
        <v>0</v>
      </c>
      <c r="EC76" s="117">
        <f t="shared" si="150"/>
        <v>0</v>
      </c>
      <c r="ED76" s="117">
        <f t="shared" si="151"/>
        <v>0</v>
      </c>
      <c r="EE76" s="117">
        <f t="shared" si="152"/>
        <v>0</v>
      </c>
      <c r="EF76" s="117">
        <f t="shared" si="153"/>
        <v>0</v>
      </c>
      <c r="EG76" s="117">
        <f t="shared" si="154"/>
        <v>0</v>
      </c>
      <c r="EH76" s="117">
        <f t="shared" si="155"/>
        <v>0</v>
      </c>
      <c r="EI76" s="117">
        <f t="shared" si="156"/>
        <v>0</v>
      </c>
      <c r="EJ76" s="117">
        <f t="shared" si="157"/>
        <v>0</v>
      </c>
      <c r="EK76" s="117">
        <f t="shared" si="158"/>
        <v>0</v>
      </c>
      <c r="EL76" s="117">
        <f t="shared" si="159"/>
        <v>0</v>
      </c>
      <c r="EM76" s="117">
        <f t="shared" si="160"/>
        <v>0</v>
      </c>
      <c r="EN76" s="117">
        <f t="shared" si="161"/>
        <v>0</v>
      </c>
      <c r="EO76" s="117">
        <f t="shared" si="162"/>
        <v>0</v>
      </c>
      <c r="EP76" s="117">
        <f t="shared" si="163"/>
        <v>0</v>
      </c>
      <c r="EQ76" s="117">
        <f t="shared" si="164"/>
        <v>0</v>
      </c>
      <c r="ER76" s="117">
        <f t="shared" si="165"/>
        <v>0</v>
      </c>
      <c r="ES76" s="117">
        <f t="shared" si="166"/>
        <v>0</v>
      </c>
      <c r="ET76" s="176">
        <f t="shared" si="167"/>
        <v>0</v>
      </c>
      <c r="EU76" s="71"/>
      <c r="EV76" s="116">
        <f t="shared" si="168"/>
        <v>1945.5799278198681</v>
      </c>
      <c r="EW76" s="117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7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7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7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7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7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7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7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7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7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7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7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7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7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7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7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7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7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7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7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7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7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7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7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7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7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7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7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7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7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7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7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7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7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7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7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7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7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7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7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6">
        <f t="shared" ca="1" si="169"/>
        <v>0</v>
      </c>
    </row>
    <row r="77" spans="1:193">
      <c r="DE77" s="116">
        <f t="shared" si="126"/>
        <v>2047.9788713893349</v>
      </c>
      <c r="DF77" s="117">
        <f t="shared" si="127"/>
        <v>0</v>
      </c>
      <c r="DG77" s="117">
        <f t="shared" si="128"/>
        <v>0</v>
      </c>
      <c r="DH77" s="117">
        <f t="shared" si="129"/>
        <v>0</v>
      </c>
      <c r="DI77" s="117">
        <f t="shared" si="130"/>
        <v>0</v>
      </c>
      <c r="DJ77" s="117">
        <f t="shared" si="131"/>
        <v>0</v>
      </c>
      <c r="DK77" s="117">
        <f t="shared" si="132"/>
        <v>0</v>
      </c>
      <c r="DL77" s="117">
        <f t="shared" si="133"/>
        <v>0</v>
      </c>
      <c r="DM77" s="117">
        <f t="shared" si="134"/>
        <v>0</v>
      </c>
      <c r="DN77" s="117">
        <f t="shared" si="135"/>
        <v>0</v>
      </c>
      <c r="DO77" s="117">
        <f t="shared" si="136"/>
        <v>0</v>
      </c>
      <c r="DP77" s="117">
        <f t="shared" si="137"/>
        <v>0</v>
      </c>
      <c r="DQ77" s="117">
        <f t="shared" si="138"/>
        <v>0</v>
      </c>
      <c r="DR77" s="117">
        <f t="shared" si="139"/>
        <v>0</v>
      </c>
      <c r="DS77" s="117">
        <f t="shared" si="140"/>
        <v>0</v>
      </c>
      <c r="DT77" s="117">
        <f t="shared" si="141"/>
        <v>0</v>
      </c>
      <c r="DU77" s="117">
        <f t="shared" si="142"/>
        <v>0</v>
      </c>
      <c r="DV77" s="117">
        <f t="shared" si="143"/>
        <v>0</v>
      </c>
      <c r="DW77" s="117">
        <f t="shared" si="144"/>
        <v>0</v>
      </c>
      <c r="DX77" s="117">
        <f t="shared" si="145"/>
        <v>0</v>
      </c>
      <c r="DY77" s="117">
        <f t="shared" si="146"/>
        <v>0</v>
      </c>
      <c r="DZ77" s="117">
        <f t="shared" si="147"/>
        <v>0</v>
      </c>
      <c r="EA77" s="117">
        <f t="shared" si="148"/>
        <v>0</v>
      </c>
      <c r="EB77" s="117">
        <f t="shared" si="149"/>
        <v>0</v>
      </c>
      <c r="EC77" s="117">
        <f t="shared" si="150"/>
        <v>0</v>
      </c>
      <c r="ED77" s="117">
        <f t="shared" si="151"/>
        <v>0</v>
      </c>
      <c r="EE77" s="117">
        <f t="shared" si="152"/>
        <v>0</v>
      </c>
      <c r="EF77" s="117">
        <f t="shared" si="153"/>
        <v>0</v>
      </c>
      <c r="EG77" s="117">
        <f t="shared" si="154"/>
        <v>0</v>
      </c>
      <c r="EH77" s="117">
        <f t="shared" si="155"/>
        <v>0</v>
      </c>
      <c r="EI77" s="117">
        <f t="shared" si="156"/>
        <v>0</v>
      </c>
      <c r="EJ77" s="117">
        <f t="shared" si="157"/>
        <v>0</v>
      </c>
      <c r="EK77" s="117">
        <f t="shared" si="158"/>
        <v>0</v>
      </c>
      <c r="EL77" s="117">
        <f t="shared" si="159"/>
        <v>0</v>
      </c>
      <c r="EM77" s="117">
        <f t="shared" si="160"/>
        <v>0</v>
      </c>
      <c r="EN77" s="117">
        <f t="shared" si="161"/>
        <v>0</v>
      </c>
      <c r="EO77" s="117">
        <f t="shared" si="162"/>
        <v>0</v>
      </c>
      <c r="EP77" s="117">
        <f t="shared" si="163"/>
        <v>0</v>
      </c>
      <c r="EQ77" s="117">
        <f t="shared" si="164"/>
        <v>0</v>
      </c>
      <c r="ER77" s="117">
        <f t="shared" si="165"/>
        <v>0</v>
      </c>
      <c r="ES77" s="117">
        <f t="shared" si="166"/>
        <v>0</v>
      </c>
      <c r="ET77" s="176">
        <f t="shared" si="167"/>
        <v>0</v>
      </c>
      <c r="EU77" s="71"/>
      <c r="EV77" s="116">
        <f t="shared" si="168"/>
        <v>2047.9788713893349</v>
      </c>
      <c r="EW77" s="117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7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7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7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7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7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7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7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7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7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7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7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7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7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7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7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7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7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7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7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7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7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7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7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7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7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7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7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7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7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7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7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7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7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7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7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7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7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7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7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6">
        <f t="shared" ca="1" si="169"/>
        <v>0</v>
      </c>
    </row>
    <row r="78" spans="1:193">
      <c r="DE78" s="116">
        <f t="shared" si="126"/>
        <v>2155.7672330414052</v>
      </c>
      <c r="DF78" s="117">
        <f t="shared" si="127"/>
        <v>0</v>
      </c>
      <c r="DG78" s="117">
        <f t="shared" si="128"/>
        <v>0</v>
      </c>
      <c r="DH78" s="117">
        <f t="shared" si="129"/>
        <v>0</v>
      </c>
      <c r="DI78" s="117">
        <f t="shared" si="130"/>
        <v>0</v>
      </c>
      <c r="DJ78" s="117">
        <f t="shared" si="131"/>
        <v>0</v>
      </c>
      <c r="DK78" s="117">
        <f t="shared" si="132"/>
        <v>0</v>
      </c>
      <c r="DL78" s="117">
        <f t="shared" si="133"/>
        <v>0</v>
      </c>
      <c r="DM78" s="117">
        <f t="shared" si="134"/>
        <v>0</v>
      </c>
      <c r="DN78" s="117">
        <f t="shared" si="135"/>
        <v>0</v>
      </c>
      <c r="DO78" s="117">
        <f t="shared" si="136"/>
        <v>0</v>
      </c>
      <c r="DP78" s="117">
        <f t="shared" si="137"/>
        <v>0</v>
      </c>
      <c r="DQ78" s="117">
        <f t="shared" si="138"/>
        <v>0</v>
      </c>
      <c r="DR78" s="117">
        <f t="shared" si="139"/>
        <v>0</v>
      </c>
      <c r="DS78" s="117">
        <f t="shared" si="140"/>
        <v>0</v>
      </c>
      <c r="DT78" s="117">
        <f t="shared" si="141"/>
        <v>0</v>
      </c>
      <c r="DU78" s="117">
        <f t="shared" si="142"/>
        <v>0</v>
      </c>
      <c r="DV78" s="117">
        <f t="shared" si="143"/>
        <v>0</v>
      </c>
      <c r="DW78" s="117">
        <f t="shared" si="144"/>
        <v>0</v>
      </c>
      <c r="DX78" s="117">
        <f t="shared" si="145"/>
        <v>0</v>
      </c>
      <c r="DY78" s="117">
        <f t="shared" si="146"/>
        <v>0</v>
      </c>
      <c r="DZ78" s="117">
        <f t="shared" si="147"/>
        <v>0</v>
      </c>
      <c r="EA78" s="117">
        <f t="shared" si="148"/>
        <v>0</v>
      </c>
      <c r="EB78" s="117">
        <f t="shared" si="149"/>
        <v>0</v>
      </c>
      <c r="EC78" s="117">
        <f t="shared" si="150"/>
        <v>0</v>
      </c>
      <c r="ED78" s="117">
        <f t="shared" si="151"/>
        <v>0</v>
      </c>
      <c r="EE78" s="117">
        <f t="shared" si="152"/>
        <v>0</v>
      </c>
      <c r="EF78" s="117">
        <f t="shared" si="153"/>
        <v>0</v>
      </c>
      <c r="EG78" s="117">
        <f t="shared" si="154"/>
        <v>0</v>
      </c>
      <c r="EH78" s="117">
        <f t="shared" si="155"/>
        <v>0</v>
      </c>
      <c r="EI78" s="117">
        <f t="shared" si="156"/>
        <v>0</v>
      </c>
      <c r="EJ78" s="117">
        <f t="shared" si="157"/>
        <v>0</v>
      </c>
      <c r="EK78" s="117">
        <f t="shared" si="158"/>
        <v>0</v>
      </c>
      <c r="EL78" s="117">
        <f t="shared" si="159"/>
        <v>0</v>
      </c>
      <c r="EM78" s="117">
        <f t="shared" si="160"/>
        <v>0</v>
      </c>
      <c r="EN78" s="117">
        <f t="shared" si="161"/>
        <v>0</v>
      </c>
      <c r="EO78" s="117">
        <f t="shared" si="162"/>
        <v>0</v>
      </c>
      <c r="EP78" s="117">
        <f t="shared" si="163"/>
        <v>0</v>
      </c>
      <c r="EQ78" s="117">
        <f t="shared" si="164"/>
        <v>0</v>
      </c>
      <c r="ER78" s="117">
        <f t="shared" si="165"/>
        <v>0</v>
      </c>
      <c r="ES78" s="117">
        <f t="shared" si="166"/>
        <v>0</v>
      </c>
      <c r="ET78" s="176">
        <f t="shared" si="167"/>
        <v>0</v>
      </c>
      <c r="EU78" s="71"/>
      <c r="EV78" s="116">
        <f t="shared" si="168"/>
        <v>2155.7672330414052</v>
      </c>
      <c r="EW78" s="117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7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7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7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7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7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7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7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7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7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7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7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7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7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7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7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7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7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7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7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7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7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7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7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7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7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7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7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7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7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7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7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7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7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7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7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7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7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7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7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6">
        <f t="shared" ca="1" si="169"/>
        <v>0</v>
      </c>
    </row>
    <row r="79" spans="1:193">
      <c r="DE79" s="116">
        <f t="shared" si="126"/>
        <v>2269.2286663593741</v>
      </c>
      <c r="DF79" s="117">
        <f t="shared" si="127"/>
        <v>0</v>
      </c>
      <c r="DG79" s="117">
        <f t="shared" si="128"/>
        <v>0</v>
      </c>
      <c r="DH79" s="117">
        <f t="shared" si="129"/>
        <v>0</v>
      </c>
      <c r="DI79" s="117">
        <f t="shared" si="130"/>
        <v>0</v>
      </c>
      <c r="DJ79" s="117">
        <f t="shared" si="131"/>
        <v>0</v>
      </c>
      <c r="DK79" s="117">
        <f t="shared" si="132"/>
        <v>0</v>
      </c>
      <c r="DL79" s="117">
        <f t="shared" si="133"/>
        <v>0</v>
      </c>
      <c r="DM79" s="117">
        <f t="shared" si="134"/>
        <v>0</v>
      </c>
      <c r="DN79" s="117">
        <f t="shared" si="135"/>
        <v>0</v>
      </c>
      <c r="DO79" s="117">
        <f t="shared" si="136"/>
        <v>0</v>
      </c>
      <c r="DP79" s="117">
        <f t="shared" si="137"/>
        <v>0</v>
      </c>
      <c r="DQ79" s="117">
        <f t="shared" si="138"/>
        <v>0</v>
      </c>
      <c r="DR79" s="117">
        <f t="shared" si="139"/>
        <v>0</v>
      </c>
      <c r="DS79" s="117">
        <f t="shared" si="140"/>
        <v>0</v>
      </c>
      <c r="DT79" s="117">
        <f t="shared" si="141"/>
        <v>0</v>
      </c>
      <c r="DU79" s="117">
        <f t="shared" si="142"/>
        <v>0</v>
      </c>
      <c r="DV79" s="117">
        <f t="shared" si="143"/>
        <v>0</v>
      </c>
      <c r="DW79" s="117">
        <f t="shared" si="144"/>
        <v>0</v>
      </c>
      <c r="DX79" s="117">
        <f t="shared" si="145"/>
        <v>0</v>
      </c>
      <c r="DY79" s="117">
        <f t="shared" si="146"/>
        <v>0</v>
      </c>
      <c r="DZ79" s="117">
        <f t="shared" si="147"/>
        <v>0</v>
      </c>
      <c r="EA79" s="117">
        <f t="shared" si="148"/>
        <v>0</v>
      </c>
      <c r="EB79" s="117">
        <f t="shared" si="149"/>
        <v>0</v>
      </c>
      <c r="EC79" s="117">
        <f t="shared" si="150"/>
        <v>0</v>
      </c>
      <c r="ED79" s="117">
        <f t="shared" si="151"/>
        <v>0</v>
      </c>
      <c r="EE79" s="117">
        <f t="shared" si="152"/>
        <v>0</v>
      </c>
      <c r="EF79" s="117">
        <f t="shared" si="153"/>
        <v>0</v>
      </c>
      <c r="EG79" s="117">
        <f t="shared" si="154"/>
        <v>0</v>
      </c>
      <c r="EH79" s="117">
        <f t="shared" si="155"/>
        <v>0</v>
      </c>
      <c r="EI79" s="117">
        <f t="shared" si="156"/>
        <v>0</v>
      </c>
      <c r="EJ79" s="117">
        <f t="shared" si="157"/>
        <v>0</v>
      </c>
      <c r="EK79" s="117">
        <f t="shared" si="158"/>
        <v>0</v>
      </c>
      <c r="EL79" s="117">
        <f t="shared" si="159"/>
        <v>0</v>
      </c>
      <c r="EM79" s="117">
        <f t="shared" si="160"/>
        <v>0</v>
      </c>
      <c r="EN79" s="117">
        <f t="shared" si="161"/>
        <v>0</v>
      </c>
      <c r="EO79" s="117">
        <f t="shared" si="162"/>
        <v>0</v>
      </c>
      <c r="EP79" s="117">
        <f t="shared" si="163"/>
        <v>0</v>
      </c>
      <c r="EQ79" s="117">
        <f t="shared" si="164"/>
        <v>0</v>
      </c>
      <c r="ER79" s="117">
        <f t="shared" si="165"/>
        <v>0</v>
      </c>
      <c r="ES79" s="117">
        <f t="shared" si="166"/>
        <v>0</v>
      </c>
      <c r="ET79" s="176">
        <f t="shared" si="167"/>
        <v>0</v>
      </c>
      <c r="EU79" s="71"/>
      <c r="EV79" s="116">
        <f t="shared" si="168"/>
        <v>2269.2286663593741</v>
      </c>
      <c r="EW79" s="117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7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7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7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7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7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7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7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7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7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7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7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7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7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7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7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7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7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7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7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7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7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7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7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7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7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7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7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7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7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7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7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7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7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7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7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7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7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7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7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6">
        <f t="shared" ca="1" si="169"/>
        <v>0</v>
      </c>
    </row>
    <row r="80" spans="1:193">
      <c r="DE80" s="116">
        <f t="shared" si="126"/>
        <v>2388.6617540624993</v>
      </c>
      <c r="DF80" s="117">
        <f t="shared" si="127"/>
        <v>0</v>
      </c>
      <c r="DG80" s="117">
        <f t="shared" si="128"/>
        <v>0</v>
      </c>
      <c r="DH80" s="117">
        <f t="shared" si="129"/>
        <v>0</v>
      </c>
      <c r="DI80" s="117">
        <f t="shared" si="130"/>
        <v>0</v>
      </c>
      <c r="DJ80" s="117">
        <f t="shared" si="131"/>
        <v>0</v>
      </c>
      <c r="DK80" s="117">
        <f t="shared" si="132"/>
        <v>0</v>
      </c>
      <c r="DL80" s="117">
        <f t="shared" si="133"/>
        <v>0</v>
      </c>
      <c r="DM80" s="117">
        <f t="shared" si="134"/>
        <v>0</v>
      </c>
      <c r="DN80" s="117">
        <f t="shared" si="135"/>
        <v>0</v>
      </c>
      <c r="DO80" s="117">
        <f t="shared" si="136"/>
        <v>0</v>
      </c>
      <c r="DP80" s="117">
        <f t="shared" si="137"/>
        <v>0</v>
      </c>
      <c r="DQ80" s="117">
        <f t="shared" si="138"/>
        <v>0</v>
      </c>
      <c r="DR80" s="117">
        <f t="shared" si="139"/>
        <v>0</v>
      </c>
      <c r="DS80" s="117">
        <f t="shared" si="140"/>
        <v>0</v>
      </c>
      <c r="DT80" s="117">
        <f t="shared" si="141"/>
        <v>0</v>
      </c>
      <c r="DU80" s="117">
        <f t="shared" si="142"/>
        <v>0</v>
      </c>
      <c r="DV80" s="117">
        <f t="shared" si="143"/>
        <v>0</v>
      </c>
      <c r="DW80" s="117">
        <f t="shared" si="144"/>
        <v>0</v>
      </c>
      <c r="DX80" s="117">
        <f t="shared" si="145"/>
        <v>0</v>
      </c>
      <c r="DY80" s="117">
        <f t="shared" si="146"/>
        <v>0</v>
      </c>
      <c r="DZ80" s="117">
        <f t="shared" si="147"/>
        <v>0</v>
      </c>
      <c r="EA80" s="117">
        <f t="shared" si="148"/>
        <v>0</v>
      </c>
      <c r="EB80" s="117">
        <f t="shared" si="149"/>
        <v>0</v>
      </c>
      <c r="EC80" s="117">
        <f t="shared" si="150"/>
        <v>0</v>
      </c>
      <c r="ED80" s="117">
        <f t="shared" si="151"/>
        <v>0</v>
      </c>
      <c r="EE80" s="117">
        <f t="shared" si="152"/>
        <v>0</v>
      </c>
      <c r="EF80" s="117">
        <f t="shared" si="153"/>
        <v>0</v>
      </c>
      <c r="EG80" s="117">
        <f t="shared" si="154"/>
        <v>0</v>
      </c>
      <c r="EH80" s="117">
        <f t="shared" si="155"/>
        <v>0</v>
      </c>
      <c r="EI80" s="117">
        <f t="shared" si="156"/>
        <v>0</v>
      </c>
      <c r="EJ80" s="117">
        <f t="shared" si="157"/>
        <v>0</v>
      </c>
      <c r="EK80" s="117">
        <f t="shared" si="158"/>
        <v>0</v>
      </c>
      <c r="EL80" s="117">
        <f t="shared" si="159"/>
        <v>0</v>
      </c>
      <c r="EM80" s="117">
        <f t="shared" si="160"/>
        <v>0</v>
      </c>
      <c r="EN80" s="117">
        <f t="shared" si="161"/>
        <v>0</v>
      </c>
      <c r="EO80" s="117">
        <f t="shared" si="162"/>
        <v>0</v>
      </c>
      <c r="EP80" s="117">
        <f t="shared" si="163"/>
        <v>0</v>
      </c>
      <c r="EQ80" s="117">
        <f t="shared" si="164"/>
        <v>0</v>
      </c>
      <c r="ER80" s="117">
        <f t="shared" si="165"/>
        <v>0</v>
      </c>
      <c r="ES80" s="117">
        <f t="shared" si="166"/>
        <v>0</v>
      </c>
      <c r="ET80" s="176">
        <f t="shared" si="167"/>
        <v>0</v>
      </c>
      <c r="EU80" s="71"/>
      <c r="EV80" s="116">
        <f t="shared" si="168"/>
        <v>2388.6617540624993</v>
      </c>
      <c r="EW80" s="117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7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7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7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7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7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7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7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7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7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7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7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7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7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7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7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7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7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7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7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7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7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7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7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7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7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7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7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7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7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7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7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7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7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7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7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7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7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7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7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6">
        <f t="shared" ca="1" si="169"/>
        <v>0</v>
      </c>
    </row>
    <row r="81" spans="109:193">
      <c r="DE81" s="116">
        <f t="shared" si="126"/>
        <v>2514.3807937499996</v>
      </c>
      <c r="DF81" s="117">
        <f t="shared" si="127"/>
        <v>0</v>
      </c>
      <c r="DG81" s="117">
        <f t="shared" si="128"/>
        <v>0</v>
      </c>
      <c r="DH81" s="117">
        <f t="shared" si="129"/>
        <v>0</v>
      </c>
      <c r="DI81" s="117">
        <f t="shared" si="130"/>
        <v>0</v>
      </c>
      <c r="DJ81" s="117">
        <f t="shared" si="131"/>
        <v>0</v>
      </c>
      <c r="DK81" s="117">
        <f t="shared" si="132"/>
        <v>0</v>
      </c>
      <c r="DL81" s="117">
        <f t="shared" si="133"/>
        <v>0</v>
      </c>
      <c r="DM81" s="117">
        <f t="shared" si="134"/>
        <v>0</v>
      </c>
      <c r="DN81" s="117">
        <f t="shared" si="135"/>
        <v>0</v>
      </c>
      <c r="DO81" s="117">
        <f t="shared" si="136"/>
        <v>0</v>
      </c>
      <c r="DP81" s="117">
        <f t="shared" si="137"/>
        <v>0</v>
      </c>
      <c r="DQ81" s="117">
        <f t="shared" si="138"/>
        <v>0</v>
      </c>
      <c r="DR81" s="117">
        <f t="shared" si="139"/>
        <v>0</v>
      </c>
      <c r="DS81" s="117">
        <f t="shared" si="140"/>
        <v>0</v>
      </c>
      <c r="DT81" s="117">
        <f t="shared" si="141"/>
        <v>0</v>
      </c>
      <c r="DU81" s="117">
        <f t="shared" si="142"/>
        <v>0</v>
      </c>
      <c r="DV81" s="117">
        <f t="shared" si="143"/>
        <v>0</v>
      </c>
      <c r="DW81" s="117">
        <f t="shared" si="144"/>
        <v>0</v>
      </c>
      <c r="DX81" s="117">
        <f t="shared" si="145"/>
        <v>0</v>
      </c>
      <c r="DY81" s="117">
        <f t="shared" si="146"/>
        <v>0</v>
      </c>
      <c r="DZ81" s="117">
        <f t="shared" si="147"/>
        <v>0</v>
      </c>
      <c r="EA81" s="117">
        <f t="shared" si="148"/>
        <v>0</v>
      </c>
      <c r="EB81" s="117">
        <f t="shared" si="149"/>
        <v>0</v>
      </c>
      <c r="EC81" s="117">
        <f t="shared" si="150"/>
        <v>0</v>
      </c>
      <c r="ED81" s="117">
        <f t="shared" si="151"/>
        <v>0</v>
      </c>
      <c r="EE81" s="117">
        <f t="shared" si="152"/>
        <v>0</v>
      </c>
      <c r="EF81" s="117">
        <f t="shared" si="153"/>
        <v>0</v>
      </c>
      <c r="EG81" s="117">
        <f t="shared" si="154"/>
        <v>0</v>
      </c>
      <c r="EH81" s="117">
        <f t="shared" si="155"/>
        <v>0</v>
      </c>
      <c r="EI81" s="117">
        <f t="shared" si="156"/>
        <v>0</v>
      </c>
      <c r="EJ81" s="117">
        <f t="shared" si="157"/>
        <v>0</v>
      </c>
      <c r="EK81" s="117">
        <f t="shared" si="158"/>
        <v>0</v>
      </c>
      <c r="EL81" s="117">
        <f t="shared" si="159"/>
        <v>0</v>
      </c>
      <c r="EM81" s="117">
        <f t="shared" si="160"/>
        <v>0</v>
      </c>
      <c r="EN81" s="117">
        <f t="shared" si="161"/>
        <v>0</v>
      </c>
      <c r="EO81" s="117">
        <f t="shared" si="162"/>
        <v>0</v>
      </c>
      <c r="EP81" s="117">
        <f t="shared" si="163"/>
        <v>0</v>
      </c>
      <c r="EQ81" s="117">
        <f t="shared" si="164"/>
        <v>0</v>
      </c>
      <c r="ER81" s="117">
        <f t="shared" si="165"/>
        <v>0</v>
      </c>
      <c r="ES81" s="117">
        <f t="shared" si="166"/>
        <v>0</v>
      </c>
      <c r="ET81" s="176">
        <f t="shared" si="167"/>
        <v>0</v>
      </c>
      <c r="EU81" s="71"/>
      <c r="EV81" s="116">
        <f t="shared" si="168"/>
        <v>2514.3807937499996</v>
      </c>
      <c r="EW81" s="117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7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7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7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7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7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7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7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7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7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7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7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7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7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7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7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7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7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7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7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7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7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7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7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7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7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7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7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7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7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7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7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7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7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7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7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7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7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7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7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6">
        <f t="shared" ca="1" si="169"/>
        <v>0</v>
      </c>
    </row>
    <row r="82" spans="109:193">
      <c r="DE82" s="116">
        <f t="shared" si="126"/>
        <v>2646.7166249999996</v>
      </c>
      <c r="DF82" s="117">
        <f t="shared" si="127"/>
        <v>0</v>
      </c>
      <c r="DG82" s="117">
        <f t="shared" si="128"/>
        <v>0</v>
      </c>
      <c r="DH82" s="117">
        <f t="shared" si="129"/>
        <v>0</v>
      </c>
      <c r="DI82" s="117">
        <f t="shared" si="130"/>
        <v>0</v>
      </c>
      <c r="DJ82" s="117">
        <f t="shared" si="131"/>
        <v>0</v>
      </c>
      <c r="DK82" s="117">
        <f t="shared" si="132"/>
        <v>0</v>
      </c>
      <c r="DL82" s="117">
        <f t="shared" si="133"/>
        <v>0</v>
      </c>
      <c r="DM82" s="117">
        <f t="shared" si="134"/>
        <v>0</v>
      </c>
      <c r="DN82" s="117">
        <f t="shared" si="135"/>
        <v>0</v>
      </c>
      <c r="DO82" s="117">
        <f t="shared" si="136"/>
        <v>0</v>
      </c>
      <c r="DP82" s="117">
        <f t="shared" si="137"/>
        <v>0</v>
      </c>
      <c r="DQ82" s="117">
        <f t="shared" si="138"/>
        <v>0</v>
      </c>
      <c r="DR82" s="117">
        <f t="shared" si="139"/>
        <v>0</v>
      </c>
      <c r="DS82" s="117">
        <f t="shared" si="140"/>
        <v>0</v>
      </c>
      <c r="DT82" s="117">
        <f t="shared" si="141"/>
        <v>0</v>
      </c>
      <c r="DU82" s="117">
        <f t="shared" si="142"/>
        <v>0</v>
      </c>
      <c r="DV82" s="117">
        <f t="shared" si="143"/>
        <v>0</v>
      </c>
      <c r="DW82" s="117">
        <f t="shared" si="144"/>
        <v>0</v>
      </c>
      <c r="DX82" s="117">
        <f t="shared" si="145"/>
        <v>0</v>
      </c>
      <c r="DY82" s="117">
        <f t="shared" si="146"/>
        <v>0</v>
      </c>
      <c r="DZ82" s="117">
        <f t="shared" si="147"/>
        <v>0</v>
      </c>
      <c r="EA82" s="117">
        <f t="shared" si="148"/>
        <v>0</v>
      </c>
      <c r="EB82" s="117">
        <f t="shared" si="149"/>
        <v>0</v>
      </c>
      <c r="EC82" s="117">
        <f t="shared" si="150"/>
        <v>0</v>
      </c>
      <c r="ED82" s="117">
        <f t="shared" si="151"/>
        <v>0</v>
      </c>
      <c r="EE82" s="117">
        <f t="shared" si="152"/>
        <v>0</v>
      </c>
      <c r="EF82" s="117">
        <f t="shared" si="153"/>
        <v>0</v>
      </c>
      <c r="EG82" s="117">
        <f t="shared" si="154"/>
        <v>0</v>
      </c>
      <c r="EH82" s="117">
        <f t="shared" si="155"/>
        <v>0</v>
      </c>
      <c r="EI82" s="117">
        <f t="shared" si="156"/>
        <v>0</v>
      </c>
      <c r="EJ82" s="117">
        <f t="shared" si="157"/>
        <v>0</v>
      </c>
      <c r="EK82" s="117">
        <f t="shared" si="158"/>
        <v>0</v>
      </c>
      <c r="EL82" s="117">
        <f t="shared" si="159"/>
        <v>0</v>
      </c>
      <c r="EM82" s="117">
        <f t="shared" si="160"/>
        <v>0</v>
      </c>
      <c r="EN82" s="117">
        <f t="shared" si="161"/>
        <v>0</v>
      </c>
      <c r="EO82" s="117">
        <f t="shared" si="162"/>
        <v>0</v>
      </c>
      <c r="EP82" s="117">
        <f t="shared" si="163"/>
        <v>0</v>
      </c>
      <c r="EQ82" s="117">
        <f t="shared" si="164"/>
        <v>0</v>
      </c>
      <c r="ER82" s="117">
        <f t="shared" si="165"/>
        <v>0</v>
      </c>
      <c r="ES82" s="117">
        <f t="shared" si="166"/>
        <v>0</v>
      </c>
      <c r="ET82" s="176">
        <f t="shared" si="167"/>
        <v>0</v>
      </c>
      <c r="EU82" s="71"/>
      <c r="EV82" s="116">
        <f t="shared" si="168"/>
        <v>2646.7166249999996</v>
      </c>
      <c r="EW82" s="117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7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7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7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7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7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7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7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7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7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7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7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7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7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7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7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7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7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7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7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7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7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7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7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7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7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7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7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7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7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7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7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7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7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7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7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7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7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7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7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6">
        <f t="shared" ca="1" si="169"/>
        <v>0</v>
      </c>
    </row>
    <row r="83" spans="109:193">
      <c r="DE83" s="116">
        <f t="shared" si="126"/>
        <v>2786.0174999999995</v>
      </c>
      <c r="DF83" s="117">
        <f t="shared" si="127"/>
        <v>0</v>
      </c>
      <c r="DG83" s="117">
        <f t="shared" si="128"/>
        <v>0</v>
      </c>
      <c r="DH83" s="117">
        <f t="shared" si="129"/>
        <v>0</v>
      </c>
      <c r="DI83" s="117">
        <f t="shared" si="130"/>
        <v>0</v>
      </c>
      <c r="DJ83" s="117">
        <f t="shared" si="131"/>
        <v>0</v>
      </c>
      <c r="DK83" s="117">
        <f t="shared" si="132"/>
        <v>0</v>
      </c>
      <c r="DL83" s="117">
        <f t="shared" si="133"/>
        <v>0</v>
      </c>
      <c r="DM83" s="117">
        <f t="shared" si="134"/>
        <v>0</v>
      </c>
      <c r="DN83" s="117">
        <f t="shared" si="135"/>
        <v>0</v>
      </c>
      <c r="DO83" s="117">
        <f t="shared" si="136"/>
        <v>0</v>
      </c>
      <c r="DP83" s="117">
        <f t="shared" si="137"/>
        <v>0</v>
      </c>
      <c r="DQ83" s="117">
        <f t="shared" si="138"/>
        <v>0</v>
      </c>
      <c r="DR83" s="117">
        <f t="shared" si="139"/>
        <v>0</v>
      </c>
      <c r="DS83" s="117">
        <f t="shared" si="140"/>
        <v>0</v>
      </c>
      <c r="DT83" s="117">
        <f t="shared" si="141"/>
        <v>0</v>
      </c>
      <c r="DU83" s="117">
        <f t="shared" si="142"/>
        <v>0</v>
      </c>
      <c r="DV83" s="117">
        <f t="shared" si="143"/>
        <v>0</v>
      </c>
      <c r="DW83" s="117">
        <f t="shared" si="144"/>
        <v>0</v>
      </c>
      <c r="DX83" s="117">
        <f t="shared" si="145"/>
        <v>0</v>
      </c>
      <c r="DY83" s="117">
        <f t="shared" si="146"/>
        <v>0</v>
      </c>
      <c r="DZ83" s="117">
        <f t="shared" si="147"/>
        <v>0</v>
      </c>
      <c r="EA83" s="117">
        <f t="shared" si="148"/>
        <v>0</v>
      </c>
      <c r="EB83" s="117">
        <f t="shared" si="149"/>
        <v>0</v>
      </c>
      <c r="EC83" s="117">
        <f t="shared" si="150"/>
        <v>0</v>
      </c>
      <c r="ED83" s="117">
        <f t="shared" si="151"/>
        <v>0</v>
      </c>
      <c r="EE83" s="117">
        <f t="shared" si="152"/>
        <v>0</v>
      </c>
      <c r="EF83" s="117">
        <f t="shared" si="153"/>
        <v>0</v>
      </c>
      <c r="EG83" s="117">
        <f t="shared" si="154"/>
        <v>0</v>
      </c>
      <c r="EH83" s="117">
        <f t="shared" si="155"/>
        <v>0</v>
      </c>
      <c r="EI83" s="117">
        <f t="shared" si="156"/>
        <v>0</v>
      </c>
      <c r="EJ83" s="117">
        <f t="shared" si="157"/>
        <v>0</v>
      </c>
      <c r="EK83" s="117">
        <f t="shared" si="158"/>
        <v>0</v>
      </c>
      <c r="EL83" s="117">
        <f t="shared" si="159"/>
        <v>0</v>
      </c>
      <c r="EM83" s="117">
        <f t="shared" si="160"/>
        <v>0</v>
      </c>
      <c r="EN83" s="117">
        <f t="shared" si="161"/>
        <v>0</v>
      </c>
      <c r="EO83" s="117">
        <f t="shared" si="162"/>
        <v>0</v>
      </c>
      <c r="EP83" s="117">
        <f t="shared" si="163"/>
        <v>0</v>
      </c>
      <c r="EQ83" s="117">
        <f t="shared" si="164"/>
        <v>0</v>
      </c>
      <c r="ER83" s="117">
        <f t="shared" si="165"/>
        <v>0</v>
      </c>
      <c r="ES83" s="117">
        <f t="shared" si="166"/>
        <v>0</v>
      </c>
      <c r="ET83" s="176">
        <f t="shared" si="167"/>
        <v>0</v>
      </c>
      <c r="EU83" s="71"/>
      <c r="EV83" s="116">
        <f t="shared" si="168"/>
        <v>2786.0174999999995</v>
      </c>
      <c r="EW83" s="117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7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7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7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7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7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7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7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7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7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7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7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7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7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7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7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7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7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7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7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7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7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7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7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7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7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7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7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7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7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7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7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7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7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7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7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7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7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7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7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6">
        <f t="shared" ca="1" si="169"/>
        <v>0</v>
      </c>
    </row>
    <row r="84" spans="109:193">
      <c r="DE84" s="116">
        <f t="shared" si="126"/>
        <v>2932.6499999999996</v>
      </c>
      <c r="DF84" s="117">
        <f t="shared" si="127"/>
        <v>0</v>
      </c>
      <c r="DG84" s="117">
        <f t="shared" si="128"/>
        <v>0</v>
      </c>
      <c r="DH84" s="117">
        <f t="shared" si="129"/>
        <v>0</v>
      </c>
      <c r="DI84" s="117">
        <f t="shared" si="130"/>
        <v>0</v>
      </c>
      <c r="DJ84" s="117">
        <f t="shared" si="131"/>
        <v>0</v>
      </c>
      <c r="DK84" s="117">
        <f t="shared" si="132"/>
        <v>0</v>
      </c>
      <c r="DL84" s="117">
        <f t="shared" si="133"/>
        <v>0</v>
      </c>
      <c r="DM84" s="117">
        <f t="shared" si="134"/>
        <v>0</v>
      </c>
      <c r="DN84" s="117">
        <f t="shared" si="135"/>
        <v>0</v>
      </c>
      <c r="DO84" s="117">
        <f t="shared" si="136"/>
        <v>0</v>
      </c>
      <c r="DP84" s="117">
        <f t="shared" si="137"/>
        <v>0</v>
      </c>
      <c r="DQ84" s="117">
        <f t="shared" si="138"/>
        <v>0</v>
      </c>
      <c r="DR84" s="117">
        <f t="shared" si="139"/>
        <v>0</v>
      </c>
      <c r="DS84" s="117">
        <f t="shared" si="140"/>
        <v>0</v>
      </c>
      <c r="DT84" s="117">
        <f t="shared" si="141"/>
        <v>0</v>
      </c>
      <c r="DU84" s="117">
        <f t="shared" si="142"/>
        <v>0</v>
      </c>
      <c r="DV84" s="117">
        <f t="shared" si="143"/>
        <v>0</v>
      </c>
      <c r="DW84" s="117">
        <f t="shared" si="144"/>
        <v>0</v>
      </c>
      <c r="DX84" s="117">
        <f t="shared" si="145"/>
        <v>0</v>
      </c>
      <c r="DY84" s="117">
        <f t="shared" si="146"/>
        <v>0</v>
      </c>
      <c r="DZ84" s="117">
        <f t="shared" si="147"/>
        <v>0</v>
      </c>
      <c r="EA84" s="117">
        <f t="shared" si="148"/>
        <v>0</v>
      </c>
      <c r="EB84" s="117">
        <f t="shared" si="149"/>
        <v>0</v>
      </c>
      <c r="EC84" s="117">
        <f t="shared" si="150"/>
        <v>0</v>
      </c>
      <c r="ED84" s="117">
        <f t="shared" si="151"/>
        <v>0</v>
      </c>
      <c r="EE84" s="117">
        <f t="shared" si="152"/>
        <v>0</v>
      </c>
      <c r="EF84" s="117">
        <f t="shared" si="153"/>
        <v>0</v>
      </c>
      <c r="EG84" s="117">
        <f t="shared" si="154"/>
        <v>0</v>
      </c>
      <c r="EH84" s="117">
        <f t="shared" si="155"/>
        <v>0</v>
      </c>
      <c r="EI84" s="117">
        <f t="shared" si="156"/>
        <v>0</v>
      </c>
      <c r="EJ84" s="117">
        <f t="shared" si="157"/>
        <v>0</v>
      </c>
      <c r="EK84" s="117">
        <f t="shared" si="158"/>
        <v>0</v>
      </c>
      <c r="EL84" s="117">
        <f t="shared" si="159"/>
        <v>0</v>
      </c>
      <c r="EM84" s="117">
        <f t="shared" si="160"/>
        <v>0</v>
      </c>
      <c r="EN84" s="117">
        <f t="shared" si="161"/>
        <v>0</v>
      </c>
      <c r="EO84" s="117">
        <f t="shared" si="162"/>
        <v>0</v>
      </c>
      <c r="EP84" s="117">
        <f t="shared" si="163"/>
        <v>0</v>
      </c>
      <c r="EQ84" s="117">
        <f t="shared" si="164"/>
        <v>0</v>
      </c>
      <c r="ER84" s="117">
        <f t="shared" si="165"/>
        <v>0</v>
      </c>
      <c r="ES84" s="117">
        <f t="shared" si="166"/>
        <v>0</v>
      </c>
      <c r="ET84" s="176">
        <f t="shared" si="167"/>
        <v>0</v>
      </c>
      <c r="EU84" s="71"/>
      <c r="EV84" s="116">
        <f t="shared" si="168"/>
        <v>2932.6499999999996</v>
      </c>
      <c r="EW84" s="117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7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7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7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7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7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7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7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7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7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7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7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7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7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7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7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7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7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7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7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7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7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7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7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7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7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7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7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7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7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7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7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7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7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7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7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7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7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7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7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6">
        <f t="shared" ca="1" si="169"/>
        <v>0</v>
      </c>
    </row>
    <row r="85" spans="109:193">
      <c r="DE85" s="116">
        <f t="shared" si="126"/>
        <v>3087</v>
      </c>
      <c r="DF85" s="117">
        <f t="shared" si="127"/>
        <v>0</v>
      </c>
      <c r="DG85" s="117">
        <f t="shared" si="128"/>
        <v>0</v>
      </c>
      <c r="DH85" s="117">
        <f t="shared" si="129"/>
        <v>0</v>
      </c>
      <c r="DI85" s="117">
        <f t="shared" si="130"/>
        <v>0</v>
      </c>
      <c r="DJ85" s="117">
        <f t="shared" si="131"/>
        <v>0</v>
      </c>
      <c r="DK85" s="117">
        <f t="shared" si="132"/>
        <v>0</v>
      </c>
      <c r="DL85" s="117">
        <f t="shared" si="133"/>
        <v>0</v>
      </c>
      <c r="DM85" s="117">
        <f t="shared" si="134"/>
        <v>0</v>
      </c>
      <c r="DN85" s="117">
        <f t="shared" si="135"/>
        <v>0</v>
      </c>
      <c r="DO85" s="117">
        <f t="shared" si="136"/>
        <v>0</v>
      </c>
      <c r="DP85" s="117">
        <f t="shared" si="137"/>
        <v>0</v>
      </c>
      <c r="DQ85" s="117">
        <f t="shared" si="138"/>
        <v>0</v>
      </c>
      <c r="DR85" s="117">
        <f t="shared" si="139"/>
        <v>0</v>
      </c>
      <c r="DS85" s="117">
        <f t="shared" si="140"/>
        <v>0</v>
      </c>
      <c r="DT85" s="117">
        <f t="shared" si="141"/>
        <v>0</v>
      </c>
      <c r="DU85" s="117">
        <f t="shared" si="142"/>
        <v>0</v>
      </c>
      <c r="DV85" s="117">
        <f t="shared" si="143"/>
        <v>0</v>
      </c>
      <c r="DW85" s="117">
        <f t="shared" si="144"/>
        <v>0</v>
      </c>
      <c r="DX85" s="117">
        <f t="shared" si="145"/>
        <v>0</v>
      </c>
      <c r="DY85" s="117">
        <f t="shared" si="146"/>
        <v>0</v>
      </c>
      <c r="DZ85" s="117">
        <f t="shared" si="147"/>
        <v>0</v>
      </c>
      <c r="EA85" s="117">
        <f t="shared" si="148"/>
        <v>0</v>
      </c>
      <c r="EB85" s="117">
        <f t="shared" si="149"/>
        <v>0</v>
      </c>
      <c r="EC85" s="117">
        <f t="shared" si="150"/>
        <v>0</v>
      </c>
      <c r="ED85" s="117">
        <f t="shared" si="151"/>
        <v>0</v>
      </c>
      <c r="EE85" s="117">
        <f t="shared" si="152"/>
        <v>0</v>
      </c>
      <c r="EF85" s="117">
        <f t="shared" si="153"/>
        <v>0</v>
      </c>
      <c r="EG85" s="117">
        <f t="shared" si="154"/>
        <v>0</v>
      </c>
      <c r="EH85" s="117">
        <f t="shared" si="155"/>
        <v>0</v>
      </c>
      <c r="EI85" s="117">
        <f t="shared" si="156"/>
        <v>0</v>
      </c>
      <c r="EJ85" s="117">
        <f t="shared" si="157"/>
        <v>0</v>
      </c>
      <c r="EK85" s="117">
        <f t="shared" si="158"/>
        <v>0</v>
      </c>
      <c r="EL85" s="117">
        <f t="shared" si="159"/>
        <v>0</v>
      </c>
      <c r="EM85" s="117">
        <f t="shared" si="160"/>
        <v>0</v>
      </c>
      <c r="EN85" s="117">
        <f t="shared" si="161"/>
        <v>0</v>
      </c>
      <c r="EO85" s="117">
        <f t="shared" si="162"/>
        <v>0</v>
      </c>
      <c r="EP85" s="117">
        <f t="shared" si="163"/>
        <v>0</v>
      </c>
      <c r="EQ85" s="117">
        <f t="shared" si="164"/>
        <v>0</v>
      </c>
      <c r="ER85" s="117">
        <f t="shared" si="165"/>
        <v>0</v>
      </c>
      <c r="ES85" s="117">
        <f t="shared" si="166"/>
        <v>0</v>
      </c>
      <c r="ET85" s="176">
        <f t="shared" si="167"/>
        <v>0</v>
      </c>
      <c r="EU85" s="71"/>
      <c r="EV85" s="116">
        <f t="shared" si="168"/>
        <v>3087</v>
      </c>
      <c r="EW85" s="117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7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7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7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7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7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7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7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7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7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7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7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7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7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7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7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7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7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7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7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7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7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7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7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7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7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7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7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7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7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7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7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7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7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7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7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7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7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7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7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6">
        <f t="shared" ca="1" si="169"/>
        <v>0</v>
      </c>
    </row>
    <row r="86" spans="109:193">
      <c r="DE86" s="116">
        <f t="shared" si="126"/>
        <v>3241.3500000000004</v>
      </c>
      <c r="DF86" s="117">
        <f t="shared" si="127"/>
        <v>0</v>
      </c>
      <c r="DG86" s="117">
        <f t="shared" si="128"/>
        <v>0</v>
      </c>
      <c r="DH86" s="117">
        <f t="shared" si="129"/>
        <v>0</v>
      </c>
      <c r="DI86" s="117">
        <f t="shared" si="130"/>
        <v>0</v>
      </c>
      <c r="DJ86" s="117">
        <f t="shared" si="131"/>
        <v>0</v>
      </c>
      <c r="DK86" s="117">
        <f t="shared" si="132"/>
        <v>0</v>
      </c>
      <c r="DL86" s="117">
        <f t="shared" si="133"/>
        <v>0</v>
      </c>
      <c r="DM86" s="117">
        <f t="shared" si="134"/>
        <v>0</v>
      </c>
      <c r="DN86" s="117">
        <f t="shared" si="135"/>
        <v>0</v>
      </c>
      <c r="DO86" s="117">
        <f t="shared" si="136"/>
        <v>0</v>
      </c>
      <c r="DP86" s="117">
        <f t="shared" si="137"/>
        <v>0</v>
      </c>
      <c r="DQ86" s="117">
        <f t="shared" si="138"/>
        <v>0</v>
      </c>
      <c r="DR86" s="117">
        <f t="shared" si="139"/>
        <v>0</v>
      </c>
      <c r="DS86" s="117">
        <f t="shared" si="140"/>
        <v>0</v>
      </c>
      <c r="DT86" s="117">
        <f t="shared" si="141"/>
        <v>0</v>
      </c>
      <c r="DU86" s="117">
        <f t="shared" si="142"/>
        <v>0</v>
      </c>
      <c r="DV86" s="117">
        <f t="shared" si="143"/>
        <v>0</v>
      </c>
      <c r="DW86" s="117">
        <f t="shared" si="144"/>
        <v>0</v>
      </c>
      <c r="DX86" s="117">
        <f t="shared" si="145"/>
        <v>0</v>
      </c>
      <c r="DY86" s="117">
        <f t="shared" si="146"/>
        <v>0</v>
      </c>
      <c r="DZ86" s="117">
        <f t="shared" si="147"/>
        <v>0</v>
      </c>
      <c r="EA86" s="117">
        <f t="shared" si="148"/>
        <v>0</v>
      </c>
      <c r="EB86" s="117">
        <f t="shared" si="149"/>
        <v>0</v>
      </c>
      <c r="EC86" s="117">
        <f t="shared" si="150"/>
        <v>0</v>
      </c>
      <c r="ED86" s="117">
        <f t="shared" si="151"/>
        <v>0</v>
      </c>
      <c r="EE86" s="117">
        <f t="shared" si="152"/>
        <v>0</v>
      </c>
      <c r="EF86" s="117">
        <f t="shared" si="153"/>
        <v>0</v>
      </c>
      <c r="EG86" s="117">
        <f t="shared" si="154"/>
        <v>0</v>
      </c>
      <c r="EH86" s="117">
        <f t="shared" si="155"/>
        <v>0</v>
      </c>
      <c r="EI86" s="117">
        <f t="shared" si="156"/>
        <v>0</v>
      </c>
      <c r="EJ86" s="117">
        <f t="shared" si="157"/>
        <v>0</v>
      </c>
      <c r="EK86" s="117">
        <f t="shared" si="158"/>
        <v>0</v>
      </c>
      <c r="EL86" s="117">
        <f t="shared" si="159"/>
        <v>0</v>
      </c>
      <c r="EM86" s="117">
        <f t="shared" si="160"/>
        <v>0</v>
      </c>
      <c r="EN86" s="117">
        <f t="shared" si="161"/>
        <v>0</v>
      </c>
      <c r="EO86" s="117">
        <f t="shared" si="162"/>
        <v>0</v>
      </c>
      <c r="EP86" s="117">
        <f t="shared" si="163"/>
        <v>0</v>
      </c>
      <c r="EQ86" s="117">
        <f t="shared" si="164"/>
        <v>0</v>
      </c>
      <c r="ER86" s="117">
        <f t="shared" si="165"/>
        <v>0</v>
      </c>
      <c r="ES86" s="117">
        <f t="shared" si="166"/>
        <v>0</v>
      </c>
      <c r="ET86" s="176">
        <f t="shared" si="167"/>
        <v>0</v>
      </c>
      <c r="EU86" s="71"/>
      <c r="EV86" s="116">
        <f t="shared" si="168"/>
        <v>3241.3500000000004</v>
      </c>
      <c r="EW86" s="117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7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7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7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7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7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7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7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7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7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7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7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7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7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7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7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7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7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7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7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7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7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7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7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7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7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7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7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7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7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7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7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7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7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7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7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7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7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7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7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6">
        <f t="shared" ca="1" si="169"/>
        <v>0</v>
      </c>
    </row>
    <row r="87" spans="109:193">
      <c r="DE87" s="116">
        <f t="shared" si="126"/>
        <v>3403.4175000000005</v>
      </c>
      <c r="DF87" s="117">
        <f t="shared" si="127"/>
        <v>0</v>
      </c>
      <c r="DG87" s="117">
        <f t="shared" si="128"/>
        <v>0</v>
      </c>
      <c r="DH87" s="117">
        <f t="shared" si="129"/>
        <v>0</v>
      </c>
      <c r="DI87" s="117">
        <f t="shared" si="130"/>
        <v>0</v>
      </c>
      <c r="DJ87" s="117">
        <f t="shared" si="131"/>
        <v>0</v>
      </c>
      <c r="DK87" s="117">
        <f t="shared" si="132"/>
        <v>0</v>
      </c>
      <c r="DL87" s="117">
        <f t="shared" si="133"/>
        <v>0</v>
      </c>
      <c r="DM87" s="117">
        <f t="shared" si="134"/>
        <v>0</v>
      </c>
      <c r="DN87" s="117">
        <f t="shared" si="135"/>
        <v>0</v>
      </c>
      <c r="DO87" s="117">
        <f t="shared" si="136"/>
        <v>0</v>
      </c>
      <c r="DP87" s="117">
        <f t="shared" si="137"/>
        <v>0</v>
      </c>
      <c r="DQ87" s="117">
        <f t="shared" si="138"/>
        <v>0</v>
      </c>
      <c r="DR87" s="117">
        <f t="shared" si="139"/>
        <v>0</v>
      </c>
      <c r="DS87" s="117">
        <f t="shared" si="140"/>
        <v>0</v>
      </c>
      <c r="DT87" s="117">
        <f t="shared" si="141"/>
        <v>0</v>
      </c>
      <c r="DU87" s="117">
        <f t="shared" si="142"/>
        <v>0</v>
      </c>
      <c r="DV87" s="117">
        <f t="shared" si="143"/>
        <v>0</v>
      </c>
      <c r="DW87" s="117">
        <f t="shared" si="144"/>
        <v>0</v>
      </c>
      <c r="DX87" s="117">
        <f t="shared" si="145"/>
        <v>0</v>
      </c>
      <c r="DY87" s="117">
        <f t="shared" si="146"/>
        <v>0</v>
      </c>
      <c r="DZ87" s="117">
        <f t="shared" si="147"/>
        <v>0</v>
      </c>
      <c r="EA87" s="117">
        <f t="shared" si="148"/>
        <v>0</v>
      </c>
      <c r="EB87" s="117">
        <f t="shared" si="149"/>
        <v>0</v>
      </c>
      <c r="EC87" s="117">
        <f t="shared" si="150"/>
        <v>0</v>
      </c>
      <c r="ED87" s="117">
        <f t="shared" si="151"/>
        <v>0</v>
      </c>
      <c r="EE87" s="117">
        <f t="shared" si="152"/>
        <v>0</v>
      </c>
      <c r="EF87" s="117">
        <f t="shared" si="153"/>
        <v>0</v>
      </c>
      <c r="EG87" s="117">
        <f t="shared" si="154"/>
        <v>0</v>
      </c>
      <c r="EH87" s="117">
        <f t="shared" si="155"/>
        <v>0</v>
      </c>
      <c r="EI87" s="117">
        <f t="shared" si="156"/>
        <v>0</v>
      </c>
      <c r="EJ87" s="117">
        <f t="shared" si="157"/>
        <v>0</v>
      </c>
      <c r="EK87" s="117">
        <f t="shared" si="158"/>
        <v>0</v>
      </c>
      <c r="EL87" s="117">
        <f t="shared" si="159"/>
        <v>0</v>
      </c>
      <c r="EM87" s="117">
        <f t="shared" si="160"/>
        <v>0</v>
      </c>
      <c r="EN87" s="117">
        <f t="shared" si="161"/>
        <v>0</v>
      </c>
      <c r="EO87" s="117">
        <f t="shared" si="162"/>
        <v>0</v>
      </c>
      <c r="EP87" s="117">
        <f t="shared" si="163"/>
        <v>0</v>
      </c>
      <c r="EQ87" s="117">
        <f t="shared" si="164"/>
        <v>0</v>
      </c>
      <c r="ER87" s="117">
        <f t="shared" si="165"/>
        <v>0</v>
      </c>
      <c r="ES87" s="117">
        <f t="shared" si="166"/>
        <v>0</v>
      </c>
      <c r="ET87" s="176">
        <f t="shared" si="167"/>
        <v>0</v>
      </c>
      <c r="EU87" s="71"/>
      <c r="EV87" s="116">
        <f t="shared" si="168"/>
        <v>3403.4175000000005</v>
      </c>
      <c r="EW87" s="117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7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7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7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7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7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7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7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7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7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7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7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7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7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7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7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7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7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7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7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7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7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7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7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7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7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7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7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7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7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7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7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7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7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7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7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7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7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7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7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6">
        <f t="shared" ca="1" si="169"/>
        <v>0</v>
      </c>
    </row>
    <row r="88" spans="109:193">
      <c r="DE88" s="116">
        <f t="shared" si="126"/>
        <v>3573.5883750000007</v>
      </c>
      <c r="DF88" s="117">
        <f t="shared" si="127"/>
        <v>0</v>
      </c>
      <c r="DG88" s="117">
        <f t="shared" si="128"/>
        <v>0</v>
      </c>
      <c r="DH88" s="117">
        <f t="shared" si="129"/>
        <v>0</v>
      </c>
      <c r="DI88" s="117">
        <f t="shared" si="130"/>
        <v>0</v>
      </c>
      <c r="DJ88" s="117">
        <f t="shared" si="131"/>
        <v>0</v>
      </c>
      <c r="DK88" s="117">
        <f t="shared" si="132"/>
        <v>0</v>
      </c>
      <c r="DL88" s="117">
        <f t="shared" si="133"/>
        <v>0</v>
      </c>
      <c r="DM88" s="117">
        <f t="shared" si="134"/>
        <v>0</v>
      </c>
      <c r="DN88" s="117">
        <f t="shared" si="135"/>
        <v>0</v>
      </c>
      <c r="DO88" s="117">
        <f t="shared" si="136"/>
        <v>0</v>
      </c>
      <c r="DP88" s="117">
        <f t="shared" si="137"/>
        <v>0</v>
      </c>
      <c r="DQ88" s="117">
        <f t="shared" si="138"/>
        <v>0</v>
      </c>
      <c r="DR88" s="117">
        <f t="shared" si="139"/>
        <v>0</v>
      </c>
      <c r="DS88" s="117">
        <f t="shared" si="140"/>
        <v>0</v>
      </c>
      <c r="DT88" s="117">
        <f t="shared" si="141"/>
        <v>0</v>
      </c>
      <c r="DU88" s="117">
        <f t="shared" si="142"/>
        <v>0</v>
      </c>
      <c r="DV88" s="117">
        <f t="shared" si="143"/>
        <v>0</v>
      </c>
      <c r="DW88" s="117">
        <f t="shared" si="144"/>
        <v>0</v>
      </c>
      <c r="DX88" s="117">
        <f t="shared" si="145"/>
        <v>0</v>
      </c>
      <c r="DY88" s="117">
        <f t="shared" si="146"/>
        <v>0</v>
      </c>
      <c r="DZ88" s="117">
        <f t="shared" si="147"/>
        <v>0</v>
      </c>
      <c r="EA88" s="117">
        <f t="shared" si="148"/>
        <v>0</v>
      </c>
      <c r="EB88" s="117">
        <f t="shared" si="149"/>
        <v>0</v>
      </c>
      <c r="EC88" s="117">
        <f t="shared" si="150"/>
        <v>0</v>
      </c>
      <c r="ED88" s="117">
        <f t="shared" si="151"/>
        <v>0</v>
      </c>
      <c r="EE88" s="117">
        <f t="shared" si="152"/>
        <v>0</v>
      </c>
      <c r="EF88" s="117">
        <f t="shared" si="153"/>
        <v>0</v>
      </c>
      <c r="EG88" s="117">
        <f t="shared" si="154"/>
        <v>0</v>
      </c>
      <c r="EH88" s="117">
        <f t="shared" si="155"/>
        <v>0</v>
      </c>
      <c r="EI88" s="117">
        <f t="shared" si="156"/>
        <v>0</v>
      </c>
      <c r="EJ88" s="117">
        <f t="shared" si="157"/>
        <v>0</v>
      </c>
      <c r="EK88" s="117">
        <f t="shared" si="158"/>
        <v>0</v>
      </c>
      <c r="EL88" s="117">
        <f t="shared" si="159"/>
        <v>0</v>
      </c>
      <c r="EM88" s="117">
        <f t="shared" si="160"/>
        <v>0</v>
      </c>
      <c r="EN88" s="117">
        <f t="shared" si="161"/>
        <v>0</v>
      </c>
      <c r="EO88" s="117">
        <f t="shared" si="162"/>
        <v>0</v>
      </c>
      <c r="EP88" s="117">
        <f t="shared" si="163"/>
        <v>0</v>
      </c>
      <c r="EQ88" s="117">
        <f t="shared" si="164"/>
        <v>0</v>
      </c>
      <c r="ER88" s="117">
        <f t="shared" si="165"/>
        <v>0</v>
      </c>
      <c r="ES88" s="117">
        <f t="shared" si="166"/>
        <v>0</v>
      </c>
      <c r="ET88" s="176">
        <f t="shared" si="167"/>
        <v>0</v>
      </c>
      <c r="EU88" s="71"/>
      <c r="EV88" s="116">
        <f t="shared" si="168"/>
        <v>3573.5883750000007</v>
      </c>
      <c r="EW88" s="117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7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7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7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7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7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7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7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7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7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7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7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7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7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7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7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7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7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7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7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7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7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7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7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7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7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7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7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7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7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7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7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7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7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7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7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7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7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7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7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6">
        <f t="shared" ca="1" si="169"/>
        <v>0</v>
      </c>
    </row>
    <row r="89" spans="109:193">
      <c r="DE89" s="116">
        <f t="shared" si="126"/>
        <v>3752.2677937500007</v>
      </c>
      <c r="DF89" s="117">
        <f t="shared" si="127"/>
        <v>0</v>
      </c>
      <c r="DG89" s="117">
        <f t="shared" si="128"/>
        <v>0</v>
      </c>
      <c r="DH89" s="117">
        <f t="shared" si="129"/>
        <v>0</v>
      </c>
      <c r="DI89" s="117">
        <f t="shared" si="130"/>
        <v>0</v>
      </c>
      <c r="DJ89" s="117">
        <f t="shared" si="131"/>
        <v>0</v>
      </c>
      <c r="DK89" s="117">
        <f t="shared" si="132"/>
        <v>0</v>
      </c>
      <c r="DL89" s="117">
        <f t="shared" si="133"/>
        <v>0</v>
      </c>
      <c r="DM89" s="117">
        <f t="shared" si="134"/>
        <v>0</v>
      </c>
      <c r="DN89" s="117">
        <f t="shared" si="135"/>
        <v>0</v>
      </c>
      <c r="DO89" s="117">
        <f t="shared" si="136"/>
        <v>0</v>
      </c>
      <c r="DP89" s="117">
        <f t="shared" si="137"/>
        <v>0</v>
      </c>
      <c r="DQ89" s="117">
        <f t="shared" si="138"/>
        <v>0</v>
      </c>
      <c r="DR89" s="117">
        <f t="shared" si="139"/>
        <v>0</v>
      </c>
      <c r="DS89" s="117">
        <f t="shared" si="140"/>
        <v>0</v>
      </c>
      <c r="DT89" s="117">
        <f t="shared" si="141"/>
        <v>0</v>
      </c>
      <c r="DU89" s="117">
        <f t="shared" si="142"/>
        <v>0</v>
      </c>
      <c r="DV89" s="117">
        <f t="shared" si="143"/>
        <v>0</v>
      </c>
      <c r="DW89" s="117">
        <f t="shared" si="144"/>
        <v>0</v>
      </c>
      <c r="DX89" s="117">
        <f t="shared" si="145"/>
        <v>0</v>
      </c>
      <c r="DY89" s="117">
        <f t="shared" si="146"/>
        <v>0</v>
      </c>
      <c r="DZ89" s="117">
        <f t="shared" si="147"/>
        <v>0</v>
      </c>
      <c r="EA89" s="117">
        <f t="shared" si="148"/>
        <v>0</v>
      </c>
      <c r="EB89" s="117">
        <f t="shared" si="149"/>
        <v>0</v>
      </c>
      <c r="EC89" s="117">
        <f t="shared" si="150"/>
        <v>0</v>
      </c>
      <c r="ED89" s="117">
        <f t="shared" si="151"/>
        <v>0</v>
      </c>
      <c r="EE89" s="117">
        <f t="shared" si="152"/>
        <v>0</v>
      </c>
      <c r="EF89" s="117">
        <f t="shared" si="153"/>
        <v>0</v>
      </c>
      <c r="EG89" s="117">
        <f t="shared" si="154"/>
        <v>0</v>
      </c>
      <c r="EH89" s="117">
        <f t="shared" si="155"/>
        <v>0</v>
      </c>
      <c r="EI89" s="117">
        <f t="shared" si="156"/>
        <v>0</v>
      </c>
      <c r="EJ89" s="117">
        <f t="shared" si="157"/>
        <v>0</v>
      </c>
      <c r="EK89" s="117">
        <f t="shared" si="158"/>
        <v>0</v>
      </c>
      <c r="EL89" s="117">
        <f t="shared" si="159"/>
        <v>0</v>
      </c>
      <c r="EM89" s="117">
        <f t="shared" si="160"/>
        <v>0</v>
      </c>
      <c r="EN89" s="117">
        <f t="shared" si="161"/>
        <v>0</v>
      </c>
      <c r="EO89" s="117">
        <f t="shared" si="162"/>
        <v>0</v>
      </c>
      <c r="EP89" s="117">
        <f t="shared" si="163"/>
        <v>0</v>
      </c>
      <c r="EQ89" s="117">
        <f t="shared" si="164"/>
        <v>0</v>
      </c>
      <c r="ER89" s="117">
        <f t="shared" si="165"/>
        <v>0</v>
      </c>
      <c r="ES89" s="117">
        <f t="shared" si="166"/>
        <v>0</v>
      </c>
      <c r="ET89" s="176">
        <f t="shared" si="167"/>
        <v>0</v>
      </c>
      <c r="EU89" s="71"/>
      <c r="EV89" s="116">
        <f t="shared" si="168"/>
        <v>3752.2677937500007</v>
      </c>
      <c r="EW89" s="117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7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7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7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7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7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7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7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7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7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7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7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7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7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7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7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7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7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7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7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7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7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7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7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7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7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7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7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7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7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7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7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7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7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7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7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7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7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7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7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6">
        <f t="shared" ca="1" si="169"/>
        <v>0</v>
      </c>
    </row>
    <row r="90" spans="109:193">
      <c r="DE90" s="116">
        <f t="shared" si="126"/>
        <v>3939.881183437501</v>
      </c>
      <c r="DF90" s="117">
        <f t="shared" si="127"/>
        <v>0</v>
      </c>
      <c r="DG90" s="117">
        <f t="shared" si="128"/>
        <v>0</v>
      </c>
      <c r="DH90" s="117">
        <f t="shared" si="129"/>
        <v>0</v>
      </c>
      <c r="DI90" s="117">
        <f t="shared" si="130"/>
        <v>0</v>
      </c>
      <c r="DJ90" s="117">
        <f t="shared" si="131"/>
        <v>0</v>
      </c>
      <c r="DK90" s="117">
        <f t="shared" si="132"/>
        <v>0</v>
      </c>
      <c r="DL90" s="117">
        <f t="shared" si="133"/>
        <v>0</v>
      </c>
      <c r="DM90" s="117">
        <f t="shared" si="134"/>
        <v>0</v>
      </c>
      <c r="DN90" s="117">
        <f t="shared" si="135"/>
        <v>0</v>
      </c>
      <c r="DO90" s="117">
        <f t="shared" si="136"/>
        <v>0</v>
      </c>
      <c r="DP90" s="117">
        <f t="shared" si="137"/>
        <v>0</v>
      </c>
      <c r="DQ90" s="117">
        <f t="shared" si="138"/>
        <v>0</v>
      </c>
      <c r="DR90" s="117">
        <f t="shared" si="139"/>
        <v>0</v>
      </c>
      <c r="DS90" s="117">
        <f t="shared" si="140"/>
        <v>0</v>
      </c>
      <c r="DT90" s="117">
        <f t="shared" si="141"/>
        <v>0</v>
      </c>
      <c r="DU90" s="117">
        <f t="shared" si="142"/>
        <v>0</v>
      </c>
      <c r="DV90" s="117">
        <f t="shared" si="143"/>
        <v>0</v>
      </c>
      <c r="DW90" s="117">
        <f t="shared" si="144"/>
        <v>0</v>
      </c>
      <c r="DX90" s="117">
        <f t="shared" si="145"/>
        <v>0</v>
      </c>
      <c r="DY90" s="117">
        <f t="shared" si="146"/>
        <v>0</v>
      </c>
      <c r="DZ90" s="117">
        <f t="shared" si="147"/>
        <v>0</v>
      </c>
      <c r="EA90" s="117">
        <f t="shared" si="148"/>
        <v>0</v>
      </c>
      <c r="EB90" s="117">
        <f t="shared" si="149"/>
        <v>0</v>
      </c>
      <c r="EC90" s="117">
        <f t="shared" si="150"/>
        <v>0</v>
      </c>
      <c r="ED90" s="117">
        <f t="shared" si="151"/>
        <v>0</v>
      </c>
      <c r="EE90" s="117">
        <f t="shared" si="152"/>
        <v>0</v>
      </c>
      <c r="EF90" s="117">
        <f t="shared" si="153"/>
        <v>0</v>
      </c>
      <c r="EG90" s="117">
        <f t="shared" si="154"/>
        <v>0</v>
      </c>
      <c r="EH90" s="117">
        <f t="shared" si="155"/>
        <v>0</v>
      </c>
      <c r="EI90" s="117">
        <f t="shared" si="156"/>
        <v>0</v>
      </c>
      <c r="EJ90" s="117">
        <f t="shared" si="157"/>
        <v>0</v>
      </c>
      <c r="EK90" s="117">
        <f t="shared" si="158"/>
        <v>0</v>
      </c>
      <c r="EL90" s="117">
        <f t="shared" si="159"/>
        <v>0</v>
      </c>
      <c r="EM90" s="117">
        <f t="shared" si="160"/>
        <v>0</v>
      </c>
      <c r="EN90" s="117">
        <f t="shared" si="161"/>
        <v>0</v>
      </c>
      <c r="EO90" s="117">
        <f t="shared" si="162"/>
        <v>0</v>
      </c>
      <c r="EP90" s="117">
        <f t="shared" si="163"/>
        <v>0</v>
      </c>
      <c r="EQ90" s="117">
        <f t="shared" si="164"/>
        <v>0</v>
      </c>
      <c r="ER90" s="117">
        <f t="shared" si="165"/>
        <v>0</v>
      </c>
      <c r="ES90" s="117">
        <f t="shared" si="166"/>
        <v>0</v>
      </c>
      <c r="ET90" s="176">
        <f t="shared" si="167"/>
        <v>0</v>
      </c>
      <c r="EU90" s="71"/>
      <c r="EV90" s="116">
        <f t="shared" si="168"/>
        <v>3939.881183437501</v>
      </c>
      <c r="EW90" s="117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7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7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7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7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7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7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7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7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7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7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7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7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7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7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7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7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7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7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7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7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7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7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7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7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7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7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7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7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7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7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7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7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7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7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7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7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7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7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7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6">
        <f t="shared" ca="1" si="169"/>
        <v>0</v>
      </c>
    </row>
    <row r="91" spans="109:193">
      <c r="DE91" s="116">
        <f t="shared" si="126"/>
        <v>4136.8752426093761</v>
      </c>
      <c r="DF91" s="117">
        <f t="shared" si="127"/>
        <v>0</v>
      </c>
      <c r="DG91" s="117">
        <f t="shared" si="128"/>
        <v>0</v>
      </c>
      <c r="DH91" s="117">
        <f t="shared" si="129"/>
        <v>0</v>
      </c>
      <c r="DI91" s="117">
        <f t="shared" si="130"/>
        <v>0</v>
      </c>
      <c r="DJ91" s="117">
        <f t="shared" si="131"/>
        <v>0</v>
      </c>
      <c r="DK91" s="117">
        <f t="shared" si="132"/>
        <v>0</v>
      </c>
      <c r="DL91" s="117">
        <f t="shared" si="133"/>
        <v>0</v>
      </c>
      <c r="DM91" s="117">
        <f t="shared" si="134"/>
        <v>0</v>
      </c>
      <c r="DN91" s="117">
        <f t="shared" si="135"/>
        <v>0</v>
      </c>
      <c r="DO91" s="117">
        <f t="shared" si="136"/>
        <v>0</v>
      </c>
      <c r="DP91" s="117">
        <f t="shared" si="137"/>
        <v>0</v>
      </c>
      <c r="DQ91" s="117">
        <f t="shared" si="138"/>
        <v>0</v>
      </c>
      <c r="DR91" s="117">
        <f t="shared" si="139"/>
        <v>0</v>
      </c>
      <c r="DS91" s="117">
        <f t="shared" si="140"/>
        <v>0</v>
      </c>
      <c r="DT91" s="117">
        <f t="shared" si="141"/>
        <v>0</v>
      </c>
      <c r="DU91" s="117">
        <f t="shared" si="142"/>
        <v>0</v>
      </c>
      <c r="DV91" s="117">
        <f t="shared" si="143"/>
        <v>0</v>
      </c>
      <c r="DW91" s="117">
        <f t="shared" si="144"/>
        <v>0</v>
      </c>
      <c r="DX91" s="117">
        <f t="shared" si="145"/>
        <v>0</v>
      </c>
      <c r="DY91" s="117">
        <f t="shared" si="146"/>
        <v>0</v>
      </c>
      <c r="DZ91" s="117">
        <f t="shared" si="147"/>
        <v>0</v>
      </c>
      <c r="EA91" s="117">
        <f t="shared" si="148"/>
        <v>0</v>
      </c>
      <c r="EB91" s="117">
        <f t="shared" si="149"/>
        <v>0</v>
      </c>
      <c r="EC91" s="117">
        <f t="shared" si="150"/>
        <v>0</v>
      </c>
      <c r="ED91" s="117">
        <f t="shared" si="151"/>
        <v>0</v>
      </c>
      <c r="EE91" s="117">
        <f t="shared" si="152"/>
        <v>0</v>
      </c>
      <c r="EF91" s="117">
        <f t="shared" si="153"/>
        <v>0</v>
      </c>
      <c r="EG91" s="117">
        <f t="shared" si="154"/>
        <v>0</v>
      </c>
      <c r="EH91" s="117">
        <f t="shared" si="155"/>
        <v>0</v>
      </c>
      <c r="EI91" s="117">
        <f t="shared" si="156"/>
        <v>0</v>
      </c>
      <c r="EJ91" s="117">
        <f t="shared" si="157"/>
        <v>0</v>
      </c>
      <c r="EK91" s="117">
        <f t="shared" si="158"/>
        <v>0</v>
      </c>
      <c r="EL91" s="117">
        <f t="shared" si="159"/>
        <v>0</v>
      </c>
      <c r="EM91" s="117">
        <f t="shared" si="160"/>
        <v>0</v>
      </c>
      <c r="EN91" s="117">
        <f t="shared" si="161"/>
        <v>0</v>
      </c>
      <c r="EO91" s="117">
        <f t="shared" si="162"/>
        <v>0</v>
      </c>
      <c r="EP91" s="117">
        <f t="shared" si="163"/>
        <v>0</v>
      </c>
      <c r="EQ91" s="117">
        <f t="shared" si="164"/>
        <v>0</v>
      </c>
      <c r="ER91" s="117">
        <f t="shared" si="165"/>
        <v>0</v>
      </c>
      <c r="ES91" s="117">
        <f t="shared" si="166"/>
        <v>0</v>
      </c>
      <c r="ET91" s="176">
        <f t="shared" si="167"/>
        <v>0</v>
      </c>
      <c r="EU91" s="71"/>
      <c r="EV91" s="116">
        <f t="shared" si="168"/>
        <v>4136.8752426093761</v>
      </c>
      <c r="EW91" s="117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7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7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7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7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7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7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7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7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7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7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7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7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7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7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7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7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7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7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7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7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7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7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7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7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7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7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7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7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7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7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7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7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7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7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7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7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7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7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7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6">
        <f t="shared" ca="1" si="169"/>
        <v>0</v>
      </c>
    </row>
    <row r="92" spans="109:193">
      <c r="DE92" s="116">
        <f t="shared" si="126"/>
        <v>4343.7190047398453</v>
      </c>
      <c r="DF92" s="117">
        <f t="shared" si="127"/>
        <v>0</v>
      </c>
      <c r="DG92" s="117">
        <f t="shared" si="128"/>
        <v>0</v>
      </c>
      <c r="DH92" s="117">
        <f t="shared" si="129"/>
        <v>0</v>
      </c>
      <c r="DI92" s="117">
        <f t="shared" si="130"/>
        <v>0</v>
      </c>
      <c r="DJ92" s="117">
        <f t="shared" si="131"/>
        <v>0</v>
      </c>
      <c r="DK92" s="117">
        <f t="shared" si="132"/>
        <v>0</v>
      </c>
      <c r="DL92" s="117">
        <f t="shared" si="133"/>
        <v>0</v>
      </c>
      <c r="DM92" s="117">
        <f t="shared" si="134"/>
        <v>0</v>
      </c>
      <c r="DN92" s="117">
        <f t="shared" si="135"/>
        <v>0</v>
      </c>
      <c r="DO92" s="117">
        <f t="shared" si="136"/>
        <v>574876.01895938138</v>
      </c>
      <c r="DP92" s="117">
        <f t="shared" si="137"/>
        <v>0</v>
      </c>
      <c r="DQ92" s="117">
        <f t="shared" si="138"/>
        <v>0</v>
      </c>
      <c r="DR92" s="117">
        <f t="shared" si="139"/>
        <v>0</v>
      </c>
      <c r="DS92" s="117">
        <f t="shared" si="140"/>
        <v>0</v>
      </c>
      <c r="DT92" s="117">
        <f t="shared" si="141"/>
        <v>0</v>
      </c>
      <c r="DU92" s="117">
        <f t="shared" si="142"/>
        <v>0</v>
      </c>
      <c r="DV92" s="117">
        <f t="shared" si="143"/>
        <v>0</v>
      </c>
      <c r="DW92" s="117">
        <f t="shared" si="144"/>
        <v>0</v>
      </c>
      <c r="DX92" s="117">
        <f t="shared" si="145"/>
        <v>0</v>
      </c>
      <c r="DY92" s="117">
        <f t="shared" si="146"/>
        <v>0</v>
      </c>
      <c r="DZ92" s="117">
        <f t="shared" si="147"/>
        <v>0</v>
      </c>
      <c r="EA92" s="117">
        <f t="shared" si="148"/>
        <v>0</v>
      </c>
      <c r="EB92" s="117">
        <f t="shared" si="149"/>
        <v>0</v>
      </c>
      <c r="EC92" s="117">
        <f t="shared" si="150"/>
        <v>0</v>
      </c>
      <c r="ED92" s="117">
        <f t="shared" si="151"/>
        <v>0</v>
      </c>
      <c r="EE92" s="117">
        <f t="shared" si="152"/>
        <v>0</v>
      </c>
      <c r="EF92" s="117">
        <f t="shared" si="153"/>
        <v>0</v>
      </c>
      <c r="EG92" s="117">
        <f t="shared" si="154"/>
        <v>0</v>
      </c>
      <c r="EH92" s="117">
        <f t="shared" si="155"/>
        <v>0</v>
      </c>
      <c r="EI92" s="117">
        <f t="shared" si="156"/>
        <v>0</v>
      </c>
      <c r="EJ92" s="117">
        <f t="shared" si="157"/>
        <v>0</v>
      </c>
      <c r="EK92" s="117">
        <f t="shared" si="158"/>
        <v>0</v>
      </c>
      <c r="EL92" s="117">
        <f t="shared" si="159"/>
        <v>0</v>
      </c>
      <c r="EM92" s="117">
        <f t="shared" si="160"/>
        <v>0</v>
      </c>
      <c r="EN92" s="117">
        <f t="shared" si="161"/>
        <v>0</v>
      </c>
      <c r="EO92" s="117">
        <f t="shared" si="162"/>
        <v>0</v>
      </c>
      <c r="EP92" s="117">
        <f t="shared" si="163"/>
        <v>0</v>
      </c>
      <c r="EQ92" s="117">
        <f t="shared" si="164"/>
        <v>0</v>
      </c>
      <c r="ER92" s="117">
        <f t="shared" si="165"/>
        <v>0</v>
      </c>
      <c r="ES92" s="117">
        <f t="shared" si="166"/>
        <v>0</v>
      </c>
      <c r="ET92" s="176">
        <f t="shared" si="167"/>
        <v>574876.01895938138</v>
      </c>
      <c r="EU92" s="71"/>
      <c r="EV92" s="116">
        <f t="shared" si="168"/>
        <v>4343.7190047398453</v>
      </c>
      <c r="EW92" s="117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7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7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7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7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7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7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7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7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7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7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7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7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7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7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7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7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7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7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7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7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7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7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7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7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7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7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7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7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7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7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7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7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7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7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7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7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7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7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7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6">
        <f t="shared" ca="1" si="169"/>
        <v>0</v>
      </c>
    </row>
    <row r="93" spans="109:193">
      <c r="DE93" s="116">
        <f t="shared" si="126"/>
        <v>4560.9049549768379</v>
      </c>
      <c r="DF93" s="117">
        <f t="shared" si="127"/>
        <v>0</v>
      </c>
      <c r="DG93" s="117">
        <f t="shared" si="128"/>
        <v>0</v>
      </c>
      <c r="DH93" s="117">
        <f t="shared" si="129"/>
        <v>0</v>
      </c>
      <c r="DI93" s="117">
        <f t="shared" si="130"/>
        <v>0</v>
      </c>
      <c r="DJ93" s="117">
        <f t="shared" si="131"/>
        <v>0</v>
      </c>
      <c r="DK93" s="117">
        <f t="shared" si="132"/>
        <v>0</v>
      </c>
      <c r="DL93" s="117">
        <f t="shared" si="133"/>
        <v>0</v>
      </c>
      <c r="DM93" s="117">
        <f t="shared" si="134"/>
        <v>0</v>
      </c>
      <c r="DN93" s="117">
        <f t="shared" si="135"/>
        <v>0</v>
      </c>
      <c r="DO93" s="117">
        <f t="shared" si="136"/>
        <v>1443619.8199073514</v>
      </c>
      <c r="DP93" s="117">
        <f t="shared" si="137"/>
        <v>0</v>
      </c>
      <c r="DQ93" s="117">
        <f t="shared" si="138"/>
        <v>0</v>
      </c>
      <c r="DR93" s="117">
        <f t="shared" si="139"/>
        <v>0</v>
      </c>
      <c r="DS93" s="117">
        <f t="shared" si="140"/>
        <v>0</v>
      </c>
      <c r="DT93" s="117">
        <f t="shared" si="141"/>
        <v>0</v>
      </c>
      <c r="DU93" s="117">
        <f t="shared" si="142"/>
        <v>0</v>
      </c>
      <c r="DV93" s="117">
        <f t="shared" si="143"/>
        <v>0</v>
      </c>
      <c r="DW93" s="117">
        <f t="shared" si="144"/>
        <v>0</v>
      </c>
      <c r="DX93" s="117">
        <f t="shared" si="145"/>
        <v>0</v>
      </c>
      <c r="DY93" s="117">
        <f t="shared" si="146"/>
        <v>0</v>
      </c>
      <c r="DZ93" s="117">
        <f t="shared" si="147"/>
        <v>0</v>
      </c>
      <c r="EA93" s="117">
        <f t="shared" si="148"/>
        <v>0</v>
      </c>
      <c r="EB93" s="117">
        <f t="shared" si="149"/>
        <v>0</v>
      </c>
      <c r="EC93" s="117">
        <f t="shared" si="150"/>
        <v>0</v>
      </c>
      <c r="ED93" s="117">
        <f t="shared" si="151"/>
        <v>0</v>
      </c>
      <c r="EE93" s="117">
        <f t="shared" si="152"/>
        <v>0</v>
      </c>
      <c r="EF93" s="117">
        <f t="shared" si="153"/>
        <v>0</v>
      </c>
      <c r="EG93" s="117">
        <f t="shared" si="154"/>
        <v>0</v>
      </c>
      <c r="EH93" s="117">
        <f t="shared" si="155"/>
        <v>0</v>
      </c>
      <c r="EI93" s="117">
        <f t="shared" si="156"/>
        <v>0</v>
      </c>
      <c r="EJ93" s="117">
        <f t="shared" si="157"/>
        <v>0</v>
      </c>
      <c r="EK93" s="117">
        <f t="shared" si="158"/>
        <v>0</v>
      </c>
      <c r="EL93" s="117">
        <f t="shared" si="159"/>
        <v>0</v>
      </c>
      <c r="EM93" s="117">
        <f t="shared" si="160"/>
        <v>0</v>
      </c>
      <c r="EN93" s="117">
        <f t="shared" si="161"/>
        <v>0</v>
      </c>
      <c r="EO93" s="117">
        <f t="shared" si="162"/>
        <v>0</v>
      </c>
      <c r="EP93" s="117">
        <f t="shared" si="163"/>
        <v>0</v>
      </c>
      <c r="EQ93" s="117">
        <f t="shared" si="164"/>
        <v>0</v>
      </c>
      <c r="ER93" s="117">
        <f t="shared" si="165"/>
        <v>0</v>
      </c>
      <c r="ES93" s="117">
        <f t="shared" si="166"/>
        <v>0</v>
      </c>
      <c r="ET93" s="176">
        <f t="shared" si="167"/>
        <v>1443619.8199073514</v>
      </c>
      <c r="EU93" s="71"/>
      <c r="EV93" s="116">
        <f t="shared" si="168"/>
        <v>4560.9049549768379</v>
      </c>
      <c r="EW93" s="117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7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7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7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7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7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7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7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7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7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7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7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7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7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7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7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7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7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7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7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7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7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7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7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7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7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7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7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7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7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7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7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7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7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7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7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7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7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7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7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6">
        <f t="shared" ca="1" si="169"/>
        <v>0</v>
      </c>
    </row>
    <row r="94" spans="109:193">
      <c r="DE94" s="116">
        <f t="shared" si="126"/>
        <v>4788.9502027256804</v>
      </c>
      <c r="DF94" s="117">
        <f t="shared" si="127"/>
        <v>0</v>
      </c>
      <c r="DG94" s="117">
        <f t="shared" si="128"/>
        <v>0</v>
      </c>
      <c r="DH94" s="117">
        <f t="shared" si="129"/>
        <v>0</v>
      </c>
      <c r="DI94" s="117">
        <f t="shared" si="130"/>
        <v>0</v>
      </c>
      <c r="DJ94" s="117">
        <f t="shared" si="131"/>
        <v>0</v>
      </c>
      <c r="DK94" s="117">
        <f t="shared" si="132"/>
        <v>0</v>
      </c>
      <c r="DL94" s="117">
        <f t="shared" si="133"/>
        <v>0</v>
      </c>
      <c r="DM94" s="117">
        <f t="shared" si="134"/>
        <v>0</v>
      </c>
      <c r="DN94" s="117">
        <f t="shared" si="135"/>
        <v>0</v>
      </c>
      <c r="DO94" s="117">
        <f t="shared" si="136"/>
        <v>2355800.8109027212</v>
      </c>
      <c r="DP94" s="117">
        <f t="shared" si="137"/>
        <v>0</v>
      </c>
      <c r="DQ94" s="117">
        <f t="shared" si="138"/>
        <v>0</v>
      </c>
      <c r="DR94" s="117">
        <f t="shared" si="139"/>
        <v>0</v>
      </c>
      <c r="DS94" s="117">
        <f t="shared" si="140"/>
        <v>0</v>
      </c>
      <c r="DT94" s="117">
        <f t="shared" si="141"/>
        <v>0</v>
      </c>
      <c r="DU94" s="117">
        <f t="shared" si="142"/>
        <v>0</v>
      </c>
      <c r="DV94" s="117">
        <f t="shared" si="143"/>
        <v>0</v>
      </c>
      <c r="DW94" s="117">
        <f t="shared" si="144"/>
        <v>0</v>
      </c>
      <c r="DX94" s="117">
        <f t="shared" si="145"/>
        <v>0</v>
      </c>
      <c r="DY94" s="117">
        <f t="shared" si="146"/>
        <v>0</v>
      </c>
      <c r="DZ94" s="117">
        <f t="shared" si="147"/>
        <v>0</v>
      </c>
      <c r="EA94" s="117">
        <f t="shared" si="148"/>
        <v>0</v>
      </c>
      <c r="EB94" s="117">
        <f t="shared" si="149"/>
        <v>0</v>
      </c>
      <c r="EC94" s="117">
        <f t="shared" si="150"/>
        <v>0</v>
      </c>
      <c r="ED94" s="117">
        <f t="shared" si="151"/>
        <v>0</v>
      </c>
      <c r="EE94" s="117">
        <f t="shared" si="152"/>
        <v>0</v>
      </c>
      <c r="EF94" s="117">
        <f t="shared" si="153"/>
        <v>0</v>
      </c>
      <c r="EG94" s="117">
        <f t="shared" si="154"/>
        <v>0</v>
      </c>
      <c r="EH94" s="117">
        <f t="shared" si="155"/>
        <v>0</v>
      </c>
      <c r="EI94" s="117">
        <f t="shared" si="156"/>
        <v>0</v>
      </c>
      <c r="EJ94" s="117">
        <f t="shared" si="157"/>
        <v>0</v>
      </c>
      <c r="EK94" s="117">
        <f t="shared" si="158"/>
        <v>0</v>
      </c>
      <c r="EL94" s="117">
        <f t="shared" si="159"/>
        <v>0</v>
      </c>
      <c r="EM94" s="117">
        <f t="shared" si="160"/>
        <v>0</v>
      </c>
      <c r="EN94" s="117">
        <f t="shared" si="161"/>
        <v>0</v>
      </c>
      <c r="EO94" s="117">
        <f t="shared" si="162"/>
        <v>0</v>
      </c>
      <c r="EP94" s="117">
        <f t="shared" si="163"/>
        <v>0</v>
      </c>
      <c r="EQ94" s="117">
        <f t="shared" si="164"/>
        <v>0</v>
      </c>
      <c r="ER94" s="117">
        <f t="shared" si="165"/>
        <v>0</v>
      </c>
      <c r="ES94" s="117">
        <f t="shared" si="166"/>
        <v>0</v>
      </c>
      <c r="ET94" s="176">
        <f t="shared" si="167"/>
        <v>2355800.8109027212</v>
      </c>
      <c r="EU94" s="71"/>
      <c r="EV94" s="116">
        <f t="shared" si="168"/>
        <v>4788.9502027256804</v>
      </c>
      <c r="EW94" s="117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7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7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7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7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7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7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7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7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7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7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7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7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7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7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7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7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7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7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7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7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7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7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7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7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7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7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7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7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7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7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7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7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7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7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7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7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7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7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7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6">
        <f t="shared" ca="1" si="169"/>
        <v>0</v>
      </c>
    </row>
    <row r="95" spans="109:193">
      <c r="DE95" s="116">
        <f t="shared" si="126"/>
        <v>5028.3977128619645</v>
      </c>
      <c r="DF95" s="117">
        <f t="shared" si="127"/>
        <v>0</v>
      </c>
      <c r="DG95" s="117">
        <f t="shared" si="128"/>
        <v>0</v>
      </c>
      <c r="DH95" s="117">
        <f t="shared" si="129"/>
        <v>0</v>
      </c>
      <c r="DI95" s="117">
        <f t="shared" si="130"/>
        <v>0</v>
      </c>
      <c r="DJ95" s="117">
        <f t="shared" si="131"/>
        <v>0</v>
      </c>
      <c r="DK95" s="117">
        <f t="shared" si="132"/>
        <v>0</v>
      </c>
      <c r="DL95" s="117">
        <f t="shared" si="133"/>
        <v>0</v>
      </c>
      <c r="DM95" s="117">
        <f t="shared" si="134"/>
        <v>0</v>
      </c>
      <c r="DN95" s="117">
        <f t="shared" si="135"/>
        <v>0</v>
      </c>
      <c r="DO95" s="117">
        <f t="shared" si="136"/>
        <v>3313590.8514478579</v>
      </c>
      <c r="DP95" s="117">
        <f t="shared" si="137"/>
        <v>0</v>
      </c>
      <c r="DQ95" s="117">
        <f t="shared" si="138"/>
        <v>0</v>
      </c>
      <c r="DR95" s="117">
        <f t="shared" si="139"/>
        <v>0</v>
      </c>
      <c r="DS95" s="117">
        <f t="shared" si="140"/>
        <v>0</v>
      </c>
      <c r="DT95" s="117">
        <f t="shared" si="141"/>
        <v>0</v>
      </c>
      <c r="DU95" s="117">
        <f t="shared" si="142"/>
        <v>0</v>
      </c>
      <c r="DV95" s="117">
        <f t="shared" si="143"/>
        <v>0</v>
      </c>
      <c r="DW95" s="117">
        <f t="shared" si="144"/>
        <v>0</v>
      </c>
      <c r="DX95" s="117">
        <f t="shared" si="145"/>
        <v>0</v>
      </c>
      <c r="DY95" s="117">
        <f t="shared" si="146"/>
        <v>0</v>
      </c>
      <c r="DZ95" s="117">
        <f t="shared" si="147"/>
        <v>0</v>
      </c>
      <c r="EA95" s="117">
        <f t="shared" si="148"/>
        <v>0</v>
      </c>
      <c r="EB95" s="117">
        <f t="shared" si="149"/>
        <v>0</v>
      </c>
      <c r="EC95" s="117">
        <f t="shared" si="150"/>
        <v>0</v>
      </c>
      <c r="ED95" s="117">
        <f t="shared" si="151"/>
        <v>0</v>
      </c>
      <c r="EE95" s="117">
        <f t="shared" si="152"/>
        <v>0</v>
      </c>
      <c r="EF95" s="117">
        <f t="shared" si="153"/>
        <v>0</v>
      </c>
      <c r="EG95" s="117">
        <f t="shared" si="154"/>
        <v>0</v>
      </c>
      <c r="EH95" s="117">
        <f t="shared" si="155"/>
        <v>0</v>
      </c>
      <c r="EI95" s="117">
        <f t="shared" si="156"/>
        <v>0</v>
      </c>
      <c r="EJ95" s="117">
        <f t="shared" si="157"/>
        <v>0</v>
      </c>
      <c r="EK95" s="117">
        <f t="shared" si="158"/>
        <v>0</v>
      </c>
      <c r="EL95" s="117">
        <f t="shared" si="159"/>
        <v>0</v>
      </c>
      <c r="EM95" s="117">
        <f t="shared" si="160"/>
        <v>0</v>
      </c>
      <c r="EN95" s="117">
        <f t="shared" si="161"/>
        <v>0</v>
      </c>
      <c r="EO95" s="117">
        <f t="shared" si="162"/>
        <v>0</v>
      </c>
      <c r="EP95" s="117">
        <f t="shared" si="163"/>
        <v>0</v>
      </c>
      <c r="EQ95" s="117">
        <f t="shared" si="164"/>
        <v>0</v>
      </c>
      <c r="ER95" s="117">
        <f t="shared" si="165"/>
        <v>0</v>
      </c>
      <c r="ES95" s="117">
        <f t="shared" si="166"/>
        <v>0</v>
      </c>
      <c r="ET95" s="176">
        <f t="shared" si="167"/>
        <v>3313590.8514478579</v>
      </c>
      <c r="EU95" s="71"/>
      <c r="EV95" s="116">
        <f t="shared" si="168"/>
        <v>5028.3977128619645</v>
      </c>
      <c r="EW95" s="117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7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7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7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7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7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7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7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7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7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7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7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7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7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7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7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7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7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7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7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7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7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7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7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7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7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7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7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7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7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7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7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7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7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7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7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7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7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7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7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6">
        <f t="shared" ca="1" si="169"/>
        <v>0</v>
      </c>
    </row>
    <row r="96" spans="109:193">
      <c r="DE96" s="116">
        <f t="shared" si="126"/>
        <v>5279.817598505063</v>
      </c>
      <c r="DF96" s="117">
        <f t="shared" si="127"/>
        <v>0</v>
      </c>
      <c r="DG96" s="117">
        <f t="shared" si="128"/>
        <v>0</v>
      </c>
      <c r="DH96" s="117">
        <f t="shared" si="129"/>
        <v>0</v>
      </c>
      <c r="DI96" s="117">
        <f t="shared" si="130"/>
        <v>0</v>
      </c>
      <c r="DJ96" s="117">
        <f t="shared" si="131"/>
        <v>0</v>
      </c>
      <c r="DK96" s="117">
        <f t="shared" si="132"/>
        <v>0</v>
      </c>
      <c r="DL96" s="117">
        <f t="shared" si="133"/>
        <v>0</v>
      </c>
      <c r="DM96" s="117">
        <f t="shared" si="134"/>
        <v>0</v>
      </c>
      <c r="DN96" s="117">
        <f t="shared" si="135"/>
        <v>0</v>
      </c>
      <c r="DO96" s="117">
        <f t="shared" si="136"/>
        <v>4319270.3940202519</v>
      </c>
      <c r="DP96" s="117">
        <f t="shared" si="137"/>
        <v>0</v>
      </c>
      <c r="DQ96" s="117">
        <f t="shared" si="138"/>
        <v>0</v>
      </c>
      <c r="DR96" s="117">
        <f t="shared" si="139"/>
        <v>0</v>
      </c>
      <c r="DS96" s="117">
        <f t="shared" si="140"/>
        <v>0</v>
      </c>
      <c r="DT96" s="117">
        <f t="shared" si="141"/>
        <v>0</v>
      </c>
      <c r="DU96" s="117">
        <f t="shared" si="142"/>
        <v>0</v>
      </c>
      <c r="DV96" s="117">
        <f t="shared" si="143"/>
        <v>0</v>
      </c>
      <c r="DW96" s="117">
        <f t="shared" si="144"/>
        <v>0</v>
      </c>
      <c r="DX96" s="117">
        <f t="shared" si="145"/>
        <v>0</v>
      </c>
      <c r="DY96" s="117">
        <f t="shared" si="146"/>
        <v>0</v>
      </c>
      <c r="DZ96" s="117">
        <f t="shared" si="147"/>
        <v>0</v>
      </c>
      <c r="EA96" s="117">
        <f t="shared" si="148"/>
        <v>0</v>
      </c>
      <c r="EB96" s="117">
        <f t="shared" si="149"/>
        <v>0</v>
      </c>
      <c r="EC96" s="117">
        <f t="shared" si="150"/>
        <v>0</v>
      </c>
      <c r="ED96" s="117">
        <f t="shared" si="151"/>
        <v>0</v>
      </c>
      <c r="EE96" s="117">
        <f t="shared" si="152"/>
        <v>0</v>
      </c>
      <c r="EF96" s="117">
        <f t="shared" si="153"/>
        <v>0</v>
      </c>
      <c r="EG96" s="117">
        <f t="shared" si="154"/>
        <v>0</v>
      </c>
      <c r="EH96" s="117">
        <f t="shared" si="155"/>
        <v>0</v>
      </c>
      <c r="EI96" s="117">
        <f t="shared" si="156"/>
        <v>0</v>
      </c>
      <c r="EJ96" s="117">
        <f t="shared" si="157"/>
        <v>0</v>
      </c>
      <c r="EK96" s="117">
        <f t="shared" si="158"/>
        <v>0</v>
      </c>
      <c r="EL96" s="117">
        <f t="shared" si="159"/>
        <v>0</v>
      </c>
      <c r="EM96" s="117">
        <f t="shared" si="160"/>
        <v>0</v>
      </c>
      <c r="EN96" s="117">
        <f t="shared" si="161"/>
        <v>0</v>
      </c>
      <c r="EO96" s="117">
        <f t="shared" si="162"/>
        <v>0</v>
      </c>
      <c r="EP96" s="117">
        <f t="shared" si="163"/>
        <v>0</v>
      </c>
      <c r="EQ96" s="117">
        <f t="shared" si="164"/>
        <v>0</v>
      </c>
      <c r="ER96" s="117">
        <f t="shared" si="165"/>
        <v>0</v>
      </c>
      <c r="ES96" s="117">
        <f t="shared" si="166"/>
        <v>0</v>
      </c>
      <c r="ET96" s="176">
        <f t="shared" si="167"/>
        <v>4319270.3940202519</v>
      </c>
      <c r="EU96" s="71"/>
      <c r="EV96" s="116">
        <f t="shared" si="168"/>
        <v>5279.817598505063</v>
      </c>
      <c r="EW96" s="117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7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7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7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7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7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7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7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7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7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7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7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7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7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7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7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7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7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7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7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7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7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7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7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7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7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7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7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7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7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7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7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7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7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7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7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7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7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7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7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6">
        <f t="shared" ca="1" si="169"/>
        <v>0</v>
      </c>
    </row>
    <row r="97" spans="109:193">
      <c r="DE97" s="116">
        <f t="shared" si="126"/>
        <v>5543.8084784303164</v>
      </c>
      <c r="DF97" s="117">
        <f t="shared" si="127"/>
        <v>0</v>
      </c>
      <c r="DG97" s="117">
        <f t="shared" si="128"/>
        <v>0</v>
      </c>
      <c r="DH97" s="117">
        <f t="shared" si="129"/>
        <v>0</v>
      </c>
      <c r="DI97" s="117">
        <f t="shared" si="130"/>
        <v>0</v>
      </c>
      <c r="DJ97" s="117">
        <f t="shared" si="131"/>
        <v>0</v>
      </c>
      <c r="DK97" s="117">
        <f t="shared" si="132"/>
        <v>0</v>
      </c>
      <c r="DL97" s="117">
        <f t="shared" si="133"/>
        <v>0</v>
      </c>
      <c r="DM97" s="117">
        <f t="shared" si="134"/>
        <v>0</v>
      </c>
      <c r="DN97" s="117">
        <f t="shared" si="135"/>
        <v>0</v>
      </c>
      <c r="DO97" s="117">
        <f t="shared" si="136"/>
        <v>5375233.9137212653</v>
      </c>
      <c r="DP97" s="117">
        <f t="shared" si="137"/>
        <v>0</v>
      </c>
      <c r="DQ97" s="117">
        <f t="shared" si="138"/>
        <v>0</v>
      </c>
      <c r="DR97" s="117">
        <f t="shared" si="139"/>
        <v>0</v>
      </c>
      <c r="DS97" s="117">
        <f t="shared" si="140"/>
        <v>0</v>
      </c>
      <c r="DT97" s="117">
        <f t="shared" si="141"/>
        <v>0</v>
      </c>
      <c r="DU97" s="117">
        <f t="shared" si="142"/>
        <v>0</v>
      </c>
      <c r="DV97" s="117">
        <f t="shared" si="143"/>
        <v>0</v>
      </c>
      <c r="DW97" s="117">
        <f t="shared" si="144"/>
        <v>0</v>
      </c>
      <c r="DX97" s="117">
        <f t="shared" si="145"/>
        <v>0</v>
      </c>
      <c r="DY97" s="117">
        <f t="shared" si="146"/>
        <v>0</v>
      </c>
      <c r="DZ97" s="117">
        <f t="shared" si="147"/>
        <v>0</v>
      </c>
      <c r="EA97" s="117">
        <f t="shared" si="148"/>
        <v>0</v>
      </c>
      <c r="EB97" s="117">
        <f t="shared" si="149"/>
        <v>0</v>
      </c>
      <c r="EC97" s="117">
        <f t="shared" si="150"/>
        <v>0</v>
      </c>
      <c r="ED97" s="117">
        <f t="shared" si="151"/>
        <v>0</v>
      </c>
      <c r="EE97" s="117">
        <f t="shared" si="152"/>
        <v>0</v>
      </c>
      <c r="EF97" s="117">
        <f t="shared" si="153"/>
        <v>0</v>
      </c>
      <c r="EG97" s="117">
        <f t="shared" si="154"/>
        <v>0</v>
      </c>
      <c r="EH97" s="117">
        <f t="shared" si="155"/>
        <v>0</v>
      </c>
      <c r="EI97" s="117">
        <f t="shared" si="156"/>
        <v>0</v>
      </c>
      <c r="EJ97" s="117">
        <f t="shared" si="157"/>
        <v>0</v>
      </c>
      <c r="EK97" s="117">
        <f t="shared" si="158"/>
        <v>0</v>
      </c>
      <c r="EL97" s="117">
        <f t="shared" si="159"/>
        <v>0</v>
      </c>
      <c r="EM97" s="117">
        <f t="shared" si="160"/>
        <v>0</v>
      </c>
      <c r="EN97" s="117">
        <f t="shared" si="161"/>
        <v>0</v>
      </c>
      <c r="EO97" s="117">
        <f t="shared" si="162"/>
        <v>0</v>
      </c>
      <c r="EP97" s="117">
        <f t="shared" si="163"/>
        <v>0</v>
      </c>
      <c r="EQ97" s="117">
        <f t="shared" si="164"/>
        <v>0</v>
      </c>
      <c r="ER97" s="117">
        <f t="shared" si="165"/>
        <v>0</v>
      </c>
      <c r="ES97" s="117">
        <f t="shared" si="166"/>
        <v>0</v>
      </c>
      <c r="ET97" s="176">
        <f t="shared" si="167"/>
        <v>5375233.9137212653</v>
      </c>
      <c r="EU97" s="71"/>
      <c r="EV97" s="116">
        <f t="shared" si="168"/>
        <v>5543.8084784303164</v>
      </c>
      <c r="EW97" s="117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7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7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7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7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7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7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7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7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7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7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7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7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7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7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7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7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7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7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7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7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7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7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7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7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7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7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7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7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7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7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7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7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7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7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7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7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7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7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7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6">
        <f t="shared" ca="1" si="169"/>
        <v>0</v>
      </c>
    </row>
    <row r="98" spans="109:193">
      <c r="DE98" s="116">
        <f t="shared" si="126"/>
        <v>5820.9989023518328</v>
      </c>
      <c r="DF98" s="117">
        <f t="shared" si="127"/>
        <v>0</v>
      </c>
      <c r="DG98" s="117">
        <f t="shared" si="128"/>
        <v>0</v>
      </c>
      <c r="DH98" s="117">
        <f t="shared" si="129"/>
        <v>0</v>
      </c>
      <c r="DI98" s="117">
        <f t="shared" si="130"/>
        <v>0</v>
      </c>
      <c r="DJ98" s="117">
        <f t="shared" si="131"/>
        <v>0</v>
      </c>
      <c r="DK98" s="117">
        <f t="shared" si="132"/>
        <v>0</v>
      </c>
      <c r="DL98" s="117">
        <f t="shared" si="133"/>
        <v>0</v>
      </c>
      <c r="DM98" s="117">
        <f t="shared" si="134"/>
        <v>0</v>
      </c>
      <c r="DN98" s="117">
        <f t="shared" si="135"/>
        <v>0</v>
      </c>
      <c r="DO98" s="117">
        <f t="shared" si="136"/>
        <v>6483995.6094073318</v>
      </c>
      <c r="DP98" s="117">
        <f t="shared" si="137"/>
        <v>0</v>
      </c>
      <c r="DQ98" s="117">
        <f t="shared" si="138"/>
        <v>0</v>
      </c>
      <c r="DR98" s="117">
        <f t="shared" si="139"/>
        <v>0</v>
      </c>
      <c r="DS98" s="117">
        <f t="shared" si="140"/>
        <v>0</v>
      </c>
      <c r="DT98" s="117">
        <f t="shared" si="141"/>
        <v>0</v>
      </c>
      <c r="DU98" s="117">
        <f t="shared" si="142"/>
        <v>0</v>
      </c>
      <c r="DV98" s="117">
        <f t="shared" si="143"/>
        <v>0</v>
      </c>
      <c r="DW98" s="117">
        <f t="shared" si="144"/>
        <v>0</v>
      </c>
      <c r="DX98" s="117">
        <f t="shared" si="145"/>
        <v>0</v>
      </c>
      <c r="DY98" s="117">
        <f t="shared" si="146"/>
        <v>0</v>
      </c>
      <c r="DZ98" s="117">
        <f t="shared" si="147"/>
        <v>0</v>
      </c>
      <c r="EA98" s="117">
        <f t="shared" si="148"/>
        <v>0</v>
      </c>
      <c r="EB98" s="117">
        <f t="shared" si="149"/>
        <v>0</v>
      </c>
      <c r="EC98" s="117">
        <f t="shared" si="150"/>
        <v>0</v>
      </c>
      <c r="ED98" s="117">
        <f t="shared" si="151"/>
        <v>0</v>
      </c>
      <c r="EE98" s="117">
        <f t="shared" si="152"/>
        <v>0</v>
      </c>
      <c r="EF98" s="117">
        <f t="shared" si="153"/>
        <v>0</v>
      </c>
      <c r="EG98" s="117">
        <f t="shared" si="154"/>
        <v>0</v>
      </c>
      <c r="EH98" s="117">
        <f t="shared" si="155"/>
        <v>0</v>
      </c>
      <c r="EI98" s="117">
        <f t="shared" si="156"/>
        <v>0</v>
      </c>
      <c r="EJ98" s="117">
        <f t="shared" si="157"/>
        <v>0</v>
      </c>
      <c r="EK98" s="117">
        <f t="shared" si="158"/>
        <v>0</v>
      </c>
      <c r="EL98" s="117">
        <f t="shared" si="159"/>
        <v>0</v>
      </c>
      <c r="EM98" s="117">
        <f t="shared" si="160"/>
        <v>0</v>
      </c>
      <c r="EN98" s="117">
        <f t="shared" si="161"/>
        <v>0</v>
      </c>
      <c r="EO98" s="117">
        <f t="shared" si="162"/>
        <v>0</v>
      </c>
      <c r="EP98" s="117">
        <f t="shared" si="163"/>
        <v>0</v>
      </c>
      <c r="EQ98" s="117">
        <f t="shared" si="164"/>
        <v>0</v>
      </c>
      <c r="ER98" s="117">
        <f t="shared" si="165"/>
        <v>0</v>
      </c>
      <c r="ES98" s="117">
        <f t="shared" si="166"/>
        <v>0</v>
      </c>
      <c r="ET98" s="176">
        <f t="shared" si="167"/>
        <v>6483995.6094073318</v>
      </c>
      <c r="EU98" s="71"/>
      <c r="EV98" s="116">
        <f t="shared" si="168"/>
        <v>5820.9989023518328</v>
      </c>
      <c r="EW98" s="117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7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7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7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7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7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7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7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7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7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7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7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7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7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7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7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7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7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7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7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7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7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7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7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7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7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7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7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7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7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7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7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7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7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7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7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7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7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7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7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6">
        <f t="shared" ca="1" si="169"/>
        <v>0</v>
      </c>
    </row>
    <row r="99" spans="109:193">
      <c r="DE99" s="116">
        <f t="shared" si="126"/>
        <v>6112.0488474694248</v>
      </c>
      <c r="DF99" s="117">
        <f t="shared" si="127"/>
        <v>0</v>
      </c>
      <c r="DG99" s="117">
        <f t="shared" si="128"/>
        <v>0</v>
      </c>
      <c r="DH99" s="117">
        <f t="shared" si="129"/>
        <v>0</v>
      </c>
      <c r="DI99" s="117">
        <f t="shared" si="130"/>
        <v>0</v>
      </c>
      <c r="DJ99" s="117">
        <f t="shared" si="131"/>
        <v>0</v>
      </c>
      <c r="DK99" s="117">
        <f t="shared" si="132"/>
        <v>0</v>
      </c>
      <c r="DL99" s="117">
        <f t="shared" si="133"/>
        <v>0</v>
      </c>
      <c r="DM99" s="117">
        <f t="shared" si="134"/>
        <v>0</v>
      </c>
      <c r="DN99" s="117">
        <f t="shared" si="135"/>
        <v>0</v>
      </c>
      <c r="DO99" s="117">
        <f t="shared" si="136"/>
        <v>7648195.3898776993</v>
      </c>
      <c r="DP99" s="117">
        <f t="shared" si="137"/>
        <v>0</v>
      </c>
      <c r="DQ99" s="117">
        <f t="shared" si="138"/>
        <v>0</v>
      </c>
      <c r="DR99" s="117">
        <f t="shared" si="139"/>
        <v>0</v>
      </c>
      <c r="DS99" s="117">
        <f t="shared" si="140"/>
        <v>0</v>
      </c>
      <c r="DT99" s="117">
        <f t="shared" si="141"/>
        <v>0</v>
      </c>
      <c r="DU99" s="117">
        <f t="shared" si="142"/>
        <v>0</v>
      </c>
      <c r="DV99" s="117">
        <f t="shared" si="143"/>
        <v>0</v>
      </c>
      <c r="DW99" s="117">
        <f t="shared" si="144"/>
        <v>0</v>
      </c>
      <c r="DX99" s="117">
        <f t="shared" si="145"/>
        <v>0</v>
      </c>
      <c r="DY99" s="117">
        <f t="shared" si="146"/>
        <v>0</v>
      </c>
      <c r="DZ99" s="117">
        <f t="shared" si="147"/>
        <v>0</v>
      </c>
      <c r="EA99" s="117">
        <f t="shared" si="148"/>
        <v>0</v>
      </c>
      <c r="EB99" s="117">
        <f t="shared" si="149"/>
        <v>0</v>
      </c>
      <c r="EC99" s="117">
        <f t="shared" si="150"/>
        <v>0</v>
      </c>
      <c r="ED99" s="117">
        <f t="shared" si="151"/>
        <v>0</v>
      </c>
      <c r="EE99" s="117">
        <f t="shared" si="152"/>
        <v>0</v>
      </c>
      <c r="EF99" s="117">
        <f t="shared" si="153"/>
        <v>0</v>
      </c>
      <c r="EG99" s="117">
        <f t="shared" si="154"/>
        <v>0</v>
      </c>
      <c r="EH99" s="117">
        <f t="shared" si="155"/>
        <v>0</v>
      </c>
      <c r="EI99" s="117">
        <f t="shared" si="156"/>
        <v>0</v>
      </c>
      <c r="EJ99" s="117">
        <f t="shared" si="157"/>
        <v>0</v>
      </c>
      <c r="EK99" s="117">
        <f t="shared" si="158"/>
        <v>0</v>
      </c>
      <c r="EL99" s="117">
        <f t="shared" si="159"/>
        <v>0</v>
      </c>
      <c r="EM99" s="117">
        <f t="shared" si="160"/>
        <v>0</v>
      </c>
      <c r="EN99" s="117">
        <f t="shared" si="161"/>
        <v>0</v>
      </c>
      <c r="EO99" s="117">
        <f t="shared" si="162"/>
        <v>0</v>
      </c>
      <c r="EP99" s="117">
        <f t="shared" si="163"/>
        <v>0</v>
      </c>
      <c r="EQ99" s="117">
        <f t="shared" si="164"/>
        <v>0</v>
      </c>
      <c r="ER99" s="117">
        <f t="shared" si="165"/>
        <v>0</v>
      </c>
      <c r="ES99" s="117">
        <f t="shared" si="166"/>
        <v>0</v>
      </c>
      <c r="ET99" s="176">
        <f t="shared" si="167"/>
        <v>7648195.3898776993</v>
      </c>
      <c r="EU99" s="71"/>
      <c r="EV99" s="116">
        <f t="shared" si="168"/>
        <v>6112.0488474694248</v>
      </c>
      <c r="EW99" s="117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7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7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7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7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7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7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7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7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7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7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7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7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7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7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7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7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7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7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7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7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7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7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7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7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7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7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7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7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7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7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7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7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7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7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7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7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7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7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7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6">
        <f t="shared" ca="1" si="169"/>
        <v>0</v>
      </c>
    </row>
    <row r="100" spans="109:193">
      <c r="DE100" s="116">
        <f t="shared" si="126"/>
        <v>6417.6512898428964</v>
      </c>
      <c r="DF100" s="117">
        <f t="shared" si="127"/>
        <v>0</v>
      </c>
      <c r="DG100" s="117">
        <f t="shared" si="128"/>
        <v>0</v>
      </c>
      <c r="DH100" s="117">
        <f t="shared" si="129"/>
        <v>0</v>
      </c>
      <c r="DI100" s="117">
        <f t="shared" si="130"/>
        <v>0</v>
      </c>
      <c r="DJ100" s="117">
        <f t="shared" si="131"/>
        <v>0</v>
      </c>
      <c r="DK100" s="117">
        <f t="shared" si="132"/>
        <v>0</v>
      </c>
      <c r="DL100" s="117">
        <f t="shared" si="133"/>
        <v>0</v>
      </c>
      <c r="DM100" s="117">
        <f t="shared" si="134"/>
        <v>0</v>
      </c>
      <c r="DN100" s="117">
        <f t="shared" si="135"/>
        <v>0</v>
      </c>
      <c r="DO100" s="117">
        <f t="shared" si="136"/>
        <v>8870605.1593715865</v>
      </c>
      <c r="DP100" s="117">
        <f t="shared" si="137"/>
        <v>0</v>
      </c>
      <c r="DQ100" s="117">
        <f t="shared" si="138"/>
        <v>0</v>
      </c>
      <c r="DR100" s="117">
        <f t="shared" si="139"/>
        <v>0</v>
      </c>
      <c r="DS100" s="117">
        <f t="shared" si="140"/>
        <v>0</v>
      </c>
      <c r="DT100" s="117">
        <f t="shared" si="141"/>
        <v>0</v>
      </c>
      <c r="DU100" s="117">
        <f t="shared" si="142"/>
        <v>0</v>
      </c>
      <c r="DV100" s="117">
        <f t="shared" si="143"/>
        <v>0</v>
      </c>
      <c r="DW100" s="117">
        <f t="shared" si="144"/>
        <v>0</v>
      </c>
      <c r="DX100" s="117">
        <f t="shared" si="145"/>
        <v>0</v>
      </c>
      <c r="DY100" s="117">
        <f t="shared" si="146"/>
        <v>0</v>
      </c>
      <c r="DZ100" s="117">
        <f t="shared" si="147"/>
        <v>0</v>
      </c>
      <c r="EA100" s="117">
        <f t="shared" si="148"/>
        <v>0</v>
      </c>
      <c r="EB100" s="117">
        <f t="shared" si="149"/>
        <v>0</v>
      </c>
      <c r="EC100" s="117">
        <f t="shared" si="150"/>
        <v>0</v>
      </c>
      <c r="ED100" s="117">
        <f t="shared" si="151"/>
        <v>0</v>
      </c>
      <c r="EE100" s="117">
        <f t="shared" si="152"/>
        <v>0</v>
      </c>
      <c r="EF100" s="117">
        <f t="shared" si="153"/>
        <v>0</v>
      </c>
      <c r="EG100" s="117">
        <f t="shared" si="154"/>
        <v>0</v>
      </c>
      <c r="EH100" s="117">
        <f t="shared" si="155"/>
        <v>0</v>
      </c>
      <c r="EI100" s="117">
        <f t="shared" si="156"/>
        <v>0</v>
      </c>
      <c r="EJ100" s="117">
        <f t="shared" si="157"/>
        <v>0</v>
      </c>
      <c r="EK100" s="117">
        <f t="shared" si="158"/>
        <v>0</v>
      </c>
      <c r="EL100" s="117">
        <f t="shared" si="159"/>
        <v>0</v>
      </c>
      <c r="EM100" s="117">
        <f t="shared" si="160"/>
        <v>0</v>
      </c>
      <c r="EN100" s="117">
        <f t="shared" si="161"/>
        <v>0</v>
      </c>
      <c r="EO100" s="117">
        <f t="shared" si="162"/>
        <v>0</v>
      </c>
      <c r="EP100" s="117">
        <f t="shared" si="163"/>
        <v>0</v>
      </c>
      <c r="EQ100" s="117">
        <f t="shared" si="164"/>
        <v>0</v>
      </c>
      <c r="ER100" s="117">
        <f t="shared" si="165"/>
        <v>0</v>
      </c>
      <c r="ES100" s="117">
        <f t="shared" si="166"/>
        <v>0</v>
      </c>
      <c r="ET100" s="176">
        <f t="shared" si="167"/>
        <v>8870605.1593715865</v>
      </c>
      <c r="EU100" s="71"/>
      <c r="EV100" s="116">
        <f t="shared" si="168"/>
        <v>6417.6512898428964</v>
      </c>
      <c r="EW100" s="117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7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7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7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7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7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7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7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7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7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7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7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7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7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7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7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7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7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7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7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7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7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7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7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7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7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7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7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7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7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7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7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7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7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7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7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7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7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7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7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6">
        <f t="shared" ca="1" si="169"/>
        <v>0</v>
      </c>
    </row>
    <row r="101" spans="109:193">
      <c r="DE101" s="116">
        <f t="shared" si="126"/>
        <v>6738.5338543350417</v>
      </c>
      <c r="DF101" s="117">
        <f t="shared" si="127"/>
        <v>0</v>
      </c>
      <c r="DG101" s="117">
        <f t="shared" si="128"/>
        <v>0</v>
      </c>
      <c r="DH101" s="117">
        <f t="shared" si="129"/>
        <v>0</v>
      </c>
      <c r="DI101" s="117">
        <f t="shared" si="130"/>
        <v>0</v>
      </c>
      <c r="DJ101" s="117">
        <f t="shared" si="131"/>
        <v>0</v>
      </c>
      <c r="DK101" s="117">
        <f t="shared" si="132"/>
        <v>0</v>
      </c>
      <c r="DL101" s="117">
        <f t="shared" si="133"/>
        <v>0</v>
      </c>
      <c r="DM101" s="117">
        <f t="shared" si="134"/>
        <v>0</v>
      </c>
      <c r="DN101" s="117">
        <f t="shared" si="135"/>
        <v>0</v>
      </c>
      <c r="DO101" s="117">
        <f t="shared" si="136"/>
        <v>10154135.417340167</v>
      </c>
      <c r="DP101" s="117">
        <f t="shared" si="137"/>
        <v>0</v>
      </c>
      <c r="DQ101" s="117">
        <f t="shared" si="138"/>
        <v>0</v>
      </c>
      <c r="DR101" s="117">
        <f t="shared" si="139"/>
        <v>0</v>
      </c>
      <c r="DS101" s="117">
        <f t="shared" si="140"/>
        <v>0</v>
      </c>
      <c r="DT101" s="117">
        <f t="shared" si="141"/>
        <v>0</v>
      </c>
      <c r="DU101" s="117">
        <f t="shared" si="142"/>
        <v>0</v>
      </c>
      <c r="DV101" s="117">
        <f t="shared" si="143"/>
        <v>0</v>
      </c>
      <c r="DW101" s="117">
        <f t="shared" si="144"/>
        <v>0</v>
      </c>
      <c r="DX101" s="117">
        <f t="shared" si="145"/>
        <v>0</v>
      </c>
      <c r="DY101" s="117">
        <f t="shared" si="146"/>
        <v>0</v>
      </c>
      <c r="DZ101" s="117">
        <f t="shared" si="147"/>
        <v>0</v>
      </c>
      <c r="EA101" s="117">
        <f t="shared" si="148"/>
        <v>0</v>
      </c>
      <c r="EB101" s="117">
        <f t="shared" si="149"/>
        <v>0</v>
      </c>
      <c r="EC101" s="117">
        <f t="shared" si="150"/>
        <v>0</v>
      </c>
      <c r="ED101" s="117">
        <f t="shared" si="151"/>
        <v>0</v>
      </c>
      <c r="EE101" s="117">
        <f t="shared" si="152"/>
        <v>0</v>
      </c>
      <c r="EF101" s="117">
        <f t="shared" si="153"/>
        <v>0</v>
      </c>
      <c r="EG101" s="117">
        <f t="shared" si="154"/>
        <v>0</v>
      </c>
      <c r="EH101" s="117">
        <f t="shared" si="155"/>
        <v>0</v>
      </c>
      <c r="EI101" s="117">
        <f t="shared" si="156"/>
        <v>0</v>
      </c>
      <c r="EJ101" s="117">
        <f t="shared" si="157"/>
        <v>0</v>
      </c>
      <c r="EK101" s="117">
        <f t="shared" si="158"/>
        <v>0</v>
      </c>
      <c r="EL101" s="117">
        <f t="shared" si="159"/>
        <v>0</v>
      </c>
      <c r="EM101" s="117">
        <f t="shared" si="160"/>
        <v>0</v>
      </c>
      <c r="EN101" s="117">
        <f t="shared" si="161"/>
        <v>0</v>
      </c>
      <c r="EO101" s="117">
        <f t="shared" si="162"/>
        <v>0</v>
      </c>
      <c r="EP101" s="117">
        <f t="shared" si="163"/>
        <v>0</v>
      </c>
      <c r="EQ101" s="117">
        <f t="shared" si="164"/>
        <v>0</v>
      </c>
      <c r="ER101" s="117">
        <f t="shared" si="165"/>
        <v>0</v>
      </c>
      <c r="ES101" s="117">
        <f t="shared" si="166"/>
        <v>0</v>
      </c>
      <c r="ET101" s="176">
        <f t="shared" si="167"/>
        <v>10154135.417340167</v>
      </c>
      <c r="EU101" s="71"/>
      <c r="EV101" s="116">
        <f t="shared" si="168"/>
        <v>6738.5338543350417</v>
      </c>
      <c r="EW101" s="117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7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7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7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7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7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7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7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7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7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7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7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7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7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7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7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7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7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7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7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7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7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7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7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7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7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7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7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7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7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7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7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7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7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7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7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7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7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7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7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6">
        <f t="shared" ca="1" si="169"/>
        <v>0</v>
      </c>
    </row>
    <row r="102" spans="109:193">
      <c r="DE102" s="138" t="s">
        <v>349</v>
      </c>
      <c r="DF102" s="139" t="s">
        <v>364</v>
      </c>
      <c r="DG102" s="139" t="s">
        <v>365</v>
      </c>
      <c r="DH102" s="139" t="s">
        <v>366</v>
      </c>
      <c r="DI102" s="139" t="s">
        <v>367</v>
      </c>
      <c r="DJ102" s="139" t="s">
        <v>368</v>
      </c>
      <c r="DK102" s="189" t="s">
        <v>369</v>
      </c>
      <c r="DL102" s="189" t="s">
        <v>370</v>
      </c>
      <c r="DM102" s="189" t="s">
        <v>371</v>
      </c>
      <c r="DN102" s="189" t="s">
        <v>372</v>
      </c>
      <c r="DO102" s="139" t="s">
        <v>373</v>
      </c>
      <c r="DP102" s="139" t="s">
        <v>374</v>
      </c>
      <c r="DQ102" s="139" t="s">
        <v>375</v>
      </c>
      <c r="DR102" s="139" t="s">
        <v>376</v>
      </c>
      <c r="DS102" s="139" t="s">
        <v>377</v>
      </c>
      <c r="DT102" s="139" t="s">
        <v>378</v>
      </c>
      <c r="DU102" s="139" t="s">
        <v>379</v>
      </c>
      <c r="DV102" s="139" t="s">
        <v>380</v>
      </c>
      <c r="DW102" s="139" t="s">
        <v>381</v>
      </c>
      <c r="DX102" s="139" t="s">
        <v>382</v>
      </c>
      <c r="DY102" s="139" t="s">
        <v>383</v>
      </c>
      <c r="DZ102" s="139" t="s">
        <v>384</v>
      </c>
      <c r="EA102" s="139" t="s">
        <v>385</v>
      </c>
      <c r="EB102" s="139" t="s">
        <v>386</v>
      </c>
      <c r="EC102" s="139" t="s">
        <v>387</v>
      </c>
      <c r="ED102" s="139" t="s">
        <v>388</v>
      </c>
      <c r="EE102" s="139" t="s">
        <v>389</v>
      </c>
      <c r="EF102" s="139" t="s">
        <v>390</v>
      </c>
      <c r="EG102" s="139" t="s">
        <v>391</v>
      </c>
      <c r="EH102" s="139" t="s">
        <v>392</v>
      </c>
      <c r="EI102" s="139" t="s">
        <v>393</v>
      </c>
      <c r="EJ102" s="139" t="s">
        <v>394</v>
      </c>
      <c r="EK102" s="139" t="s">
        <v>395</v>
      </c>
      <c r="EL102" s="189" t="s">
        <v>396</v>
      </c>
      <c r="EM102" s="189" t="s">
        <v>397</v>
      </c>
      <c r="EN102" s="189" t="s">
        <v>398</v>
      </c>
      <c r="EO102" s="189" t="s">
        <v>404</v>
      </c>
      <c r="EP102" s="189" t="s">
        <v>405</v>
      </c>
      <c r="EQ102" s="189" t="s">
        <v>406</v>
      </c>
      <c r="ER102" s="189" t="s">
        <v>407</v>
      </c>
      <c r="ES102" s="189" t="s">
        <v>408</v>
      </c>
      <c r="ET102" s="141" t="s">
        <v>399</v>
      </c>
      <c r="EU102" s="71"/>
      <c r="EV102" s="138" t="s">
        <v>349</v>
      </c>
      <c r="EW102" s="139" t="s">
        <v>364</v>
      </c>
      <c r="EX102" s="139" t="s">
        <v>365</v>
      </c>
      <c r="EY102" s="139" t="s">
        <v>366</v>
      </c>
      <c r="EZ102" s="139" t="s">
        <v>367</v>
      </c>
      <c r="FA102" s="139" t="s">
        <v>368</v>
      </c>
      <c r="FB102" s="189" t="s">
        <v>369</v>
      </c>
      <c r="FC102" s="189" t="s">
        <v>370</v>
      </c>
      <c r="FD102" s="189" t="s">
        <v>371</v>
      </c>
      <c r="FE102" s="189" t="s">
        <v>372</v>
      </c>
      <c r="FF102" s="139" t="s">
        <v>373</v>
      </c>
      <c r="FG102" s="139" t="s">
        <v>374</v>
      </c>
      <c r="FH102" s="139" t="s">
        <v>375</v>
      </c>
      <c r="FI102" s="139" t="s">
        <v>376</v>
      </c>
      <c r="FJ102" s="139" t="s">
        <v>377</v>
      </c>
      <c r="FK102" s="139" t="s">
        <v>378</v>
      </c>
      <c r="FL102" s="139" t="s">
        <v>379</v>
      </c>
      <c r="FM102" s="139" t="s">
        <v>380</v>
      </c>
      <c r="FN102" s="139" t="s">
        <v>381</v>
      </c>
      <c r="FO102" s="139" t="s">
        <v>382</v>
      </c>
      <c r="FP102" s="139" t="s">
        <v>383</v>
      </c>
      <c r="FQ102" s="139" t="s">
        <v>384</v>
      </c>
      <c r="FR102" s="139" t="s">
        <v>385</v>
      </c>
      <c r="FS102" s="139" t="s">
        <v>386</v>
      </c>
      <c r="FT102" s="139" t="s">
        <v>387</v>
      </c>
      <c r="FU102" s="139" t="s">
        <v>388</v>
      </c>
      <c r="FV102" s="139" t="s">
        <v>389</v>
      </c>
      <c r="FW102" s="139" t="s">
        <v>390</v>
      </c>
      <c r="FX102" s="139" t="s">
        <v>391</v>
      </c>
      <c r="FY102" s="139" t="s">
        <v>392</v>
      </c>
      <c r="FZ102" s="139" t="s">
        <v>393</v>
      </c>
      <c r="GA102" s="139" t="s">
        <v>394</v>
      </c>
      <c r="GB102" s="139" t="s">
        <v>395</v>
      </c>
      <c r="GC102" s="189" t="s">
        <v>396</v>
      </c>
      <c r="GD102" s="189" t="s">
        <v>397</v>
      </c>
      <c r="GE102" s="189" t="s">
        <v>398</v>
      </c>
      <c r="GF102" s="189" t="s">
        <v>404</v>
      </c>
      <c r="GG102" s="189" t="s">
        <v>405</v>
      </c>
      <c r="GH102" s="189" t="s">
        <v>406</v>
      </c>
      <c r="GI102" s="189" t="s">
        <v>407</v>
      </c>
      <c r="GJ102" s="189" t="s">
        <v>408</v>
      </c>
      <c r="GK102" s="141" t="s">
        <v>399</v>
      </c>
    </row>
    <row r="103" spans="109:193">
      <c r="DE103" s="116">
        <f t="shared" ref="DE103:DE134" si="170">DE3</f>
        <v>1430.1800275031574</v>
      </c>
      <c r="DF103" s="117">
        <f t="shared" ref="DF103:DF134" si="171">IF($DE103&lt;$AD$3,$AC$3*100*($AD$3-$DE103),0)</f>
        <v>0</v>
      </c>
      <c r="DG103" s="117">
        <f t="shared" ref="DG103:DG134" si="172">IF($DE103&lt;$AD$4,$AC$4*100*($AD$4-$DE103),0)</f>
        <v>0</v>
      </c>
      <c r="DH103" s="117">
        <f t="shared" ref="DH103:DH134" si="173">IF($DE103&lt;$AD$5,$AC$5*100*($AD$5-$DE103),0)</f>
        <v>0</v>
      </c>
      <c r="DI103" s="117">
        <f t="shared" ref="DI103:DI134" si="174">IF($DE103&lt;$AD$6,$AC$6*100*($AD$6-$DE103),0)</f>
        <v>0</v>
      </c>
      <c r="DJ103" s="117">
        <f t="shared" ref="DJ103:DJ134" si="175">IF($DE103&lt;$AD$7,$AC$7*100*($AD$7-$DE103),0)</f>
        <v>0</v>
      </c>
      <c r="DK103" s="117">
        <f t="shared" ref="DK103:DK134" si="176">IF($DE103&lt;$AD$8,$AC$8*100*($AD$8-$DE103),0)</f>
        <v>0</v>
      </c>
      <c r="DL103" s="117">
        <f t="shared" ref="DL103:DL134" si="177">IF($DE103&lt;$AD$9,$AC$9*100*($AD$9-$DE103),0)</f>
        <v>0</v>
      </c>
      <c r="DM103" s="117">
        <f t="shared" ref="DM103:DM134" si="178">IF($DE103&lt;$AD$10,$AC$10*100*($AD$10-$DE103),0)</f>
        <v>0</v>
      </c>
      <c r="DN103" s="117">
        <f t="shared" ref="DN103:DN134" si="179">IF($DE103&lt;$AD$11,$AC$11*100*($AD$11-$DE103),0)</f>
        <v>0</v>
      </c>
      <c r="DO103" s="117">
        <f t="shared" ref="DO103:DO134" si="180">IF($DE103&lt;$AD$12,$AC$12*100*($AD$12-$DE103),0)</f>
        <v>0</v>
      </c>
      <c r="DP103" s="117">
        <f t="shared" ref="DP103:DP134" si="181">IF($DE103&lt;$AD$13,$AC$13*100*($AD$13-$DE103),0)</f>
        <v>0</v>
      </c>
      <c r="DQ103" s="117">
        <f t="shared" ref="DQ103:DQ134" si="182">IF($DE103&lt;$AD$14,$AC$14*100*($AD$14-$DE103),0)</f>
        <v>0</v>
      </c>
      <c r="DR103" s="117">
        <f t="shared" ref="DR103:DR134" si="183">IF($DE103&lt;$AD$15,$AC$15*100*($AD$15-$DE103),0)</f>
        <v>0</v>
      </c>
      <c r="DS103" s="117">
        <f t="shared" ref="DS103:DS134" si="184">IF($DE103&lt;$AD$16,$AC$16*100*($AD$16-$DE103),0)</f>
        <v>0</v>
      </c>
      <c r="DT103" s="117">
        <f t="shared" ref="DT103:DT134" si="185">IF($DE103&lt;$AD$17,$AC$17*100*($AD$17-$DE103),0)</f>
        <v>0</v>
      </c>
      <c r="DU103" s="117">
        <f t="shared" ref="DU103:DU134" si="186">IF($DE103&lt;$AD$18,$AC$18*100*($AD$18-$DE103),0)</f>
        <v>0</v>
      </c>
      <c r="DV103" s="117">
        <f t="shared" ref="DV103:DV134" si="187">IF($DE103&lt;$AD$19,$AC$19*100*($AD$19-$DE103),0)</f>
        <v>0</v>
      </c>
      <c r="DW103" s="117">
        <f t="shared" ref="DW103:DW134" si="188">IF($DE103&lt;$AD$20,$AC$20*100*($AD$20-$DE103),0)</f>
        <v>0</v>
      </c>
      <c r="DX103" s="117">
        <f t="shared" ref="DX103:DX134" si="189">IF($DE103&lt;$AD$21,$AC$21*100*($AD$21-$DE103),0)</f>
        <v>0</v>
      </c>
      <c r="DY103" s="117">
        <f t="shared" ref="DY103:DY134" si="190">IF($DE103&lt;$AD$22,$AC$22*100*($AD$22-$DE103),0)</f>
        <v>0</v>
      </c>
      <c r="DZ103" s="117">
        <f t="shared" ref="DZ103:DZ134" si="191">IF($DE103&lt;$AD$23,$AC$23*100*($AD$23-$DE103),0)</f>
        <v>0</v>
      </c>
      <c r="EA103" s="117">
        <f t="shared" ref="EA103:EA134" si="192">IF($DE103&lt;$AD$24,$AC$24*100*($AD$24-$DE103),0)</f>
        <v>0</v>
      </c>
      <c r="EB103" s="117">
        <f t="shared" ref="EB103:EB134" si="193">IF($DE103&lt;$AD$25,$AC$25*100*($AD$25-$DE103),0)</f>
        <v>0</v>
      </c>
      <c r="EC103" s="117">
        <f t="shared" ref="EC103:EC134" si="194">IF($DE103&lt;$AD$26,$AC$26*100*($AD$26-$DE103),0)</f>
        <v>0</v>
      </c>
      <c r="ED103" s="117">
        <f t="shared" ref="ED103:ED134" si="195">IF($DE103&lt;$AD$27,$AC$27*100*($AD$27-$DE103),0)</f>
        <v>0</v>
      </c>
      <c r="EE103" s="117">
        <f t="shared" ref="EE103:EE134" si="196">IF($DE103&lt;$AD$28,$AC$28*100*($AD$28-$DE103),0)</f>
        <v>0</v>
      </c>
      <c r="EF103" s="117">
        <f t="shared" ref="EF103:EF134" si="197">IF($DE103&lt;$AD$29,$AC$29*100*($AD$29-$DE103),0)</f>
        <v>0</v>
      </c>
      <c r="EG103" s="117">
        <f t="shared" ref="EG103:EG134" si="198">IF($DE103&lt;$AD$30,$AC$30*100*($AD$30-$DE103),0)</f>
        <v>0</v>
      </c>
      <c r="EH103" s="117">
        <f t="shared" ref="EH103:EH134" si="199">IF($DE103&lt;$AD$31,$AC$31*100*($AD$31-$DE103),0)</f>
        <v>0</v>
      </c>
      <c r="EI103" s="117">
        <f t="shared" ref="EI103:EI134" si="200">IF($DE103&lt;$AD$32,$AC$32*100*($AD$32-$DE103),0)</f>
        <v>0</v>
      </c>
      <c r="EJ103" s="117">
        <f t="shared" ref="EJ103:EJ134" si="201">IF($DE103&lt;$AD$33,$AC$33*100*($AD$33-$DE103),0)</f>
        <v>0</v>
      </c>
      <c r="EK103" s="117">
        <f t="shared" ref="EK103:EK134" si="202">IF($DE103&lt;$AD$34,$AC$34*100*($AD$34-$DE103),0)</f>
        <v>0</v>
      </c>
      <c r="EL103" s="117">
        <f t="shared" ref="EL103:EL134" si="203">IF($DE103&lt;$AD$35,$AC$35*100*($AD$35-$DE103),0)</f>
        <v>0</v>
      </c>
      <c r="EM103" s="117">
        <f t="shared" ref="EM103:EM134" si="204">IF($DE103&lt;$AD$36,$AC$36*100*($AD$36-$DE103),0)</f>
        <v>0</v>
      </c>
      <c r="EN103" s="117">
        <f t="shared" ref="EN103:EN134" si="205">IF($DE103&lt;$AD$37,$AC$37*100*($AD$37-$DE103),0)</f>
        <v>0</v>
      </c>
      <c r="EO103" s="117">
        <f t="shared" ref="EO103:EO134" si="206">IF($DE103&lt;$AD$38,$AC$38*100*($AD$38-$DE103),0)</f>
        <v>0</v>
      </c>
      <c r="EP103" s="117">
        <f t="shared" ref="EP103:EP134" si="207">IF($DE103&lt;$AD$39,$AC$39*100*($AD$39-$DE103),0)</f>
        <v>0</v>
      </c>
      <c r="EQ103" s="117">
        <f t="shared" ref="EQ103:EQ134" si="208">IF($DE103&lt;$AD$40,$AC$40*100*($AD$40-$DE103),0)</f>
        <v>0</v>
      </c>
      <c r="ER103" s="117">
        <f t="shared" ref="ER103:ER134" si="209">IF($DE103&lt;$AD$41,$AC$41*100*($AD$41-$DE103),0)</f>
        <v>0</v>
      </c>
      <c r="ES103" s="117">
        <f t="shared" ref="ES103:ES134" si="210">IF($DE103&lt;$AD$42,$AC$42*100*($AD$42-$DE103),0)</f>
        <v>0</v>
      </c>
      <c r="ET103" s="176">
        <f t="shared" ref="ET103:ET134" si="211">SUM(DF103:ES103)</f>
        <v>0</v>
      </c>
      <c r="EU103" s="71"/>
      <c r="EV103" s="116">
        <f t="shared" ref="EV103:EV134" si="212">EV3</f>
        <v>1430.1800275031574</v>
      </c>
      <c r="EW103" s="117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7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7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7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7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7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7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7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7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7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7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7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7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7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7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7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7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7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7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7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7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7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7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7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7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7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7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7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7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7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7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7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7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7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7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7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7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7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7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7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6">
        <f t="shared" ref="GK103:GK134" ca="1" si="213">SUM(EW103:GJ103)</f>
        <v>0</v>
      </c>
    </row>
    <row r="104" spans="109:193">
      <c r="DE104" s="116">
        <f t="shared" si="170"/>
        <v>1505.4526605296394</v>
      </c>
      <c r="DF104" s="117">
        <f t="shared" si="171"/>
        <v>0</v>
      </c>
      <c r="DG104" s="117">
        <f t="shared" si="172"/>
        <v>0</v>
      </c>
      <c r="DH104" s="117">
        <f t="shared" si="173"/>
        <v>0</v>
      </c>
      <c r="DI104" s="117">
        <f t="shared" si="174"/>
        <v>0</v>
      </c>
      <c r="DJ104" s="117">
        <f t="shared" si="175"/>
        <v>0</v>
      </c>
      <c r="DK104" s="117">
        <f t="shared" si="176"/>
        <v>0</v>
      </c>
      <c r="DL104" s="117">
        <f t="shared" si="177"/>
        <v>0</v>
      </c>
      <c r="DM104" s="117">
        <f t="shared" si="178"/>
        <v>0</v>
      </c>
      <c r="DN104" s="117">
        <f t="shared" si="179"/>
        <v>0</v>
      </c>
      <c r="DO104" s="117">
        <f t="shared" si="180"/>
        <v>0</v>
      </c>
      <c r="DP104" s="117">
        <f t="shared" si="181"/>
        <v>0</v>
      </c>
      <c r="DQ104" s="117">
        <f t="shared" si="182"/>
        <v>0</v>
      </c>
      <c r="DR104" s="117">
        <f t="shared" si="183"/>
        <v>0</v>
      </c>
      <c r="DS104" s="117">
        <f t="shared" si="184"/>
        <v>0</v>
      </c>
      <c r="DT104" s="117">
        <f t="shared" si="185"/>
        <v>0</v>
      </c>
      <c r="DU104" s="117">
        <f t="shared" si="186"/>
        <v>0</v>
      </c>
      <c r="DV104" s="117">
        <f t="shared" si="187"/>
        <v>0</v>
      </c>
      <c r="DW104" s="117">
        <f t="shared" si="188"/>
        <v>0</v>
      </c>
      <c r="DX104" s="117">
        <f t="shared" si="189"/>
        <v>0</v>
      </c>
      <c r="DY104" s="117">
        <f t="shared" si="190"/>
        <v>0</v>
      </c>
      <c r="DZ104" s="117">
        <f t="shared" si="191"/>
        <v>0</v>
      </c>
      <c r="EA104" s="117">
        <f t="shared" si="192"/>
        <v>0</v>
      </c>
      <c r="EB104" s="117">
        <f t="shared" si="193"/>
        <v>0</v>
      </c>
      <c r="EC104" s="117">
        <f t="shared" si="194"/>
        <v>0</v>
      </c>
      <c r="ED104" s="117">
        <f t="shared" si="195"/>
        <v>0</v>
      </c>
      <c r="EE104" s="117">
        <f t="shared" si="196"/>
        <v>0</v>
      </c>
      <c r="EF104" s="117">
        <f t="shared" si="197"/>
        <v>0</v>
      </c>
      <c r="EG104" s="117">
        <f t="shared" si="198"/>
        <v>0</v>
      </c>
      <c r="EH104" s="117">
        <f t="shared" si="199"/>
        <v>0</v>
      </c>
      <c r="EI104" s="117">
        <f t="shared" si="200"/>
        <v>0</v>
      </c>
      <c r="EJ104" s="117">
        <f t="shared" si="201"/>
        <v>0</v>
      </c>
      <c r="EK104" s="117">
        <f t="shared" si="202"/>
        <v>0</v>
      </c>
      <c r="EL104" s="117">
        <f t="shared" si="203"/>
        <v>0</v>
      </c>
      <c r="EM104" s="117">
        <f t="shared" si="204"/>
        <v>0</v>
      </c>
      <c r="EN104" s="117">
        <f t="shared" si="205"/>
        <v>0</v>
      </c>
      <c r="EO104" s="117">
        <f t="shared" si="206"/>
        <v>0</v>
      </c>
      <c r="EP104" s="117">
        <f t="shared" si="207"/>
        <v>0</v>
      </c>
      <c r="EQ104" s="117">
        <f t="shared" si="208"/>
        <v>0</v>
      </c>
      <c r="ER104" s="117">
        <f t="shared" si="209"/>
        <v>0</v>
      </c>
      <c r="ES104" s="117">
        <f t="shared" si="210"/>
        <v>0</v>
      </c>
      <c r="ET104" s="176">
        <f t="shared" si="211"/>
        <v>0</v>
      </c>
      <c r="EU104" s="71"/>
      <c r="EV104" s="116">
        <f t="shared" si="212"/>
        <v>1505.4526605296394</v>
      </c>
      <c r="EW104" s="117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7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7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7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7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7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7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7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7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7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7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7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7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7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7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7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7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7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7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7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7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7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7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7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7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7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7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7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7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7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7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7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7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7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7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7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7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7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7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7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6">
        <f t="shared" ca="1" si="213"/>
        <v>0</v>
      </c>
    </row>
    <row r="105" spans="109:193">
      <c r="DE105" s="116">
        <f t="shared" si="170"/>
        <v>1584.6870110838311</v>
      </c>
      <c r="DF105" s="117">
        <f t="shared" si="171"/>
        <v>0</v>
      </c>
      <c r="DG105" s="117">
        <f t="shared" si="172"/>
        <v>0</v>
      </c>
      <c r="DH105" s="117">
        <f t="shared" si="173"/>
        <v>0</v>
      </c>
      <c r="DI105" s="117">
        <f t="shared" si="174"/>
        <v>0</v>
      </c>
      <c r="DJ105" s="117">
        <f t="shared" si="175"/>
        <v>0</v>
      </c>
      <c r="DK105" s="117">
        <f t="shared" si="176"/>
        <v>0</v>
      </c>
      <c r="DL105" s="117">
        <f t="shared" si="177"/>
        <v>0</v>
      </c>
      <c r="DM105" s="117">
        <f t="shared" si="178"/>
        <v>0</v>
      </c>
      <c r="DN105" s="117">
        <f t="shared" si="179"/>
        <v>0</v>
      </c>
      <c r="DO105" s="117">
        <f t="shared" si="180"/>
        <v>0</v>
      </c>
      <c r="DP105" s="117">
        <f t="shared" si="181"/>
        <v>0</v>
      </c>
      <c r="DQ105" s="117">
        <f t="shared" si="182"/>
        <v>0</v>
      </c>
      <c r="DR105" s="117">
        <f t="shared" si="183"/>
        <v>0</v>
      </c>
      <c r="DS105" s="117">
        <f t="shared" si="184"/>
        <v>0</v>
      </c>
      <c r="DT105" s="117">
        <f t="shared" si="185"/>
        <v>0</v>
      </c>
      <c r="DU105" s="117">
        <f t="shared" si="186"/>
        <v>0</v>
      </c>
      <c r="DV105" s="117">
        <f t="shared" si="187"/>
        <v>0</v>
      </c>
      <c r="DW105" s="117">
        <f t="shared" si="188"/>
        <v>0</v>
      </c>
      <c r="DX105" s="117">
        <f t="shared" si="189"/>
        <v>0</v>
      </c>
      <c r="DY105" s="117">
        <f t="shared" si="190"/>
        <v>0</v>
      </c>
      <c r="DZ105" s="117">
        <f t="shared" si="191"/>
        <v>0</v>
      </c>
      <c r="EA105" s="117">
        <f t="shared" si="192"/>
        <v>0</v>
      </c>
      <c r="EB105" s="117">
        <f t="shared" si="193"/>
        <v>0</v>
      </c>
      <c r="EC105" s="117">
        <f t="shared" si="194"/>
        <v>0</v>
      </c>
      <c r="ED105" s="117">
        <f t="shared" si="195"/>
        <v>0</v>
      </c>
      <c r="EE105" s="117">
        <f t="shared" si="196"/>
        <v>0</v>
      </c>
      <c r="EF105" s="117">
        <f t="shared" si="197"/>
        <v>0</v>
      </c>
      <c r="EG105" s="117">
        <f t="shared" si="198"/>
        <v>0</v>
      </c>
      <c r="EH105" s="117">
        <f t="shared" si="199"/>
        <v>0</v>
      </c>
      <c r="EI105" s="117">
        <f t="shared" si="200"/>
        <v>0</v>
      </c>
      <c r="EJ105" s="117">
        <f t="shared" si="201"/>
        <v>0</v>
      </c>
      <c r="EK105" s="117">
        <f t="shared" si="202"/>
        <v>0</v>
      </c>
      <c r="EL105" s="117">
        <f t="shared" si="203"/>
        <v>0</v>
      </c>
      <c r="EM105" s="117">
        <f t="shared" si="204"/>
        <v>0</v>
      </c>
      <c r="EN105" s="117">
        <f t="shared" si="205"/>
        <v>0</v>
      </c>
      <c r="EO105" s="117">
        <f t="shared" si="206"/>
        <v>0</v>
      </c>
      <c r="EP105" s="117">
        <f t="shared" si="207"/>
        <v>0</v>
      </c>
      <c r="EQ105" s="117">
        <f t="shared" si="208"/>
        <v>0</v>
      </c>
      <c r="ER105" s="117">
        <f t="shared" si="209"/>
        <v>0</v>
      </c>
      <c r="ES105" s="117">
        <f t="shared" si="210"/>
        <v>0</v>
      </c>
      <c r="ET105" s="176">
        <f t="shared" si="211"/>
        <v>0</v>
      </c>
      <c r="EU105" s="71"/>
      <c r="EV105" s="116">
        <f t="shared" si="212"/>
        <v>1584.6870110838311</v>
      </c>
      <c r="EW105" s="117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7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7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7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7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7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7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7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7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7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7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7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7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7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7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7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7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7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7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7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7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7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7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7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7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7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7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7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7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7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7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7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7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7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7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7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7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7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7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7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6">
        <f t="shared" ca="1" si="213"/>
        <v>0</v>
      </c>
    </row>
    <row r="106" spans="109:193">
      <c r="DE106" s="116">
        <f t="shared" si="170"/>
        <v>1668.0915906145592</v>
      </c>
      <c r="DF106" s="117">
        <f t="shared" si="171"/>
        <v>0</v>
      </c>
      <c r="DG106" s="117">
        <f t="shared" si="172"/>
        <v>0</v>
      </c>
      <c r="DH106" s="117">
        <f t="shared" si="173"/>
        <v>0</v>
      </c>
      <c r="DI106" s="117">
        <f t="shared" si="174"/>
        <v>0</v>
      </c>
      <c r="DJ106" s="117">
        <f t="shared" si="175"/>
        <v>0</v>
      </c>
      <c r="DK106" s="117">
        <f t="shared" si="176"/>
        <v>0</v>
      </c>
      <c r="DL106" s="117">
        <f t="shared" si="177"/>
        <v>0</v>
      </c>
      <c r="DM106" s="117">
        <f t="shared" si="178"/>
        <v>0</v>
      </c>
      <c r="DN106" s="117">
        <f t="shared" si="179"/>
        <v>0</v>
      </c>
      <c r="DO106" s="117">
        <f t="shared" si="180"/>
        <v>0</v>
      </c>
      <c r="DP106" s="117">
        <f t="shared" si="181"/>
        <v>0</v>
      </c>
      <c r="DQ106" s="117">
        <f t="shared" si="182"/>
        <v>0</v>
      </c>
      <c r="DR106" s="117">
        <f t="shared" si="183"/>
        <v>0</v>
      </c>
      <c r="DS106" s="117">
        <f t="shared" si="184"/>
        <v>0</v>
      </c>
      <c r="DT106" s="117">
        <f t="shared" si="185"/>
        <v>0</v>
      </c>
      <c r="DU106" s="117">
        <f t="shared" si="186"/>
        <v>0</v>
      </c>
      <c r="DV106" s="117">
        <f t="shared" si="187"/>
        <v>0</v>
      </c>
      <c r="DW106" s="117">
        <f t="shared" si="188"/>
        <v>0</v>
      </c>
      <c r="DX106" s="117">
        <f t="shared" si="189"/>
        <v>0</v>
      </c>
      <c r="DY106" s="117">
        <f t="shared" si="190"/>
        <v>0</v>
      </c>
      <c r="DZ106" s="117">
        <f t="shared" si="191"/>
        <v>0</v>
      </c>
      <c r="EA106" s="117">
        <f t="shared" si="192"/>
        <v>0</v>
      </c>
      <c r="EB106" s="117">
        <f t="shared" si="193"/>
        <v>0</v>
      </c>
      <c r="EC106" s="117">
        <f t="shared" si="194"/>
        <v>0</v>
      </c>
      <c r="ED106" s="117">
        <f t="shared" si="195"/>
        <v>0</v>
      </c>
      <c r="EE106" s="117">
        <f t="shared" si="196"/>
        <v>0</v>
      </c>
      <c r="EF106" s="117">
        <f t="shared" si="197"/>
        <v>0</v>
      </c>
      <c r="EG106" s="117">
        <f t="shared" si="198"/>
        <v>0</v>
      </c>
      <c r="EH106" s="117">
        <f t="shared" si="199"/>
        <v>0</v>
      </c>
      <c r="EI106" s="117">
        <f t="shared" si="200"/>
        <v>0</v>
      </c>
      <c r="EJ106" s="117">
        <f t="shared" si="201"/>
        <v>0</v>
      </c>
      <c r="EK106" s="117">
        <f t="shared" si="202"/>
        <v>0</v>
      </c>
      <c r="EL106" s="117">
        <f t="shared" si="203"/>
        <v>0</v>
      </c>
      <c r="EM106" s="117">
        <f t="shared" si="204"/>
        <v>0</v>
      </c>
      <c r="EN106" s="117">
        <f t="shared" si="205"/>
        <v>0</v>
      </c>
      <c r="EO106" s="117">
        <f t="shared" si="206"/>
        <v>0</v>
      </c>
      <c r="EP106" s="117">
        <f t="shared" si="207"/>
        <v>0</v>
      </c>
      <c r="EQ106" s="117">
        <f t="shared" si="208"/>
        <v>0</v>
      </c>
      <c r="ER106" s="117">
        <f t="shared" si="209"/>
        <v>0</v>
      </c>
      <c r="ES106" s="117">
        <f t="shared" si="210"/>
        <v>0</v>
      </c>
      <c r="ET106" s="176">
        <f t="shared" si="211"/>
        <v>0</v>
      </c>
      <c r="EU106" s="71"/>
      <c r="EV106" s="116">
        <f t="shared" si="212"/>
        <v>1668.0915906145592</v>
      </c>
      <c r="EW106" s="117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7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7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7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7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7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7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7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7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7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7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7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7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7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7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7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7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7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7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7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7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7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7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7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7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7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7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7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7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7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7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7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7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7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7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7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7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7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7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7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6">
        <f t="shared" ca="1" si="213"/>
        <v>0</v>
      </c>
    </row>
    <row r="107" spans="109:193">
      <c r="DE107" s="116">
        <f t="shared" si="170"/>
        <v>1755.8858848574307</v>
      </c>
      <c r="DF107" s="117">
        <f t="shared" si="171"/>
        <v>0</v>
      </c>
      <c r="DG107" s="117">
        <f t="shared" si="172"/>
        <v>0</v>
      </c>
      <c r="DH107" s="117">
        <f t="shared" si="173"/>
        <v>0</v>
      </c>
      <c r="DI107" s="117">
        <f t="shared" si="174"/>
        <v>0</v>
      </c>
      <c r="DJ107" s="117">
        <f t="shared" si="175"/>
        <v>0</v>
      </c>
      <c r="DK107" s="117">
        <f t="shared" si="176"/>
        <v>0</v>
      </c>
      <c r="DL107" s="117">
        <f t="shared" si="177"/>
        <v>0</v>
      </c>
      <c r="DM107" s="117">
        <f t="shared" si="178"/>
        <v>0</v>
      </c>
      <c r="DN107" s="117">
        <f t="shared" si="179"/>
        <v>0</v>
      </c>
      <c r="DO107" s="117">
        <f t="shared" si="180"/>
        <v>0</v>
      </c>
      <c r="DP107" s="117">
        <f t="shared" si="181"/>
        <v>0</v>
      </c>
      <c r="DQ107" s="117">
        <f t="shared" si="182"/>
        <v>0</v>
      </c>
      <c r="DR107" s="117">
        <f t="shared" si="183"/>
        <v>0</v>
      </c>
      <c r="DS107" s="117">
        <f t="shared" si="184"/>
        <v>0</v>
      </c>
      <c r="DT107" s="117">
        <f t="shared" si="185"/>
        <v>0</v>
      </c>
      <c r="DU107" s="117">
        <f t="shared" si="186"/>
        <v>0</v>
      </c>
      <c r="DV107" s="117">
        <f t="shared" si="187"/>
        <v>0</v>
      </c>
      <c r="DW107" s="117">
        <f t="shared" si="188"/>
        <v>0</v>
      </c>
      <c r="DX107" s="117">
        <f t="shared" si="189"/>
        <v>0</v>
      </c>
      <c r="DY107" s="117">
        <f t="shared" si="190"/>
        <v>0</v>
      </c>
      <c r="DZ107" s="117">
        <f t="shared" si="191"/>
        <v>0</v>
      </c>
      <c r="EA107" s="117">
        <f t="shared" si="192"/>
        <v>0</v>
      </c>
      <c r="EB107" s="117">
        <f t="shared" si="193"/>
        <v>0</v>
      </c>
      <c r="EC107" s="117">
        <f t="shared" si="194"/>
        <v>0</v>
      </c>
      <c r="ED107" s="117">
        <f t="shared" si="195"/>
        <v>0</v>
      </c>
      <c r="EE107" s="117">
        <f t="shared" si="196"/>
        <v>0</v>
      </c>
      <c r="EF107" s="117">
        <f t="shared" si="197"/>
        <v>0</v>
      </c>
      <c r="EG107" s="117">
        <f t="shared" si="198"/>
        <v>0</v>
      </c>
      <c r="EH107" s="117">
        <f t="shared" si="199"/>
        <v>0</v>
      </c>
      <c r="EI107" s="117">
        <f t="shared" si="200"/>
        <v>0</v>
      </c>
      <c r="EJ107" s="117">
        <f t="shared" si="201"/>
        <v>0</v>
      </c>
      <c r="EK107" s="117">
        <f t="shared" si="202"/>
        <v>0</v>
      </c>
      <c r="EL107" s="117">
        <f t="shared" si="203"/>
        <v>0</v>
      </c>
      <c r="EM107" s="117">
        <f t="shared" si="204"/>
        <v>0</v>
      </c>
      <c r="EN107" s="117">
        <f t="shared" si="205"/>
        <v>0</v>
      </c>
      <c r="EO107" s="117">
        <f t="shared" si="206"/>
        <v>0</v>
      </c>
      <c r="EP107" s="117">
        <f t="shared" si="207"/>
        <v>0</v>
      </c>
      <c r="EQ107" s="117">
        <f t="shared" si="208"/>
        <v>0</v>
      </c>
      <c r="ER107" s="117">
        <f t="shared" si="209"/>
        <v>0</v>
      </c>
      <c r="ES107" s="117">
        <f t="shared" si="210"/>
        <v>0</v>
      </c>
      <c r="ET107" s="176">
        <f t="shared" si="211"/>
        <v>0</v>
      </c>
      <c r="EU107" s="71"/>
      <c r="EV107" s="116">
        <f t="shared" si="212"/>
        <v>1755.8858848574307</v>
      </c>
      <c r="EW107" s="117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7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7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7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7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7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7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7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7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7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7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7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7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7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7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7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7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7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7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7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7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7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7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7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7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7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7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7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7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7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7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7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7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7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7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7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7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7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7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7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6">
        <f t="shared" ca="1" si="213"/>
        <v>0</v>
      </c>
    </row>
    <row r="108" spans="109:193">
      <c r="DE108" s="116">
        <f t="shared" si="170"/>
        <v>1848.3009314288745</v>
      </c>
      <c r="DF108" s="117">
        <f t="shared" si="171"/>
        <v>0</v>
      </c>
      <c r="DG108" s="117">
        <f t="shared" si="172"/>
        <v>0</v>
      </c>
      <c r="DH108" s="117">
        <f t="shared" si="173"/>
        <v>0</v>
      </c>
      <c r="DI108" s="117">
        <f t="shared" si="174"/>
        <v>0</v>
      </c>
      <c r="DJ108" s="117">
        <f t="shared" si="175"/>
        <v>0</v>
      </c>
      <c r="DK108" s="117">
        <f t="shared" si="176"/>
        <v>0</v>
      </c>
      <c r="DL108" s="117">
        <f t="shared" si="177"/>
        <v>0</v>
      </c>
      <c r="DM108" s="117">
        <f t="shared" si="178"/>
        <v>0</v>
      </c>
      <c r="DN108" s="117">
        <f t="shared" si="179"/>
        <v>0</v>
      </c>
      <c r="DO108" s="117">
        <f t="shared" si="180"/>
        <v>0</v>
      </c>
      <c r="DP108" s="117">
        <f t="shared" si="181"/>
        <v>0</v>
      </c>
      <c r="DQ108" s="117">
        <f t="shared" si="182"/>
        <v>0</v>
      </c>
      <c r="DR108" s="117">
        <f t="shared" si="183"/>
        <v>0</v>
      </c>
      <c r="DS108" s="117">
        <f t="shared" si="184"/>
        <v>0</v>
      </c>
      <c r="DT108" s="117">
        <f t="shared" si="185"/>
        <v>0</v>
      </c>
      <c r="DU108" s="117">
        <f t="shared" si="186"/>
        <v>0</v>
      </c>
      <c r="DV108" s="117">
        <f t="shared" si="187"/>
        <v>0</v>
      </c>
      <c r="DW108" s="117">
        <f t="shared" si="188"/>
        <v>0</v>
      </c>
      <c r="DX108" s="117">
        <f t="shared" si="189"/>
        <v>0</v>
      </c>
      <c r="DY108" s="117">
        <f t="shared" si="190"/>
        <v>0</v>
      </c>
      <c r="DZ108" s="117">
        <f t="shared" si="191"/>
        <v>0</v>
      </c>
      <c r="EA108" s="117">
        <f t="shared" si="192"/>
        <v>0</v>
      </c>
      <c r="EB108" s="117">
        <f t="shared" si="193"/>
        <v>0</v>
      </c>
      <c r="EC108" s="117">
        <f t="shared" si="194"/>
        <v>0</v>
      </c>
      <c r="ED108" s="117">
        <f t="shared" si="195"/>
        <v>0</v>
      </c>
      <c r="EE108" s="117">
        <f t="shared" si="196"/>
        <v>0</v>
      </c>
      <c r="EF108" s="117">
        <f t="shared" si="197"/>
        <v>0</v>
      </c>
      <c r="EG108" s="117">
        <f t="shared" si="198"/>
        <v>0</v>
      </c>
      <c r="EH108" s="117">
        <f t="shared" si="199"/>
        <v>0</v>
      </c>
      <c r="EI108" s="117">
        <f t="shared" si="200"/>
        <v>0</v>
      </c>
      <c r="EJ108" s="117">
        <f t="shared" si="201"/>
        <v>0</v>
      </c>
      <c r="EK108" s="117">
        <f t="shared" si="202"/>
        <v>0</v>
      </c>
      <c r="EL108" s="117">
        <f t="shared" si="203"/>
        <v>0</v>
      </c>
      <c r="EM108" s="117">
        <f t="shared" si="204"/>
        <v>0</v>
      </c>
      <c r="EN108" s="117">
        <f t="shared" si="205"/>
        <v>0</v>
      </c>
      <c r="EO108" s="117">
        <f t="shared" si="206"/>
        <v>0</v>
      </c>
      <c r="EP108" s="117">
        <f t="shared" si="207"/>
        <v>0</v>
      </c>
      <c r="EQ108" s="117">
        <f t="shared" si="208"/>
        <v>0</v>
      </c>
      <c r="ER108" s="117">
        <f t="shared" si="209"/>
        <v>0</v>
      </c>
      <c r="ES108" s="117">
        <f t="shared" si="210"/>
        <v>0</v>
      </c>
      <c r="ET108" s="176">
        <f t="shared" si="211"/>
        <v>0</v>
      </c>
      <c r="EU108" s="71"/>
      <c r="EV108" s="116">
        <f t="shared" si="212"/>
        <v>1848.3009314288745</v>
      </c>
      <c r="EW108" s="117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7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7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7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7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7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7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7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7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7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7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7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7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7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7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7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7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7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7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7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7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7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7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7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7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7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7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7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7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7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7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7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7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7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7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7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7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7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7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7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6">
        <f t="shared" ca="1" si="213"/>
        <v>0</v>
      </c>
    </row>
    <row r="109" spans="109:193">
      <c r="DE109" s="116">
        <f t="shared" si="170"/>
        <v>1945.5799278198681</v>
      </c>
      <c r="DF109" s="117">
        <f t="shared" si="171"/>
        <v>0</v>
      </c>
      <c r="DG109" s="117">
        <f t="shared" si="172"/>
        <v>0</v>
      </c>
      <c r="DH109" s="117">
        <f t="shared" si="173"/>
        <v>0</v>
      </c>
      <c r="DI109" s="117">
        <f t="shared" si="174"/>
        <v>0</v>
      </c>
      <c r="DJ109" s="117">
        <f t="shared" si="175"/>
        <v>0</v>
      </c>
      <c r="DK109" s="117">
        <f t="shared" si="176"/>
        <v>0</v>
      </c>
      <c r="DL109" s="117">
        <f t="shared" si="177"/>
        <v>0</v>
      </c>
      <c r="DM109" s="117">
        <f t="shared" si="178"/>
        <v>0</v>
      </c>
      <c r="DN109" s="117">
        <f t="shared" si="179"/>
        <v>0</v>
      </c>
      <c r="DO109" s="117">
        <f t="shared" si="180"/>
        <v>0</v>
      </c>
      <c r="DP109" s="117">
        <f t="shared" si="181"/>
        <v>0</v>
      </c>
      <c r="DQ109" s="117">
        <f t="shared" si="182"/>
        <v>0</v>
      </c>
      <c r="DR109" s="117">
        <f t="shared" si="183"/>
        <v>0</v>
      </c>
      <c r="DS109" s="117">
        <f t="shared" si="184"/>
        <v>0</v>
      </c>
      <c r="DT109" s="117">
        <f t="shared" si="185"/>
        <v>0</v>
      </c>
      <c r="DU109" s="117">
        <f t="shared" si="186"/>
        <v>0</v>
      </c>
      <c r="DV109" s="117">
        <f t="shared" si="187"/>
        <v>0</v>
      </c>
      <c r="DW109" s="117">
        <f t="shared" si="188"/>
        <v>0</v>
      </c>
      <c r="DX109" s="117">
        <f t="shared" si="189"/>
        <v>0</v>
      </c>
      <c r="DY109" s="117">
        <f t="shared" si="190"/>
        <v>0</v>
      </c>
      <c r="DZ109" s="117">
        <f t="shared" si="191"/>
        <v>0</v>
      </c>
      <c r="EA109" s="117">
        <f t="shared" si="192"/>
        <v>0</v>
      </c>
      <c r="EB109" s="117">
        <f t="shared" si="193"/>
        <v>0</v>
      </c>
      <c r="EC109" s="117">
        <f t="shared" si="194"/>
        <v>0</v>
      </c>
      <c r="ED109" s="117">
        <f t="shared" si="195"/>
        <v>0</v>
      </c>
      <c r="EE109" s="117">
        <f t="shared" si="196"/>
        <v>0</v>
      </c>
      <c r="EF109" s="117">
        <f t="shared" si="197"/>
        <v>0</v>
      </c>
      <c r="EG109" s="117">
        <f t="shared" si="198"/>
        <v>0</v>
      </c>
      <c r="EH109" s="117">
        <f t="shared" si="199"/>
        <v>0</v>
      </c>
      <c r="EI109" s="117">
        <f t="shared" si="200"/>
        <v>0</v>
      </c>
      <c r="EJ109" s="117">
        <f t="shared" si="201"/>
        <v>0</v>
      </c>
      <c r="EK109" s="117">
        <f t="shared" si="202"/>
        <v>0</v>
      </c>
      <c r="EL109" s="117">
        <f t="shared" si="203"/>
        <v>0</v>
      </c>
      <c r="EM109" s="117">
        <f t="shared" si="204"/>
        <v>0</v>
      </c>
      <c r="EN109" s="117">
        <f t="shared" si="205"/>
        <v>0</v>
      </c>
      <c r="EO109" s="117">
        <f t="shared" si="206"/>
        <v>0</v>
      </c>
      <c r="EP109" s="117">
        <f t="shared" si="207"/>
        <v>0</v>
      </c>
      <c r="EQ109" s="117">
        <f t="shared" si="208"/>
        <v>0</v>
      </c>
      <c r="ER109" s="117">
        <f t="shared" si="209"/>
        <v>0</v>
      </c>
      <c r="ES109" s="117">
        <f t="shared" si="210"/>
        <v>0</v>
      </c>
      <c r="ET109" s="176">
        <f t="shared" si="211"/>
        <v>0</v>
      </c>
      <c r="EU109" s="71"/>
      <c r="EV109" s="116">
        <f t="shared" si="212"/>
        <v>1945.5799278198681</v>
      </c>
      <c r="EW109" s="117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7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7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7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7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7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7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7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7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7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7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7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7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7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7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7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7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7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7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7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7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7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7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7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7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7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7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7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7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7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7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7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7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7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7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7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7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7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7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7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6">
        <f t="shared" ca="1" si="213"/>
        <v>0</v>
      </c>
    </row>
    <row r="110" spans="109:193">
      <c r="DE110" s="116">
        <f t="shared" si="170"/>
        <v>2047.9788713893349</v>
      </c>
      <c r="DF110" s="117">
        <f t="shared" si="171"/>
        <v>0</v>
      </c>
      <c r="DG110" s="117">
        <f t="shared" si="172"/>
        <v>0</v>
      </c>
      <c r="DH110" s="117">
        <f t="shared" si="173"/>
        <v>0</v>
      </c>
      <c r="DI110" s="117">
        <f t="shared" si="174"/>
        <v>0</v>
      </c>
      <c r="DJ110" s="117">
        <f t="shared" si="175"/>
        <v>0</v>
      </c>
      <c r="DK110" s="117">
        <f t="shared" si="176"/>
        <v>0</v>
      </c>
      <c r="DL110" s="117">
        <f t="shared" si="177"/>
        <v>0</v>
      </c>
      <c r="DM110" s="117">
        <f t="shared" si="178"/>
        <v>0</v>
      </c>
      <c r="DN110" s="117">
        <f t="shared" si="179"/>
        <v>0</v>
      </c>
      <c r="DO110" s="117">
        <f t="shared" si="180"/>
        <v>0</v>
      </c>
      <c r="DP110" s="117">
        <f t="shared" si="181"/>
        <v>0</v>
      </c>
      <c r="DQ110" s="117">
        <f t="shared" si="182"/>
        <v>0</v>
      </c>
      <c r="DR110" s="117">
        <f t="shared" si="183"/>
        <v>0</v>
      </c>
      <c r="DS110" s="117">
        <f t="shared" si="184"/>
        <v>0</v>
      </c>
      <c r="DT110" s="117">
        <f t="shared" si="185"/>
        <v>0</v>
      </c>
      <c r="DU110" s="117">
        <f t="shared" si="186"/>
        <v>0</v>
      </c>
      <c r="DV110" s="117">
        <f t="shared" si="187"/>
        <v>0</v>
      </c>
      <c r="DW110" s="117">
        <f t="shared" si="188"/>
        <v>0</v>
      </c>
      <c r="DX110" s="117">
        <f t="shared" si="189"/>
        <v>0</v>
      </c>
      <c r="DY110" s="117">
        <f t="shared" si="190"/>
        <v>0</v>
      </c>
      <c r="DZ110" s="117">
        <f t="shared" si="191"/>
        <v>0</v>
      </c>
      <c r="EA110" s="117">
        <f t="shared" si="192"/>
        <v>0</v>
      </c>
      <c r="EB110" s="117">
        <f t="shared" si="193"/>
        <v>0</v>
      </c>
      <c r="EC110" s="117">
        <f t="shared" si="194"/>
        <v>0</v>
      </c>
      <c r="ED110" s="117">
        <f t="shared" si="195"/>
        <v>0</v>
      </c>
      <c r="EE110" s="117">
        <f t="shared" si="196"/>
        <v>0</v>
      </c>
      <c r="EF110" s="117">
        <f t="shared" si="197"/>
        <v>0</v>
      </c>
      <c r="EG110" s="117">
        <f t="shared" si="198"/>
        <v>0</v>
      </c>
      <c r="EH110" s="117">
        <f t="shared" si="199"/>
        <v>0</v>
      </c>
      <c r="EI110" s="117">
        <f t="shared" si="200"/>
        <v>0</v>
      </c>
      <c r="EJ110" s="117">
        <f t="shared" si="201"/>
        <v>0</v>
      </c>
      <c r="EK110" s="117">
        <f t="shared" si="202"/>
        <v>0</v>
      </c>
      <c r="EL110" s="117">
        <f t="shared" si="203"/>
        <v>0</v>
      </c>
      <c r="EM110" s="117">
        <f t="shared" si="204"/>
        <v>0</v>
      </c>
      <c r="EN110" s="117">
        <f t="shared" si="205"/>
        <v>0</v>
      </c>
      <c r="EO110" s="117">
        <f t="shared" si="206"/>
        <v>0</v>
      </c>
      <c r="EP110" s="117">
        <f t="shared" si="207"/>
        <v>0</v>
      </c>
      <c r="EQ110" s="117">
        <f t="shared" si="208"/>
        <v>0</v>
      </c>
      <c r="ER110" s="117">
        <f t="shared" si="209"/>
        <v>0</v>
      </c>
      <c r="ES110" s="117">
        <f t="shared" si="210"/>
        <v>0</v>
      </c>
      <c r="ET110" s="176">
        <f t="shared" si="211"/>
        <v>0</v>
      </c>
      <c r="EU110" s="71"/>
      <c r="EV110" s="116">
        <f t="shared" si="212"/>
        <v>2047.9788713893349</v>
      </c>
      <c r="EW110" s="117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7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7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7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7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7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7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7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7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7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7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7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7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7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7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7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7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7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7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7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7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7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7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7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7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7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7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7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7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7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7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7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7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7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7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7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7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7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7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7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6">
        <f t="shared" ca="1" si="213"/>
        <v>0</v>
      </c>
    </row>
    <row r="111" spans="109:193">
      <c r="DE111" s="116">
        <f t="shared" si="170"/>
        <v>2155.7672330414052</v>
      </c>
      <c r="DF111" s="117">
        <f t="shared" si="171"/>
        <v>0</v>
      </c>
      <c r="DG111" s="117">
        <f t="shared" si="172"/>
        <v>0</v>
      </c>
      <c r="DH111" s="117">
        <f t="shared" si="173"/>
        <v>0</v>
      </c>
      <c r="DI111" s="117">
        <f t="shared" si="174"/>
        <v>0</v>
      </c>
      <c r="DJ111" s="117">
        <f t="shared" si="175"/>
        <v>0</v>
      </c>
      <c r="DK111" s="117">
        <f t="shared" si="176"/>
        <v>0</v>
      </c>
      <c r="DL111" s="117">
        <f t="shared" si="177"/>
        <v>0</v>
      </c>
      <c r="DM111" s="117">
        <f t="shared" si="178"/>
        <v>0</v>
      </c>
      <c r="DN111" s="117">
        <f t="shared" si="179"/>
        <v>0</v>
      </c>
      <c r="DO111" s="117">
        <f t="shared" si="180"/>
        <v>0</v>
      </c>
      <c r="DP111" s="117">
        <f t="shared" si="181"/>
        <v>0</v>
      </c>
      <c r="DQ111" s="117">
        <f t="shared" si="182"/>
        <v>0</v>
      </c>
      <c r="DR111" s="117">
        <f t="shared" si="183"/>
        <v>0</v>
      </c>
      <c r="DS111" s="117">
        <f t="shared" si="184"/>
        <v>0</v>
      </c>
      <c r="DT111" s="117">
        <f t="shared" si="185"/>
        <v>0</v>
      </c>
      <c r="DU111" s="117">
        <f t="shared" si="186"/>
        <v>0</v>
      </c>
      <c r="DV111" s="117">
        <f t="shared" si="187"/>
        <v>0</v>
      </c>
      <c r="DW111" s="117">
        <f t="shared" si="188"/>
        <v>0</v>
      </c>
      <c r="DX111" s="117">
        <f t="shared" si="189"/>
        <v>0</v>
      </c>
      <c r="DY111" s="117">
        <f t="shared" si="190"/>
        <v>0</v>
      </c>
      <c r="DZ111" s="117">
        <f t="shared" si="191"/>
        <v>0</v>
      </c>
      <c r="EA111" s="117">
        <f t="shared" si="192"/>
        <v>0</v>
      </c>
      <c r="EB111" s="117">
        <f t="shared" si="193"/>
        <v>0</v>
      </c>
      <c r="EC111" s="117">
        <f t="shared" si="194"/>
        <v>0</v>
      </c>
      <c r="ED111" s="117">
        <f t="shared" si="195"/>
        <v>0</v>
      </c>
      <c r="EE111" s="117">
        <f t="shared" si="196"/>
        <v>0</v>
      </c>
      <c r="EF111" s="117">
        <f t="shared" si="197"/>
        <v>0</v>
      </c>
      <c r="EG111" s="117">
        <f t="shared" si="198"/>
        <v>0</v>
      </c>
      <c r="EH111" s="117">
        <f t="shared" si="199"/>
        <v>0</v>
      </c>
      <c r="EI111" s="117">
        <f t="shared" si="200"/>
        <v>0</v>
      </c>
      <c r="EJ111" s="117">
        <f t="shared" si="201"/>
        <v>0</v>
      </c>
      <c r="EK111" s="117">
        <f t="shared" si="202"/>
        <v>0</v>
      </c>
      <c r="EL111" s="117">
        <f t="shared" si="203"/>
        <v>0</v>
      </c>
      <c r="EM111" s="117">
        <f t="shared" si="204"/>
        <v>0</v>
      </c>
      <c r="EN111" s="117">
        <f t="shared" si="205"/>
        <v>0</v>
      </c>
      <c r="EO111" s="117">
        <f t="shared" si="206"/>
        <v>0</v>
      </c>
      <c r="EP111" s="117">
        <f t="shared" si="207"/>
        <v>0</v>
      </c>
      <c r="EQ111" s="117">
        <f t="shared" si="208"/>
        <v>0</v>
      </c>
      <c r="ER111" s="117">
        <f t="shared" si="209"/>
        <v>0</v>
      </c>
      <c r="ES111" s="117">
        <f t="shared" si="210"/>
        <v>0</v>
      </c>
      <c r="ET111" s="176">
        <f t="shared" si="211"/>
        <v>0</v>
      </c>
      <c r="EU111" s="71"/>
      <c r="EV111" s="116">
        <f t="shared" si="212"/>
        <v>2155.7672330414052</v>
      </c>
      <c r="EW111" s="117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7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7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7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7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7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7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7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7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7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7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7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7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7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7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7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7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7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7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7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7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7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7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7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7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7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7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7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7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7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7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7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7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7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7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7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7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7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7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7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6">
        <f t="shared" ca="1" si="213"/>
        <v>0</v>
      </c>
    </row>
    <row r="112" spans="109:193">
      <c r="DE112" s="116">
        <f t="shared" si="170"/>
        <v>2269.2286663593741</v>
      </c>
      <c r="DF112" s="117">
        <f t="shared" si="171"/>
        <v>0</v>
      </c>
      <c r="DG112" s="117">
        <f t="shared" si="172"/>
        <v>0</v>
      </c>
      <c r="DH112" s="117">
        <f t="shared" si="173"/>
        <v>0</v>
      </c>
      <c r="DI112" s="117">
        <f t="shared" si="174"/>
        <v>0</v>
      </c>
      <c r="DJ112" s="117">
        <f t="shared" si="175"/>
        <v>0</v>
      </c>
      <c r="DK112" s="117">
        <f t="shared" si="176"/>
        <v>0</v>
      </c>
      <c r="DL112" s="117">
        <f t="shared" si="177"/>
        <v>0</v>
      </c>
      <c r="DM112" s="117">
        <f t="shared" si="178"/>
        <v>0</v>
      </c>
      <c r="DN112" s="117">
        <f t="shared" si="179"/>
        <v>0</v>
      </c>
      <c r="DO112" s="117">
        <f t="shared" si="180"/>
        <v>0</v>
      </c>
      <c r="DP112" s="117">
        <f t="shared" si="181"/>
        <v>0</v>
      </c>
      <c r="DQ112" s="117">
        <f t="shared" si="182"/>
        <v>0</v>
      </c>
      <c r="DR112" s="117">
        <f t="shared" si="183"/>
        <v>0</v>
      </c>
      <c r="DS112" s="117">
        <f t="shared" si="184"/>
        <v>0</v>
      </c>
      <c r="DT112" s="117">
        <f t="shared" si="185"/>
        <v>0</v>
      </c>
      <c r="DU112" s="117">
        <f t="shared" si="186"/>
        <v>0</v>
      </c>
      <c r="DV112" s="117">
        <f t="shared" si="187"/>
        <v>0</v>
      </c>
      <c r="DW112" s="117">
        <f t="shared" si="188"/>
        <v>0</v>
      </c>
      <c r="DX112" s="117">
        <f t="shared" si="189"/>
        <v>0</v>
      </c>
      <c r="DY112" s="117">
        <f t="shared" si="190"/>
        <v>0</v>
      </c>
      <c r="DZ112" s="117">
        <f t="shared" si="191"/>
        <v>0</v>
      </c>
      <c r="EA112" s="117">
        <f t="shared" si="192"/>
        <v>0</v>
      </c>
      <c r="EB112" s="117">
        <f t="shared" si="193"/>
        <v>0</v>
      </c>
      <c r="EC112" s="117">
        <f t="shared" si="194"/>
        <v>0</v>
      </c>
      <c r="ED112" s="117">
        <f t="shared" si="195"/>
        <v>0</v>
      </c>
      <c r="EE112" s="117">
        <f t="shared" si="196"/>
        <v>0</v>
      </c>
      <c r="EF112" s="117">
        <f t="shared" si="197"/>
        <v>0</v>
      </c>
      <c r="EG112" s="117">
        <f t="shared" si="198"/>
        <v>0</v>
      </c>
      <c r="EH112" s="117">
        <f t="shared" si="199"/>
        <v>0</v>
      </c>
      <c r="EI112" s="117">
        <f t="shared" si="200"/>
        <v>0</v>
      </c>
      <c r="EJ112" s="117">
        <f t="shared" si="201"/>
        <v>0</v>
      </c>
      <c r="EK112" s="117">
        <f t="shared" si="202"/>
        <v>0</v>
      </c>
      <c r="EL112" s="117">
        <f t="shared" si="203"/>
        <v>0</v>
      </c>
      <c r="EM112" s="117">
        <f t="shared" si="204"/>
        <v>0</v>
      </c>
      <c r="EN112" s="117">
        <f t="shared" si="205"/>
        <v>0</v>
      </c>
      <c r="EO112" s="117">
        <f t="shared" si="206"/>
        <v>0</v>
      </c>
      <c r="EP112" s="117">
        <f t="shared" si="207"/>
        <v>0</v>
      </c>
      <c r="EQ112" s="117">
        <f t="shared" si="208"/>
        <v>0</v>
      </c>
      <c r="ER112" s="117">
        <f t="shared" si="209"/>
        <v>0</v>
      </c>
      <c r="ES112" s="117">
        <f t="shared" si="210"/>
        <v>0</v>
      </c>
      <c r="ET112" s="176">
        <f t="shared" si="211"/>
        <v>0</v>
      </c>
      <c r="EU112" s="71"/>
      <c r="EV112" s="116">
        <f t="shared" si="212"/>
        <v>2269.2286663593741</v>
      </c>
      <c r="EW112" s="117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7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7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7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7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7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7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7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7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7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7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7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7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7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7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7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7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7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7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7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7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7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7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7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7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7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7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7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7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7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7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7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7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7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7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7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7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7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7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7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6">
        <f t="shared" ca="1" si="213"/>
        <v>0</v>
      </c>
    </row>
    <row r="113" spans="109:193">
      <c r="DE113" s="116">
        <f t="shared" si="170"/>
        <v>2388.6617540624993</v>
      </c>
      <c r="DF113" s="117">
        <f t="shared" si="171"/>
        <v>0</v>
      </c>
      <c r="DG113" s="117">
        <f t="shared" si="172"/>
        <v>0</v>
      </c>
      <c r="DH113" s="117">
        <f t="shared" si="173"/>
        <v>0</v>
      </c>
      <c r="DI113" s="117">
        <f t="shared" si="174"/>
        <v>0</v>
      </c>
      <c r="DJ113" s="117">
        <f t="shared" si="175"/>
        <v>0</v>
      </c>
      <c r="DK113" s="117">
        <f t="shared" si="176"/>
        <v>0</v>
      </c>
      <c r="DL113" s="117">
        <f t="shared" si="177"/>
        <v>0</v>
      </c>
      <c r="DM113" s="117">
        <f t="shared" si="178"/>
        <v>0</v>
      </c>
      <c r="DN113" s="117">
        <f t="shared" si="179"/>
        <v>0</v>
      </c>
      <c r="DO113" s="117">
        <f t="shared" si="180"/>
        <v>0</v>
      </c>
      <c r="DP113" s="117">
        <f t="shared" si="181"/>
        <v>0</v>
      </c>
      <c r="DQ113" s="117">
        <f t="shared" si="182"/>
        <v>0</v>
      </c>
      <c r="DR113" s="117">
        <f t="shared" si="183"/>
        <v>0</v>
      </c>
      <c r="DS113" s="117">
        <f t="shared" si="184"/>
        <v>0</v>
      </c>
      <c r="DT113" s="117">
        <f t="shared" si="185"/>
        <v>0</v>
      </c>
      <c r="DU113" s="117">
        <f t="shared" si="186"/>
        <v>0</v>
      </c>
      <c r="DV113" s="117">
        <f t="shared" si="187"/>
        <v>0</v>
      </c>
      <c r="DW113" s="117">
        <f t="shared" si="188"/>
        <v>0</v>
      </c>
      <c r="DX113" s="117">
        <f t="shared" si="189"/>
        <v>0</v>
      </c>
      <c r="DY113" s="117">
        <f t="shared" si="190"/>
        <v>0</v>
      </c>
      <c r="DZ113" s="117">
        <f t="shared" si="191"/>
        <v>0</v>
      </c>
      <c r="EA113" s="117">
        <f t="shared" si="192"/>
        <v>0</v>
      </c>
      <c r="EB113" s="117">
        <f t="shared" si="193"/>
        <v>0</v>
      </c>
      <c r="EC113" s="117">
        <f t="shared" si="194"/>
        <v>0</v>
      </c>
      <c r="ED113" s="117">
        <f t="shared" si="195"/>
        <v>0</v>
      </c>
      <c r="EE113" s="117">
        <f t="shared" si="196"/>
        <v>0</v>
      </c>
      <c r="EF113" s="117">
        <f t="shared" si="197"/>
        <v>0</v>
      </c>
      <c r="EG113" s="117">
        <f t="shared" si="198"/>
        <v>0</v>
      </c>
      <c r="EH113" s="117">
        <f t="shared" si="199"/>
        <v>0</v>
      </c>
      <c r="EI113" s="117">
        <f t="shared" si="200"/>
        <v>0</v>
      </c>
      <c r="EJ113" s="117">
        <f t="shared" si="201"/>
        <v>0</v>
      </c>
      <c r="EK113" s="117">
        <f t="shared" si="202"/>
        <v>0</v>
      </c>
      <c r="EL113" s="117">
        <f t="shared" si="203"/>
        <v>0</v>
      </c>
      <c r="EM113" s="117">
        <f t="shared" si="204"/>
        <v>0</v>
      </c>
      <c r="EN113" s="117">
        <f t="shared" si="205"/>
        <v>0</v>
      </c>
      <c r="EO113" s="117">
        <f t="shared" si="206"/>
        <v>0</v>
      </c>
      <c r="EP113" s="117">
        <f t="shared" si="207"/>
        <v>0</v>
      </c>
      <c r="EQ113" s="117">
        <f t="shared" si="208"/>
        <v>0</v>
      </c>
      <c r="ER113" s="117">
        <f t="shared" si="209"/>
        <v>0</v>
      </c>
      <c r="ES113" s="117">
        <f t="shared" si="210"/>
        <v>0</v>
      </c>
      <c r="ET113" s="176">
        <f t="shared" si="211"/>
        <v>0</v>
      </c>
      <c r="EU113" s="71"/>
      <c r="EV113" s="116">
        <f t="shared" si="212"/>
        <v>2388.6617540624993</v>
      </c>
      <c r="EW113" s="117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7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7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7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7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7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7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7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7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7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7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7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7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7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7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7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7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7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7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7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7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7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7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7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7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7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7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7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7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7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7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7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7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7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7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7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7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7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7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7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6">
        <f t="shared" ca="1" si="213"/>
        <v>0</v>
      </c>
    </row>
    <row r="114" spans="109:193">
      <c r="DE114" s="116">
        <f t="shared" si="170"/>
        <v>2514.3807937499996</v>
      </c>
      <c r="DF114" s="117">
        <f t="shared" si="171"/>
        <v>0</v>
      </c>
      <c r="DG114" s="117">
        <f t="shared" si="172"/>
        <v>0</v>
      </c>
      <c r="DH114" s="117">
        <f t="shared" si="173"/>
        <v>0</v>
      </c>
      <c r="DI114" s="117">
        <f t="shared" si="174"/>
        <v>0</v>
      </c>
      <c r="DJ114" s="117">
        <f t="shared" si="175"/>
        <v>0</v>
      </c>
      <c r="DK114" s="117">
        <f t="shared" si="176"/>
        <v>0</v>
      </c>
      <c r="DL114" s="117">
        <f t="shared" si="177"/>
        <v>0</v>
      </c>
      <c r="DM114" s="117">
        <f t="shared" si="178"/>
        <v>0</v>
      </c>
      <c r="DN114" s="117">
        <f t="shared" si="179"/>
        <v>0</v>
      </c>
      <c r="DO114" s="117">
        <f t="shared" si="180"/>
        <v>0</v>
      </c>
      <c r="DP114" s="117">
        <f t="shared" si="181"/>
        <v>0</v>
      </c>
      <c r="DQ114" s="117">
        <f t="shared" si="182"/>
        <v>0</v>
      </c>
      <c r="DR114" s="117">
        <f t="shared" si="183"/>
        <v>0</v>
      </c>
      <c r="DS114" s="117">
        <f t="shared" si="184"/>
        <v>0</v>
      </c>
      <c r="DT114" s="117">
        <f t="shared" si="185"/>
        <v>0</v>
      </c>
      <c r="DU114" s="117">
        <f t="shared" si="186"/>
        <v>0</v>
      </c>
      <c r="DV114" s="117">
        <f t="shared" si="187"/>
        <v>0</v>
      </c>
      <c r="DW114" s="117">
        <f t="shared" si="188"/>
        <v>0</v>
      </c>
      <c r="DX114" s="117">
        <f t="shared" si="189"/>
        <v>0</v>
      </c>
      <c r="DY114" s="117">
        <f t="shared" si="190"/>
        <v>0</v>
      </c>
      <c r="DZ114" s="117">
        <f t="shared" si="191"/>
        <v>0</v>
      </c>
      <c r="EA114" s="117">
        <f t="shared" si="192"/>
        <v>0</v>
      </c>
      <c r="EB114" s="117">
        <f t="shared" si="193"/>
        <v>0</v>
      </c>
      <c r="EC114" s="117">
        <f t="shared" si="194"/>
        <v>0</v>
      </c>
      <c r="ED114" s="117">
        <f t="shared" si="195"/>
        <v>0</v>
      </c>
      <c r="EE114" s="117">
        <f t="shared" si="196"/>
        <v>0</v>
      </c>
      <c r="EF114" s="117">
        <f t="shared" si="197"/>
        <v>0</v>
      </c>
      <c r="EG114" s="117">
        <f t="shared" si="198"/>
        <v>0</v>
      </c>
      <c r="EH114" s="117">
        <f t="shared" si="199"/>
        <v>0</v>
      </c>
      <c r="EI114" s="117">
        <f t="shared" si="200"/>
        <v>0</v>
      </c>
      <c r="EJ114" s="117">
        <f t="shared" si="201"/>
        <v>0</v>
      </c>
      <c r="EK114" s="117">
        <f t="shared" si="202"/>
        <v>0</v>
      </c>
      <c r="EL114" s="117">
        <f t="shared" si="203"/>
        <v>0</v>
      </c>
      <c r="EM114" s="117">
        <f t="shared" si="204"/>
        <v>0</v>
      </c>
      <c r="EN114" s="117">
        <f t="shared" si="205"/>
        <v>0</v>
      </c>
      <c r="EO114" s="117">
        <f t="shared" si="206"/>
        <v>0</v>
      </c>
      <c r="EP114" s="117">
        <f t="shared" si="207"/>
        <v>0</v>
      </c>
      <c r="EQ114" s="117">
        <f t="shared" si="208"/>
        <v>0</v>
      </c>
      <c r="ER114" s="117">
        <f t="shared" si="209"/>
        <v>0</v>
      </c>
      <c r="ES114" s="117">
        <f t="shared" si="210"/>
        <v>0</v>
      </c>
      <c r="ET114" s="176">
        <f t="shared" si="211"/>
        <v>0</v>
      </c>
      <c r="EU114" s="71"/>
      <c r="EV114" s="116">
        <f t="shared" si="212"/>
        <v>2514.3807937499996</v>
      </c>
      <c r="EW114" s="117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7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7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7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7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7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7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7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7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7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7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7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7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7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7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7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7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7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7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7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7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7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7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7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7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7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7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7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7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7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7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7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7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7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7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7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7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7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7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7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6">
        <f t="shared" ca="1" si="213"/>
        <v>0</v>
      </c>
    </row>
    <row r="115" spans="109:193">
      <c r="DE115" s="116">
        <f t="shared" si="170"/>
        <v>2646.7166249999996</v>
      </c>
      <c r="DF115" s="117">
        <f t="shared" si="171"/>
        <v>0</v>
      </c>
      <c r="DG115" s="117">
        <f t="shared" si="172"/>
        <v>0</v>
      </c>
      <c r="DH115" s="117">
        <f t="shared" si="173"/>
        <v>0</v>
      </c>
      <c r="DI115" s="117">
        <f t="shared" si="174"/>
        <v>0</v>
      </c>
      <c r="DJ115" s="117">
        <f t="shared" si="175"/>
        <v>0</v>
      </c>
      <c r="DK115" s="117">
        <f t="shared" si="176"/>
        <v>0</v>
      </c>
      <c r="DL115" s="117">
        <f t="shared" si="177"/>
        <v>0</v>
      </c>
      <c r="DM115" s="117">
        <f t="shared" si="178"/>
        <v>0</v>
      </c>
      <c r="DN115" s="117">
        <f t="shared" si="179"/>
        <v>0</v>
      </c>
      <c r="DO115" s="117">
        <f t="shared" si="180"/>
        <v>0</v>
      </c>
      <c r="DP115" s="117">
        <f t="shared" si="181"/>
        <v>0</v>
      </c>
      <c r="DQ115" s="117">
        <f t="shared" si="182"/>
        <v>0</v>
      </c>
      <c r="DR115" s="117">
        <f t="shared" si="183"/>
        <v>0</v>
      </c>
      <c r="DS115" s="117">
        <f t="shared" si="184"/>
        <v>0</v>
      </c>
      <c r="DT115" s="117">
        <f t="shared" si="185"/>
        <v>0</v>
      </c>
      <c r="DU115" s="117">
        <f t="shared" si="186"/>
        <v>0</v>
      </c>
      <c r="DV115" s="117">
        <f t="shared" si="187"/>
        <v>0</v>
      </c>
      <c r="DW115" s="117">
        <f t="shared" si="188"/>
        <v>0</v>
      </c>
      <c r="DX115" s="117">
        <f t="shared" si="189"/>
        <v>0</v>
      </c>
      <c r="DY115" s="117">
        <f t="shared" si="190"/>
        <v>0</v>
      </c>
      <c r="DZ115" s="117">
        <f t="shared" si="191"/>
        <v>0</v>
      </c>
      <c r="EA115" s="117">
        <f t="shared" si="192"/>
        <v>0</v>
      </c>
      <c r="EB115" s="117">
        <f t="shared" si="193"/>
        <v>0</v>
      </c>
      <c r="EC115" s="117">
        <f t="shared" si="194"/>
        <v>0</v>
      </c>
      <c r="ED115" s="117">
        <f t="shared" si="195"/>
        <v>0</v>
      </c>
      <c r="EE115" s="117">
        <f t="shared" si="196"/>
        <v>0</v>
      </c>
      <c r="EF115" s="117">
        <f t="shared" si="197"/>
        <v>0</v>
      </c>
      <c r="EG115" s="117">
        <f t="shared" si="198"/>
        <v>0</v>
      </c>
      <c r="EH115" s="117">
        <f t="shared" si="199"/>
        <v>0</v>
      </c>
      <c r="EI115" s="117">
        <f t="shared" si="200"/>
        <v>0</v>
      </c>
      <c r="EJ115" s="117">
        <f t="shared" si="201"/>
        <v>0</v>
      </c>
      <c r="EK115" s="117">
        <f t="shared" si="202"/>
        <v>0</v>
      </c>
      <c r="EL115" s="117">
        <f t="shared" si="203"/>
        <v>0</v>
      </c>
      <c r="EM115" s="117">
        <f t="shared" si="204"/>
        <v>0</v>
      </c>
      <c r="EN115" s="117">
        <f t="shared" si="205"/>
        <v>0</v>
      </c>
      <c r="EO115" s="117">
        <f t="shared" si="206"/>
        <v>0</v>
      </c>
      <c r="EP115" s="117">
        <f t="shared" si="207"/>
        <v>0</v>
      </c>
      <c r="EQ115" s="117">
        <f t="shared" si="208"/>
        <v>0</v>
      </c>
      <c r="ER115" s="117">
        <f t="shared" si="209"/>
        <v>0</v>
      </c>
      <c r="ES115" s="117">
        <f t="shared" si="210"/>
        <v>0</v>
      </c>
      <c r="ET115" s="176">
        <f t="shared" si="211"/>
        <v>0</v>
      </c>
      <c r="EU115" s="71"/>
      <c r="EV115" s="116">
        <f t="shared" si="212"/>
        <v>2646.7166249999996</v>
      </c>
      <c r="EW115" s="117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7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7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7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7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7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7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7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7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7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7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7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7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7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7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7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7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7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7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7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7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7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7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7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7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7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7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7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7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7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7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7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7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7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7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7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7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7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7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7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6">
        <f t="shared" ca="1" si="213"/>
        <v>0</v>
      </c>
    </row>
    <row r="116" spans="109:193">
      <c r="DE116" s="116">
        <f t="shared" si="170"/>
        <v>2786.0174999999995</v>
      </c>
      <c r="DF116" s="117">
        <f t="shared" si="171"/>
        <v>0</v>
      </c>
      <c r="DG116" s="117">
        <f t="shared" si="172"/>
        <v>0</v>
      </c>
      <c r="DH116" s="117">
        <f t="shared" si="173"/>
        <v>0</v>
      </c>
      <c r="DI116" s="117">
        <f t="shared" si="174"/>
        <v>0</v>
      </c>
      <c r="DJ116" s="117">
        <f t="shared" si="175"/>
        <v>0</v>
      </c>
      <c r="DK116" s="117">
        <f t="shared" si="176"/>
        <v>0</v>
      </c>
      <c r="DL116" s="117">
        <f t="shared" si="177"/>
        <v>0</v>
      </c>
      <c r="DM116" s="117">
        <f t="shared" si="178"/>
        <v>0</v>
      </c>
      <c r="DN116" s="117">
        <f t="shared" si="179"/>
        <v>0</v>
      </c>
      <c r="DO116" s="117">
        <f t="shared" si="180"/>
        <v>0</v>
      </c>
      <c r="DP116" s="117">
        <f t="shared" si="181"/>
        <v>0</v>
      </c>
      <c r="DQ116" s="117">
        <f t="shared" si="182"/>
        <v>0</v>
      </c>
      <c r="DR116" s="117">
        <f t="shared" si="183"/>
        <v>0</v>
      </c>
      <c r="DS116" s="117">
        <f t="shared" si="184"/>
        <v>0</v>
      </c>
      <c r="DT116" s="117">
        <f t="shared" si="185"/>
        <v>0</v>
      </c>
      <c r="DU116" s="117">
        <f t="shared" si="186"/>
        <v>0</v>
      </c>
      <c r="DV116" s="117">
        <f t="shared" si="187"/>
        <v>0</v>
      </c>
      <c r="DW116" s="117">
        <f t="shared" si="188"/>
        <v>0</v>
      </c>
      <c r="DX116" s="117">
        <f t="shared" si="189"/>
        <v>0</v>
      </c>
      <c r="DY116" s="117">
        <f t="shared" si="190"/>
        <v>0</v>
      </c>
      <c r="DZ116" s="117">
        <f t="shared" si="191"/>
        <v>0</v>
      </c>
      <c r="EA116" s="117">
        <f t="shared" si="192"/>
        <v>0</v>
      </c>
      <c r="EB116" s="117">
        <f t="shared" si="193"/>
        <v>0</v>
      </c>
      <c r="EC116" s="117">
        <f t="shared" si="194"/>
        <v>0</v>
      </c>
      <c r="ED116" s="117">
        <f t="shared" si="195"/>
        <v>0</v>
      </c>
      <c r="EE116" s="117">
        <f t="shared" si="196"/>
        <v>0</v>
      </c>
      <c r="EF116" s="117">
        <f t="shared" si="197"/>
        <v>0</v>
      </c>
      <c r="EG116" s="117">
        <f t="shared" si="198"/>
        <v>0</v>
      </c>
      <c r="EH116" s="117">
        <f t="shared" si="199"/>
        <v>0</v>
      </c>
      <c r="EI116" s="117">
        <f t="shared" si="200"/>
        <v>0</v>
      </c>
      <c r="EJ116" s="117">
        <f t="shared" si="201"/>
        <v>0</v>
      </c>
      <c r="EK116" s="117">
        <f t="shared" si="202"/>
        <v>0</v>
      </c>
      <c r="EL116" s="117">
        <f t="shared" si="203"/>
        <v>0</v>
      </c>
      <c r="EM116" s="117">
        <f t="shared" si="204"/>
        <v>0</v>
      </c>
      <c r="EN116" s="117">
        <f t="shared" si="205"/>
        <v>0</v>
      </c>
      <c r="EO116" s="117">
        <f t="shared" si="206"/>
        <v>0</v>
      </c>
      <c r="EP116" s="117">
        <f t="shared" si="207"/>
        <v>0</v>
      </c>
      <c r="EQ116" s="117">
        <f t="shared" si="208"/>
        <v>0</v>
      </c>
      <c r="ER116" s="117">
        <f t="shared" si="209"/>
        <v>0</v>
      </c>
      <c r="ES116" s="117">
        <f t="shared" si="210"/>
        <v>0</v>
      </c>
      <c r="ET116" s="176">
        <f t="shared" si="211"/>
        <v>0</v>
      </c>
      <c r="EU116" s="71"/>
      <c r="EV116" s="116">
        <f t="shared" si="212"/>
        <v>2786.0174999999995</v>
      </c>
      <c r="EW116" s="117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7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7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7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7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7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7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7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7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7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7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7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7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7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7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7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7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7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7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7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7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7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7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7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7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7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7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7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7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7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7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7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7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7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7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7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7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7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7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7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6">
        <f t="shared" ca="1" si="213"/>
        <v>0</v>
      </c>
    </row>
    <row r="117" spans="109:193">
      <c r="DE117" s="116">
        <f t="shared" si="170"/>
        <v>2932.6499999999996</v>
      </c>
      <c r="DF117" s="117">
        <f t="shared" si="171"/>
        <v>0</v>
      </c>
      <c r="DG117" s="117">
        <f t="shared" si="172"/>
        <v>0</v>
      </c>
      <c r="DH117" s="117">
        <f t="shared" si="173"/>
        <v>0</v>
      </c>
      <c r="DI117" s="117">
        <f t="shared" si="174"/>
        <v>0</v>
      </c>
      <c r="DJ117" s="117">
        <f t="shared" si="175"/>
        <v>0</v>
      </c>
      <c r="DK117" s="117">
        <f t="shared" si="176"/>
        <v>0</v>
      </c>
      <c r="DL117" s="117">
        <f t="shared" si="177"/>
        <v>0</v>
      </c>
      <c r="DM117" s="117">
        <f t="shared" si="178"/>
        <v>0</v>
      </c>
      <c r="DN117" s="117">
        <f t="shared" si="179"/>
        <v>0</v>
      </c>
      <c r="DO117" s="117">
        <f t="shared" si="180"/>
        <v>0</v>
      </c>
      <c r="DP117" s="117">
        <f t="shared" si="181"/>
        <v>0</v>
      </c>
      <c r="DQ117" s="117">
        <f t="shared" si="182"/>
        <v>0</v>
      </c>
      <c r="DR117" s="117">
        <f t="shared" si="183"/>
        <v>0</v>
      </c>
      <c r="DS117" s="117">
        <f t="shared" si="184"/>
        <v>0</v>
      </c>
      <c r="DT117" s="117">
        <f t="shared" si="185"/>
        <v>0</v>
      </c>
      <c r="DU117" s="117">
        <f t="shared" si="186"/>
        <v>0</v>
      </c>
      <c r="DV117" s="117">
        <f t="shared" si="187"/>
        <v>0</v>
      </c>
      <c r="DW117" s="117">
        <f t="shared" si="188"/>
        <v>0</v>
      </c>
      <c r="DX117" s="117">
        <f t="shared" si="189"/>
        <v>0</v>
      </c>
      <c r="DY117" s="117">
        <f t="shared" si="190"/>
        <v>0</v>
      </c>
      <c r="DZ117" s="117">
        <f t="shared" si="191"/>
        <v>0</v>
      </c>
      <c r="EA117" s="117">
        <f t="shared" si="192"/>
        <v>0</v>
      </c>
      <c r="EB117" s="117">
        <f t="shared" si="193"/>
        <v>0</v>
      </c>
      <c r="EC117" s="117">
        <f t="shared" si="194"/>
        <v>0</v>
      </c>
      <c r="ED117" s="117">
        <f t="shared" si="195"/>
        <v>0</v>
      </c>
      <c r="EE117" s="117">
        <f t="shared" si="196"/>
        <v>0</v>
      </c>
      <c r="EF117" s="117">
        <f t="shared" si="197"/>
        <v>0</v>
      </c>
      <c r="EG117" s="117">
        <f t="shared" si="198"/>
        <v>0</v>
      </c>
      <c r="EH117" s="117">
        <f t="shared" si="199"/>
        <v>0</v>
      </c>
      <c r="EI117" s="117">
        <f t="shared" si="200"/>
        <v>0</v>
      </c>
      <c r="EJ117" s="117">
        <f t="shared" si="201"/>
        <v>0</v>
      </c>
      <c r="EK117" s="117">
        <f t="shared" si="202"/>
        <v>0</v>
      </c>
      <c r="EL117" s="117">
        <f t="shared" si="203"/>
        <v>0</v>
      </c>
      <c r="EM117" s="117">
        <f t="shared" si="204"/>
        <v>0</v>
      </c>
      <c r="EN117" s="117">
        <f t="shared" si="205"/>
        <v>0</v>
      </c>
      <c r="EO117" s="117">
        <f t="shared" si="206"/>
        <v>0</v>
      </c>
      <c r="EP117" s="117">
        <f t="shared" si="207"/>
        <v>0</v>
      </c>
      <c r="EQ117" s="117">
        <f t="shared" si="208"/>
        <v>0</v>
      </c>
      <c r="ER117" s="117">
        <f t="shared" si="209"/>
        <v>0</v>
      </c>
      <c r="ES117" s="117">
        <f t="shared" si="210"/>
        <v>0</v>
      </c>
      <c r="ET117" s="176">
        <f t="shared" si="211"/>
        <v>0</v>
      </c>
      <c r="EU117" s="71"/>
      <c r="EV117" s="116">
        <f t="shared" si="212"/>
        <v>2932.6499999999996</v>
      </c>
      <c r="EW117" s="117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7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7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7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7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7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7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7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7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7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7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7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7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7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7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7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7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7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7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7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7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7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7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7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7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7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7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7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7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7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7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7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7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7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7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7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7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7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7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7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6">
        <f t="shared" ca="1" si="213"/>
        <v>0</v>
      </c>
    </row>
    <row r="118" spans="109:193">
      <c r="DE118" s="116">
        <f t="shared" si="170"/>
        <v>3087</v>
      </c>
      <c r="DF118" s="117">
        <f t="shared" si="171"/>
        <v>0</v>
      </c>
      <c r="DG118" s="117">
        <f t="shared" si="172"/>
        <v>0</v>
      </c>
      <c r="DH118" s="117">
        <f t="shared" si="173"/>
        <v>0</v>
      </c>
      <c r="DI118" s="117">
        <f t="shared" si="174"/>
        <v>0</v>
      </c>
      <c r="DJ118" s="117">
        <f t="shared" si="175"/>
        <v>0</v>
      </c>
      <c r="DK118" s="117">
        <f t="shared" si="176"/>
        <v>0</v>
      </c>
      <c r="DL118" s="117">
        <f t="shared" si="177"/>
        <v>0</v>
      </c>
      <c r="DM118" s="117">
        <f t="shared" si="178"/>
        <v>0</v>
      </c>
      <c r="DN118" s="117">
        <f t="shared" si="179"/>
        <v>0</v>
      </c>
      <c r="DO118" s="117">
        <f t="shared" si="180"/>
        <v>0</v>
      </c>
      <c r="DP118" s="117">
        <f t="shared" si="181"/>
        <v>0</v>
      </c>
      <c r="DQ118" s="117">
        <f t="shared" si="182"/>
        <v>0</v>
      </c>
      <c r="DR118" s="117">
        <f t="shared" si="183"/>
        <v>0</v>
      </c>
      <c r="DS118" s="117">
        <f t="shared" si="184"/>
        <v>0</v>
      </c>
      <c r="DT118" s="117">
        <f t="shared" si="185"/>
        <v>0</v>
      </c>
      <c r="DU118" s="117">
        <f t="shared" si="186"/>
        <v>0</v>
      </c>
      <c r="DV118" s="117">
        <f t="shared" si="187"/>
        <v>0</v>
      </c>
      <c r="DW118" s="117">
        <f t="shared" si="188"/>
        <v>0</v>
      </c>
      <c r="DX118" s="117">
        <f t="shared" si="189"/>
        <v>0</v>
      </c>
      <c r="DY118" s="117">
        <f t="shared" si="190"/>
        <v>0</v>
      </c>
      <c r="DZ118" s="117">
        <f t="shared" si="191"/>
        <v>0</v>
      </c>
      <c r="EA118" s="117">
        <f t="shared" si="192"/>
        <v>0</v>
      </c>
      <c r="EB118" s="117">
        <f t="shared" si="193"/>
        <v>0</v>
      </c>
      <c r="EC118" s="117">
        <f t="shared" si="194"/>
        <v>0</v>
      </c>
      <c r="ED118" s="117">
        <f t="shared" si="195"/>
        <v>0</v>
      </c>
      <c r="EE118" s="117">
        <f t="shared" si="196"/>
        <v>0</v>
      </c>
      <c r="EF118" s="117">
        <f t="shared" si="197"/>
        <v>0</v>
      </c>
      <c r="EG118" s="117">
        <f t="shared" si="198"/>
        <v>0</v>
      </c>
      <c r="EH118" s="117">
        <f t="shared" si="199"/>
        <v>0</v>
      </c>
      <c r="EI118" s="117">
        <f t="shared" si="200"/>
        <v>0</v>
      </c>
      <c r="EJ118" s="117">
        <f t="shared" si="201"/>
        <v>0</v>
      </c>
      <c r="EK118" s="117">
        <f t="shared" si="202"/>
        <v>0</v>
      </c>
      <c r="EL118" s="117">
        <f t="shared" si="203"/>
        <v>0</v>
      </c>
      <c r="EM118" s="117">
        <f t="shared" si="204"/>
        <v>0</v>
      </c>
      <c r="EN118" s="117">
        <f t="shared" si="205"/>
        <v>0</v>
      </c>
      <c r="EO118" s="117">
        <f t="shared" si="206"/>
        <v>0</v>
      </c>
      <c r="EP118" s="117">
        <f t="shared" si="207"/>
        <v>0</v>
      </c>
      <c r="EQ118" s="117">
        <f t="shared" si="208"/>
        <v>0</v>
      </c>
      <c r="ER118" s="117">
        <f t="shared" si="209"/>
        <v>0</v>
      </c>
      <c r="ES118" s="117">
        <f t="shared" si="210"/>
        <v>0</v>
      </c>
      <c r="ET118" s="176">
        <f t="shared" si="211"/>
        <v>0</v>
      </c>
      <c r="EU118" s="71"/>
      <c r="EV118" s="116">
        <f t="shared" si="212"/>
        <v>3087</v>
      </c>
      <c r="EW118" s="117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7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7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7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7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7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7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7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7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7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7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7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7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7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7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7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7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7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7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7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7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7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7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7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7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7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7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7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7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7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7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7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7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7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7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7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7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7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7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7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6">
        <f t="shared" ca="1" si="213"/>
        <v>0</v>
      </c>
    </row>
    <row r="119" spans="109:193">
      <c r="DE119" s="116">
        <f t="shared" si="170"/>
        <v>3241.3500000000004</v>
      </c>
      <c r="DF119" s="117">
        <f t="shared" si="171"/>
        <v>0</v>
      </c>
      <c r="DG119" s="117">
        <f t="shared" si="172"/>
        <v>0</v>
      </c>
      <c r="DH119" s="117">
        <f t="shared" si="173"/>
        <v>0</v>
      </c>
      <c r="DI119" s="117">
        <f t="shared" si="174"/>
        <v>0</v>
      </c>
      <c r="DJ119" s="117">
        <f t="shared" si="175"/>
        <v>0</v>
      </c>
      <c r="DK119" s="117">
        <f t="shared" si="176"/>
        <v>0</v>
      </c>
      <c r="DL119" s="117">
        <f t="shared" si="177"/>
        <v>0</v>
      </c>
      <c r="DM119" s="117">
        <f t="shared" si="178"/>
        <v>0</v>
      </c>
      <c r="DN119" s="117">
        <f t="shared" si="179"/>
        <v>0</v>
      </c>
      <c r="DO119" s="117">
        <f t="shared" si="180"/>
        <v>0</v>
      </c>
      <c r="DP119" s="117">
        <f t="shared" si="181"/>
        <v>0</v>
      </c>
      <c r="DQ119" s="117">
        <f t="shared" si="182"/>
        <v>0</v>
      </c>
      <c r="DR119" s="117">
        <f t="shared" si="183"/>
        <v>0</v>
      </c>
      <c r="DS119" s="117">
        <f t="shared" si="184"/>
        <v>0</v>
      </c>
      <c r="DT119" s="117">
        <f t="shared" si="185"/>
        <v>0</v>
      </c>
      <c r="DU119" s="117">
        <f t="shared" si="186"/>
        <v>0</v>
      </c>
      <c r="DV119" s="117">
        <f t="shared" si="187"/>
        <v>0</v>
      </c>
      <c r="DW119" s="117">
        <f t="shared" si="188"/>
        <v>0</v>
      </c>
      <c r="DX119" s="117">
        <f t="shared" si="189"/>
        <v>0</v>
      </c>
      <c r="DY119" s="117">
        <f t="shared" si="190"/>
        <v>0</v>
      </c>
      <c r="DZ119" s="117">
        <f t="shared" si="191"/>
        <v>0</v>
      </c>
      <c r="EA119" s="117">
        <f t="shared" si="192"/>
        <v>0</v>
      </c>
      <c r="EB119" s="117">
        <f t="shared" si="193"/>
        <v>0</v>
      </c>
      <c r="EC119" s="117">
        <f t="shared" si="194"/>
        <v>0</v>
      </c>
      <c r="ED119" s="117">
        <f t="shared" si="195"/>
        <v>0</v>
      </c>
      <c r="EE119" s="117">
        <f t="shared" si="196"/>
        <v>0</v>
      </c>
      <c r="EF119" s="117">
        <f t="shared" si="197"/>
        <v>0</v>
      </c>
      <c r="EG119" s="117">
        <f t="shared" si="198"/>
        <v>0</v>
      </c>
      <c r="EH119" s="117">
        <f t="shared" si="199"/>
        <v>0</v>
      </c>
      <c r="EI119" s="117">
        <f t="shared" si="200"/>
        <v>0</v>
      </c>
      <c r="EJ119" s="117">
        <f t="shared" si="201"/>
        <v>0</v>
      </c>
      <c r="EK119" s="117">
        <f t="shared" si="202"/>
        <v>0</v>
      </c>
      <c r="EL119" s="117">
        <f t="shared" si="203"/>
        <v>0</v>
      </c>
      <c r="EM119" s="117">
        <f t="shared" si="204"/>
        <v>0</v>
      </c>
      <c r="EN119" s="117">
        <f t="shared" si="205"/>
        <v>0</v>
      </c>
      <c r="EO119" s="117">
        <f t="shared" si="206"/>
        <v>0</v>
      </c>
      <c r="EP119" s="117">
        <f t="shared" si="207"/>
        <v>0</v>
      </c>
      <c r="EQ119" s="117">
        <f t="shared" si="208"/>
        <v>0</v>
      </c>
      <c r="ER119" s="117">
        <f t="shared" si="209"/>
        <v>0</v>
      </c>
      <c r="ES119" s="117">
        <f t="shared" si="210"/>
        <v>0</v>
      </c>
      <c r="ET119" s="176">
        <f t="shared" si="211"/>
        <v>0</v>
      </c>
      <c r="EU119" s="71"/>
      <c r="EV119" s="116">
        <f t="shared" si="212"/>
        <v>3241.3500000000004</v>
      </c>
      <c r="EW119" s="117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7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7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7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7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7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7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7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7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7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7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7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7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7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7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7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7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7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7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7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7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7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7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7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7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7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7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7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7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7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7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7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7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7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7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7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7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7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7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7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6">
        <f t="shared" ca="1" si="213"/>
        <v>0</v>
      </c>
    </row>
    <row r="120" spans="109:193">
      <c r="DE120" s="116">
        <f t="shared" si="170"/>
        <v>3403.4175000000005</v>
      </c>
      <c r="DF120" s="117">
        <f t="shared" si="171"/>
        <v>0</v>
      </c>
      <c r="DG120" s="117">
        <f t="shared" si="172"/>
        <v>0</v>
      </c>
      <c r="DH120" s="117">
        <f t="shared" si="173"/>
        <v>0</v>
      </c>
      <c r="DI120" s="117">
        <f t="shared" si="174"/>
        <v>0</v>
      </c>
      <c r="DJ120" s="117">
        <f t="shared" si="175"/>
        <v>0</v>
      </c>
      <c r="DK120" s="117">
        <f t="shared" si="176"/>
        <v>0</v>
      </c>
      <c r="DL120" s="117">
        <f t="shared" si="177"/>
        <v>0</v>
      </c>
      <c r="DM120" s="117">
        <f t="shared" si="178"/>
        <v>0</v>
      </c>
      <c r="DN120" s="117">
        <f t="shared" si="179"/>
        <v>0</v>
      </c>
      <c r="DO120" s="117">
        <f t="shared" si="180"/>
        <v>0</v>
      </c>
      <c r="DP120" s="117">
        <f t="shared" si="181"/>
        <v>0</v>
      </c>
      <c r="DQ120" s="117">
        <f t="shared" si="182"/>
        <v>0</v>
      </c>
      <c r="DR120" s="117">
        <f t="shared" si="183"/>
        <v>0</v>
      </c>
      <c r="DS120" s="117">
        <f t="shared" si="184"/>
        <v>0</v>
      </c>
      <c r="DT120" s="117">
        <f t="shared" si="185"/>
        <v>0</v>
      </c>
      <c r="DU120" s="117">
        <f t="shared" si="186"/>
        <v>0</v>
      </c>
      <c r="DV120" s="117">
        <f t="shared" si="187"/>
        <v>0</v>
      </c>
      <c r="DW120" s="117">
        <f t="shared" si="188"/>
        <v>0</v>
      </c>
      <c r="DX120" s="117">
        <f t="shared" si="189"/>
        <v>0</v>
      </c>
      <c r="DY120" s="117">
        <f t="shared" si="190"/>
        <v>0</v>
      </c>
      <c r="DZ120" s="117">
        <f t="shared" si="191"/>
        <v>0</v>
      </c>
      <c r="EA120" s="117">
        <f t="shared" si="192"/>
        <v>0</v>
      </c>
      <c r="EB120" s="117">
        <f t="shared" si="193"/>
        <v>0</v>
      </c>
      <c r="EC120" s="117">
        <f t="shared" si="194"/>
        <v>0</v>
      </c>
      <c r="ED120" s="117">
        <f t="shared" si="195"/>
        <v>0</v>
      </c>
      <c r="EE120" s="117">
        <f t="shared" si="196"/>
        <v>0</v>
      </c>
      <c r="EF120" s="117">
        <f t="shared" si="197"/>
        <v>0</v>
      </c>
      <c r="EG120" s="117">
        <f t="shared" si="198"/>
        <v>0</v>
      </c>
      <c r="EH120" s="117">
        <f t="shared" si="199"/>
        <v>0</v>
      </c>
      <c r="EI120" s="117">
        <f t="shared" si="200"/>
        <v>0</v>
      </c>
      <c r="EJ120" s="117">
        <f t="shared" si="201"/>
        <v>0</v>
      </c>
      <c r="EK120" s="117">
        <f t="shared" si="202"/>
        <v>0</v>
      </c>
      <c r="EL120" s="117">
        <f t="shared" si="203"/>
        <v>0</v>
      </c>
      <c r="EM120" s="117">
        <f t="shared" si="204"/>
        <v>0</v>
      </c>
      <c r="EN120" s="117">
        <f t="shared" si="205"/>
        <v>0</v>
      </c>
      <c r="EO120" s="117">
        <f t="shared" si="206"/>
        <v>0</v>
      </c>
      <c r="EP120" s="117">
        <f t="shared" si="207"/>
        <v>0</v>
      </c>
      <c r="EQ120" s="117">
        <f t="shared" si="208"/>
        <v>0</v>
      </c>
      <c r="ER120" s="117">
        <f t="shared" si="209"/>
        <v>0</v>
      </c>
      <c r="ES120" s="117">
        <f t="shared" si="210"/>
        <v>0</v>
      </c>
      <c r="ET120" s="176">
        <f t="shared" si="211"/>
        <v>0</v>
      </c>
      <c r="EU120" s="71"/>
      <c r="EV120" s="116">
        <f t="shared" si="212"/>
        <v>3403.4175000000005</v>
      </c>
      <c r="EW120" s="117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7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7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7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7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7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7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7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7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7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7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7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7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7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7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7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7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7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7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7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7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7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7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7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7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7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7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7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7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7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7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7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7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7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7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7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7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7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7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7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6">
        <f t="shared" ca="1" si="213"/>
        <v>0</v>
      </c>
    </row>
    <row r="121" spans="109:193">
      <c r="DE121" s="116">
        <f t="shared" si="170"/>
        <v>3573.5883750000007</v>
      </c>
      <c r="DF121" s="117">
        <f t="shared" si="171"/>
        <v>0</v>
      </c>
      <c r="DG121" s="117">
        <f t="shared" si="172"/>
        <v>0</v>
      </c>
      <c r="DH121" s="117">
        <f t="shared" si="173"/>
        <v>0</v>
      </c>
      <c r="DI121" s="117">
        <f t="shared" si="174"/>
        <v>0</v>
      </c>
      <c r="DJ121" s="117">
        <f t="shared" si="175"/>
        <v>0</v>
      </c>
      <c r="DK121" s="117">
        <f t="shared" si="176"/>
        <v>0</v>
      </c>
      <c r="DL121" s="117">
        <f t="shared" si="177"/>
        <v>0</v>
      </c>
      <c r="DM121" s="117">
        <f t="shared" si="178"/>
        <v>0</v>
      </c>
      <c r="DN121" s="117">
        <f t="shared" si="179"/>
        <v>0</v>
      </c>
      <c r="DO121" s="117">
        <f t="shared" si="180"/>
        <v>0</v>
      </c>
      <c r="DP121" s="117">
        <f t="shared" si="181"/>
        <v>0</v>
      </c>
      <c r="DQ121" s="117">
        <f t="shared" si="182"/>
        <v>0</v>
      </c>
      <c r="DR121" s="117">
        <f t="shared" si="183"/>
        <v>0</v>
      </c>
      <c r="DS121" s="117">
        <f t="shared" si="184"/>
        <v>0</v>
      </c>
      <c r="DT121" s="117">
        <f t="shared" si="185"/>
        <v>0</v>
      </c>
      <c r="DU121" s="117">
        <f t="shared" si="186"/>
        <v>0</v>
      </c>
      <c r="DV121" s="117">
        <f t="shared" si="187"/>
        <v>0</v>
      </c>
      <c r="DW121" s="117">
        <f t="shared" si="188"/>
        <v>0</v>
      </c>
      <c r="DX121" s="117">
        <f t="shared" si="189"/>
        <v>0</v>
      </c>
      <c r="DY121" s="117">
        <f t="shared" si="190"/>
        <v>0</v>
      </c>
      <c r="DZ121" s="117">
        <f t="shared" si="191"/>
        <v>0</v>
      </c>
      <c r="EA121" s="117">
        <f t="shared" si="192"/>
        <v>0</v>
      </c>
      <c r="EB121" s="117">
        <f t="shared" si="193"/>
        <v>0</v>
      </c>
      <c r="EC121" s="117">
        <f t="shared" si="194"/>
        <v>0</v>
      </c>
      <c r="ED121" s="117">
        <f t="shared" si="195"/>
        <v>0</v>
      </c>
      <c r="EE121" s="117">
        <f t="shared" si="196"/>
        <v>0</v>
      </c>
      <c r="EF121" s="117">
        <f t="shared" si="197"/>
        <v>0</v>
      </c>
      <c r="EG121" s="117">
        <f t="shared" si="198"/>
        <v>0</v>
      </c>
      <c r="EH121" s="117">
        <f t="shared" si="199"/>
        <v>0</v>
      </c>
      <c r="EI121" s="117">
        <f t="shared" si="200"/>
        <v>0</v>
      </c>
      <c r="EJ121" s="117">
        <f t="shared" si="201"/>
        <v>0</v>
      </c>
      <c r="EK121" s="117">
        <f t="shared" si="202"/>
        <v>0</v>
      </c>
      <c r="EL121" s="117">
        <f t="shared" si="203"/>
        <v>0</v>
      </c>
      <c r="EM121" s="117">
        <f t="shared" si="204"/>
        <v>0</v>
      </c>
      <c r="EN121" s="117">
        <f t="shared" si="205"/>
        <v>0</v>
      </c>
      <c r="EO121" s="117">
        <f t="shared" si="206"/>
        <v>0</v>
      </c>
      <c r="EP121" s="117">
        <f t="shared" si="207"/>
        <v>0</v>
      </c>
      <c r="EQ121" s="117">
        <f t="shared" si="208"/>
        <v>0</v>
      </c>
      <c r="ER121" s="117">
        <f t="shared" si="209"/>
        <v>0</v>
      </c>
      <c r="ES121" s="117">
        <f t="shared" si="210"/>
        <v>0</v>
      </c>
      <c r="ET121" s="176">
        <f t="shared" si="211"/>
        <v>0</v>
      </c>
      <c r="EU121" s="71"/>
      <c r="EV121" s="116">
        <f t="shared" si="212"/>
        <v>3573.5883750000007</v>
      </c>
      <c r="EW121" s="117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7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7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7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7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7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7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7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7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7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7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7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7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7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7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7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7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7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7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7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7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7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7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7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7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7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7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7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7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7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7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7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7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7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7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7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7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7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7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7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6">
        <f t="shared" ca="1" si="213"/>
        <v>0</v>
      </c>
    </row>
    <row r="122" spans="109:193">
      <c r="DE122" s="116">
        <f t="shared" si="170"/>
        <v>3752.2677937500007</v>
      </c>
      <c r="DF122" s="117">
        <f t="shared" si="171"/>
        <v>0</v>
      </c>
      <c r="DG122" s="117">
        <f t="shared" si="172"/>
        <v>0</v>
      </c>
      <c r="DH122" s="117">
        <f t="shared" si="173"/>
        <v>0</v>
      </c>
      <c r="DI122" s="117">
        <f t="shared" si="174"/>
        <v>0</v>
      </c>
      <c r="DJ122" s="117">
        <f t="shared" si="175"/>
        <v>0</v>
      </c>
      <c r="DK122" s="117">
        <f t="shared" si="176"/>
        <v>0</v>
      </c>
      <c r="DL122" s="117">
        <f t="shared" si="177"/>
        <v>0</v>
      </c>
      <c r="DM122" s="117">
        <f t="shared" si="178"/>
        <v>0</v>
      </c>
      <c r="DN122" s="117">
        <f t="shared" si="179"/>
        <v>0</v>
      </c>
      <c r="DO122" s="117">
        <f t="shared" si="180"/>
        <v>0</v>
      </c>
      <c r="DP122" s="117">
        <f t="shared" si="181"/>
        <v>0</v>
      </c>
      <c r="DQ122" s="117">
        <f t="shared" si="182"/>
        <v>0</v>
      </c>
      <c r="DR122" s="117">
        <f t="shared" si="183"/>
        <v>0</v>
      </c>
      <c r="DS122" s="117">
        <f t="shared" si="184"/>
        <v>0</v>
      </c>
      <c r="DT122" s="117">
        <f t="shared" si="185"/>
        <v>0</v>
      </c>
      <c r="DU122" s="117">
        <f t="shared" si="186"/>
        <v>0</v>
      </c>
      <c r="DV122" s="117">
        <f t="shared" si="187"/>
        <v>0</v>
      </c>
      <c r="DW122" s="117">
        <f t="shared" si="188"/>
        <v>0</v>
      </c>
      <c r="DX122" s="117">
        <f t="shared" si="189"/>
        <v>0</v>
      </c>
      <c r="DY122" s="117">
        <f t="shared" si="190"/>
        <v>0</v>
      </c>
      <c r="DZ122" s="117">
        <f t="shared" si="191"/>
        <v>0</v>
      </c>
      <c r="EA122" s="117">
        <f t="shared" si="192"/>
        <v>0</v>
      </c>
      <c r="EB122" s="117">
        <f t="shared" si="193"/>
        <v>0</v>
      </c>
      <c r="EC122" s="117">
        <f t="shared" si="194"/>
        <v>0</v>
      </c>
      <c r="ED122" s="117">
        <f t="shared" si="195"/>
        <v>0</v>
      </c>
      <c r="EE122" s="117">
        <f t="shared" si="196"/>
        <v>0</v>
      </c>
      <c r="EF122" s="117">
        <f t="shared" si="197"/>
        <v>0</v>
      </c>
      <c r="EG122" s="117">
        <f t="shared" si="198"/>
        <v>0</v>
      </c>
      <c r="EH122" s="117">
        <f t="shared" si="199"/>
        <v>0</v>
      </c>
      <c r="EI122" s="117">
        <f t="shared" si="200"/>
        <v>0</v>
      </c>
      <c r="EJ122" s="117">
        <f t="shared" si="201"/>
        <v>0</v>
      </c>
      <c r="EK122" s="117">
        <f t="shared" si="202"/>
        <v>0</v>
      </c>
      <c r="EL122" s="117">
        <f t="shared" si="203"/>
        <v>0</v>
      </c>
      <c r="EM122" s="117">
        <f t="shared" si="204"/>
        <v>0</v>
      </c>
      <c r="EN122" s="117">
        <f t="shared" si="205"/>
        <v>0</v>
      </c>
      <c r="EO122" s="117">
        <f t="shared" si="206"/>
        <v>0</v>
      </c>
      <c r="EP122" s="117">
        <f t="shared" si="207"/>
        <v>0</v>
      </c>
      <c r="EQ122" s="117">
        <f t="shared" si="208"/>
        <v>0</v>
      </c>
      <c r="ER122" s="117">
        <f t="shared" si="209"/>
        <v>0</v>
      </c>
      <c r="ES122" s="117">
        <f t="shared" si="210"/>
        <v>0</v>
      </c>
      <c r="ET122" s="176">
        <f t="shared" si="211"/>
        <v>0</v>
      </c>
      <c r="EU122" s="71"/>
      <c r="EV122" s="116">
        <f t="shared" si="212"/>
        <v>3752.2677937500007</v>
      </c>
      <c r="EW122" s="117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7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7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7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7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7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7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7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7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7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7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7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7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7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7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7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7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7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7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7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7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7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7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7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7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7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7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7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7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7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7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7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7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7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7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7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7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7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7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7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6">
        <f t="shared" ca="1" si="213"/>
        <v>0</v>
      </c>
    </row>
    <row r="123" spans="109:193">
      <c r="DE123" s="116">
        <f t="shared" si="170"/>
        <v>3939.881183437501</v>
      </c>
      <c r="DF123" s="117">
        <f t="shared" si="171"/>
        <v>0</v>
      </c>
      <c r="DG123" s="117">
        <f t="shared" si="172"/>
        <v>0</v>
      </c>
      <c r="DH123" s="117">
        <f t="shared" si="173"/>
        <v>0</v>
      </c>
      <c r="DI123" s="117">
        <f t="shared" si="174"/>
        <v>0</v>
      </c>
      <c r="DJ123" s="117">
        <f t="shared" si="175"/>
        <v>0</v>
      </c>
      <c r="DK123" s="117">
        <f t="shared" si="176"/>
        <v>0</v>
      </c>
      <c r="DL123" s="117">
        <f t="shared" si="177"/>
        <v>0</v>
      </c>
      <c r="DM123" s="117">
        <f t="shared" si="178"/>
        <v>0</v>
      </c>
      <c r="DN123" s="117">
        <f t="shared" si="179"/>
        <v>0</v>
      </c>
      <c r="DO123" s="117">
        <f t="shared" si="180"/>
        <v>0</v>
      </c>
      <c r="DP123" s="117">
        <f t="shared" si="181"/>
        <v>0</v>
      </c>
      <c r="DQ123" s="117">
        <f t="shared" si="182"/>
        <v>0</v>
      </c>
      <c r="DR123" s="117">
        <f t="shared" si="183"/>
        <v>0</v>
      </c>
      <c r="DS123" s="117">
        <f t="shared" si="184"/>
        <v>0</v>
      </c>
      <c r="DT123" s="117">
        <f t="shared" si="185"/>
        <v>0</v>
      </c>
      <c r="DU123" s="117">
        <f t="shared" si="186"/>
        <v>0</v>
      </c>
      <c r="DV123" s="117">
        <f t="shared" si="187"/>
        <v>0</v>
      </c>
      <c r="DW123" s="117">
        <f t="shared" si="188"/>
        <v>0</v>
      </c>
      <c r="DX123" s="117">
        <f t="shared" si="189"/>
        <v>0</v>
      </c>
      <c r="DY123" s="117">
        <f t="shared" si="190"/>
        <v>0</v>
      </c>
      <c r="DZ123" s="117">
        <f t="shared" si="191"/>
        <v>0</v>
      </c>
      <c r="EA123" s="117">
        <f t="shared" si="192"/>
        <v>0</v>
      </c>
      <c r="EB123" s="117">
        <f t="shared" si="193"/>
        <v>0</v>
      </c>
      <c r="EC123" s="117">
        <f t="shared" si="194"/>
        <v>0</v>
      </c>
      <c r="ED123" s="117">
        <f t="shared" si="195"/>
        <v>0</v>
      </c>
      <c r="EE123" s="117">
        <f t="shared" si="196"/>
        <v>0</v>
      </c>
      <c r="EF123" s="117">
        <f t="shared" si="197"/>
        <v>0</v>
      </c>
      <c r="EG123" s="117">
        <f t="shared" si="198"/>
        <v>0</v>
      </c>
      <c r="EH123" s="117">
        <f t="shared" si="199"/>
        <v>0</v>
      </c>
      <c r="EI123" s="117">
        <f t="shared" si="200"/>
        <v>0</v>
      </c>
      <c r="EJ123" s="117">
        <f t="shared" si="201"/>
        <v>0</v>
      </c>
      <c r="EK123" s="117">
        <f t="shared" si="202"/>
        <v>0</v>
      </c>
      <c r="EL123" s="117">
        <f t="shared" si="203"/>
        <v>0</v>
      </c>
      <c r="EM123" s="117">
        <f t="shared" si="204"/>
        <v>0</v>
      </c>
      <c r="EN123" s="117">
        <f t="shared" si="205"/>
        <v>0</v>
      </c>
      <c r="EO123" s="117">
        <f t="shared" si="206"/>
        <v>0</v>
      </c>
      <c r="EP123" s="117">
        <f t="shared" si="207"/>
        <v>0</v>
      </c>
      <c r="EQ123" s="117">
        <f t="shared" si="208"/>
        <v>0</v>
      </c>
      <c r="ER123" s="117">
        <f t="shared" si="209"/>
        <v>0</v>
      </c>
      <c r="ES123" s="117">
        <f t="shared" si="210"/>
        <v>0</v>
      </c>
      <c r="ET123" s="176">
        <f t="shared" si="211"/>
        <v>0</v>
      </c>
      <c r="EU123" s="71"/>
      <c r="EV123" s="116">
        <f t="shared" si="212"/>
        <v>3939.881183437501</v>
      </c>
      <c r="EW123" s="117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7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7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7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7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7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7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7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7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7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7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7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7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7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7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7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7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7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7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7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7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7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7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7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7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7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7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7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7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7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7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7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7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7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7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7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7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7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7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7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6">
        <f t="shared" ca="1" si="213"/>
        <v>0</v>
      </c>
    </row>
    <row r="124" spans="109:193">
      <c r="DE124" s="116">
        <f t="shared" si="170"/>
        <v>4136.8752426093761</v>
      </c>
      <c r="DF124" s="117">
        <f t="shared" si="171"/>
        <v>0</v>
      </c>
      <c r="DG124" s="117">
        <f t="shared" si="172"/>
        <v>0</v>
      </c>
      <c r="DH124" s="117">
        <f t="shared" si="173"/>
        <v>0</v>
      </c>
      <c r="DI124" s="117">
        <f t="shared" si="174"/>
        <v>0</v>
      </c>
      <c r="DJ124" s="117">
        <f t="shared" si="175"/>
        <v>0</v>
      </c>
      <c r="DK124" s="117">
        <f t="shared" si="176"/>
        <v>0</v>
      </c>
      <c r="DL124" s="117">
        <f t="shared" si="177"/>
        <v>0</v>
      </c>
      <c r="DM124" s="117">
        <f t="shared" si="178"/>
        <v>0</v>
      </c>
      <c r="DN124" s="117">
        <f t="shared" si="179"/>
        <v>0</v>
      </c>
      <c r="DO124" s="117">
        <f t="shared" si="180"/>
        <v>0</v>
      </c>
      <c r="DP124" s="117">
        <f t="shared" si="181"/>
        <v>0</v>
      </c>
      <c r="DQ124" s="117">
        <f t="shared" si="182"/>
        <v>0</v>
      </c>
      <c r="DR124" s="117">
        <f t="shared" si="183"/>
        <v>0</v>
      </c>
      <c r="DS124" s="117">
        <f t="shared" si="184"/>
        <v>0</v>
      </c>
      <c r="DT124" s="117">
        <f t="shared" si="185"/>
        <v>0</v>
      </c>
      <c r="DU124" s="117">
        <f t="shared" si="186"/>
        <v>0</v>
      </c>
      <c r="DV124" s="117">
        <f t="shared" si="187"/>
        <v>0</v>
      </c>
      <c r="DW124" s="117">
        <f t="shared" si="188"/>
        <v>0</v>
      </c>
      <c r="DX124" s="117">
        <f t="shared" si="189"/>
        <v>0</v>
      </c>
      <c r="DY124" s="117">
        <f t="shared" si="190"/>
        <v>0</v>
      </c>
      <c r="DZ124" s="117">
        <f t="shared" si="191"/>
        <v>0</v>
      </c>
      <c r="EA124" s="117">
        <f t="shared" si="192"/>
        <v>0</v>
      </c>
      <c r="EB124" s="117">
        <f t="shared" si="193"/>
        <v>0</v>
      </c>
      <c r="EC124" s="117">
        <f t="shared" si="194"/>
        <v>0</v>
      </c>
      <c r="ED124" s="117">
        <f t="shared" si="195"/>
        <v>0</v>
      </c>
      <c r="EE124" s="117">
        <f t="shared" si="196"/>
        <v>0</v>
      </c>
      <c r="EF124" s="117">
        <f t="shared" si="197"/>
        <v>0</v>
      </c>
      <c r="EG124" s="117">
        <f t="shared" si="198"/>
        <v>0</v>
      </c>
      <c r="EH124" s="117">
        <f t="shared" si="199"/>
        <v>0</v>
      </c>
      <c r="EI124" s="117">
        <f t="shared" si="200"/>
        <v>0</v>
      </c>
      <c r="EJ124" s="117">
        <f t="shared" si="201"/>
        <v>0</v>
      </c>
      <c r="EK124" s="117">
        <f t="shared" si="202"/>
        <v>0</v>
      </c>
      <c r="EL124" s="117">
        <f t="shared" si="203"/>
        <v>0</v>
      </c>
      <c r="EM124" s="117">
        <f t="shared" si="204"/>
        <v>0</v>
      </c>
      <c r="EN124" s="117">
        <f t="shared" si="205"/>
        <v>0</v>
      </c>
      <c r="EO124" s="117">
        <f t="shared" si="206"/>
        <v>0</v>
      </c>
      <c r="EP124" s="117">
        <f t="shared" si="207"/>
        <v>0</v>
      </c>
      <c r="EQ124" s="117">
        <f t="shared" si="208"/>
        <v>0</v>
      </c>
      <c r="ER124" s="117">
        <f t="shared" si="209"/>
        <v>0</v>
      </c>
      <c r="ES124" s="117">
        <f t="shared" si="210"/>
        <v>0</v>
      </c>
      <c r="ET124" s="176">
        <f t="shared" si="211"/>
        <v>0</v>
      </c>
      <c r="EU124" s="71"/>
      <c r="EV124" s="116">
        <f t="shared" si="212"/>
        <v>4136.8752426093761</v>
      </c>
      <c r="EW124" s="117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7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7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7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7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7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7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7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7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7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7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7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7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7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7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7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7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7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7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7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7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7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7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7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7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7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7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7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7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7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7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7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7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7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7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7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7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7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7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7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6">
        <f t="shared" ca="1" si="213"/>
        <v>0</v>
      </c>
    </row>
    <row r="125" spans="109:193">
      <c r="DE125" s="116">
        <f t="shared" si="170"/>
        <v>4343.7190047398453</v>
      </c>
      <c r="DF125" s="117">
        <f t="shared" si="171"/>
        <v>0</v>
      </c>
      <c r="DG125" s="117">
        <f t="shared" si="172"/>
        <v>0</v>
      </c>
      <c r="DH125" s="117">
        <f t="shared" si="173"/>
        <v>0</v>
      </c>
      <c r="DI125" s="117">
        <f t="shared" si="174"/>
        <v>0</v>
      </c>
      <c r="DJ125" s="117">
        <f t="shared" si="175"/>
        <v>0</v>
      </c>
      <c r="DK125" s="117">
        <f t="shared" si="176"/>
        <v>0</v>
      </c>
      <c r="DL125" s="117">
        <f t="shared" si="177"/>
        <v>0</v>
      </c>
      <c r="DM125" s="117">
        <f t="shared" si="178"/>
        <v>0</v>
      </c>
      <c r="DN125" s="117">
        <f t="shared" si="179"/>
        <v>0</v>
      </c>
      <c r="DO125" s="117">
        <f t="shared" si="180"/>
        <v>0</v>
      </c>
      <c r="DP125" s="117">
        <f t="shared" si="181"/>
        <v>0</v>
      </c>
      <c r="DQ125" s="117">
        <f t="shared" si="182"/>
        <v>0</v>
      </c>
      <c r="DR125" s="117">
        <f t="shared" si="183"/>
        <v>0</v>
      </c>
      <c r="DS125" s="117">
        <f t="shared" si="184"/>
        <v>0</v>
      </c>
      <c r="DT125" s="117">
        <f t="shared" si="185"/>
        <v>0</v>
      </c>
      <c r="DU125" s="117">
        <f t="shared" si="186"/>
        <v>0</v>
      </c>
      <c r="DV125" s="117">
        <f t="shared" si="187"/>
        <v>0</v>
      </c>
      <c r="DW125" s="117">
        <f t="shared" si="188"/>
        <v>0</v>
      </c>
      <c r="DX125" s="117">
        <f t="shared" si="189"/>
        <v>0</v>
      </c>
      <c r="DY125" s="117">
        <f t="shared" si="190"/>
        <v>0</v>
      </c>
      <c r="DZ125" s="117">
        <f t="shared" si="191"/>
        <v>0</v>
      </c>
      <c r="EA125" s="117">
        <f t="shared" si="192"/>
        <v>0</v>
      </c>
      <c r="EB125" s="117">
        <f t="shared" si="193"/>
        <v>0</v>
      </c>
      <c r="EC125" s="117">
        <f t="shared" si="194"/>
        <v>0</v>
      </c>
      <c r="ED125" s="117">
        <f t="shared" si="195"/>
        <v>0</v>
      </c>
      <c r="EE125" s="117">
        <f t="shared" si="196"/>
        <v>0</v>
      </c>
      <c r="EF125" s="117">
        <f t="shared" si="197"/>
        <v>0</v>
      </c>
      <c r="EG125" s="117">
        <f t="shared" si="198"/>
        <v>0</v>
      </c>
      <c r="EH125" s="117">
        <f t="shared" si="199"/>
        <v>0</v>
      </c>
      <c r="EI125" s="117">
        <f t="shared" si="200"/>
        <v>0</v>
      </c>
      <c r="EJ125" s="117">
        <f t="shared" si="201"/>
        <v>0</v>
      </c>
      <c r="EK125" s="117">
        <f t="shared" si="202"/>
        <v>0</v>
      </c>
      <c r="EL125" s="117">
        <f t="shared" si="203"/>
        <v>0</v>
      </c>
      <c r="EM125" s="117">
        <f t="shared" si="204"/>
        <v>0</v>
      </c>
      <c r="EN125" s="117">
        <f t="shared" si="205"/>
        <v>0</v>
      </c>
      <c r="EO125" s="117">
        <f t="shared" si="206"/>
        <v>0</v>
      </c>
      <c r="EP125" s="117">
        <f t="shared" si="207"/>
        <v>0</v>
      </c>
      <c r="EQ125" s="117">
        <f t="shared" si="208"/>
        <v>0</v>
      </c>
      <c r="ER125" s="117">
        <f t="shared" si="209"/>
        <v>0</v>
      </c>
      <c r="ES125" s="117">
        <f t="shared" si="210"/>
        <v>0</v>
      </c>
      <c r="ET125" s="176">
        <f t="shared" si="211"/>
        <v>0</v>
      </c>
      <c r="EU125" s="71"/>
      <c r="EV125" s="116">
        <f t="shared" si="212"/>
        <v>4343.7190047398453</v>
      </c>
      <c r="EW125" s="117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7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7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7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7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7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7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7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7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7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7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7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7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7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7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7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7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7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7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7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7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7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7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7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7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7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7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7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7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7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7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7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7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7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7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7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7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7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7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7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6">
        <f t="shared" ca="1" si="213"/>
        <v>0</v>
      </c>
    </row>
    <row r="126" spans="109:193">
      <c r="DE126" s="116">
        <f t="shared" si="170"/>
        <v>4560.9049549768379</v>
      </c>
      <c r="DF126" s="117">
        <f t="shared" si="171"/>
        <v>0</v>
      </c>
      <c r="DG126" s="117">
        <f t="shared" si="172"/>
        <v>0</v>
      </c>
      <c r="DH126" s="117">
        <f t="shared" si="173"/>
        <v>0</v>
      </c>
      <c r="DI126" s="117">
        <f t="shared" si="174"/>
        <v>0</v>
      </c>
      <c r="DJ126" s="117">
        <f t="shared" si="175"/>
        <v>0</v>
      </c>
      <c r="DK126" s="117">
        <f t="shared" si="176"/>
        <v>0</v>
      </c>
      <c r="DL126" s="117">
        <f t="shared" si="177"/>
        <v>0</v>
      </c>
      <c r="DM126" s="117">
        <f t="shared" si="178"/>
        <v>0</v>
      </c>
      <c r="DN126" s="117">
        <f t="shared" si="179"/>
        <v>0</v>
      </c>
      <c r="DO126" s="117">
        <f t="shared" si="180"/>
        <v>0</v>
      </c>
      <c r="DP126" s="117">
        <f t="shared" si="181"/>
        <v>0</v>
      </c>
      <c r="DQ126" s="117">
        <f t="shared" si="182"/>
        <v>0</v>
      </c>
      <c r="DR126" s="117">
        <f t="shared" si="183"/>
        <v>0</v>
      </c>
      <c r="DS126" s="117">
        <f t="shared" si="184"/>
        <v>0</v>
      </c>
      <c r="DT126" s="117">
        <f t="shared" si="185"/>
        <v>0</v>
      </c>
      <c r="DU126" s="117">
        <f t="shared" si="186"/>
        <v>0</v>
      </c>
      <c r="DV126" s="117">
        <f t="shared" si="187"/>
        <v>0</v>
      </c>
      <c r="DW126" s="117">
        <f t="shared" si="188"/>
        <v>0</v>
      </c>
      <c r="DX126" s="117">
        <f t="shared" si="189"/>
        <v>0</v>
      </c>
      <c r="DY126" s="117">
        <f t="shared" si="190"/>
        <v>0</v>
      </c>
      <c r="DZ126" s="117">
        <f t="shared" si="191"/>
        <v>0</v>
      </c>
      <c r="EA126" s="117">
        <f t="shared" si="192"/>
        <v>0</v>
      </c>
      <c r="EB126" s="117">
        <f t="shared" si="193"/>
        <v>0</v>
      </c>
      <c r="EC126" s="117">
        <f t="shared" si="194"/>
        <v>0</v>
      </c>
      <c r="ED126" s="117">
        <f t="shared" si="195"/>
        <v>0</v>
      </c>
      <c r="EE126" s="117">
        <f t="shared" si="196"/>
        <v>0</v>
      </c>
      <c r="EF126" s="117">
        <f t="shared" si="197"/>
        <v>0</v>
      </c>
      <c r="EG126" s="117">
        <f t="shared" si="198"/>
        <v>0</v>
      </c>
      <c r="EH126" s="117">
        <f t="shared" si="199"/>
        <v>0</v>
      </c>
      <c r="EI126" s="117">
        <f t="shared" si="200"/>
        <v>0</v>
      </c>
      <c r="EJ126" s="117">
        <f t="shared" si="201"/>
        <v>0</v>
      </c>
      <c r="EK126" s="117">
        <f t="shared" si="202"/>
        <v>0</v>
      </c>
      <c r="EL126" s="117">
        <f t="shared" si="203"/>
        <v>0</v>
      </c>
      <c r="EM126" s="117">
        <f t="shared" si="204"/>
        <v>0</v>
      </c>
      <c r="EN126" s="117">
        <f t="shared" si="205"/>
        <v>0</v>
      </c>
      <c r="EO126" s="117">
        <f t="shared" si="206"/>
        <v>0</v>
      </c>
      <c r="EP126" s="117">
        <f t="shared" si="207"/>
        <v>0</v>
      </c>
      <c r="EQ126" s="117">
        <f t="shared" si="208"/>
        <v>0</v>
      </c>
      <c r="ER126" s="117">
        <f t="shared" si="209"/>
        <v>0</v>
      </c>
      <c r="ES126" s="117">
        <f t="shared" si="210"/>
        <v>0</v>
      </c>
      <c r="ET126" s="176">
        <f t="shared" si="211"/>
        <v>0</v>
      </c>
      <c r="EU126" s="71"/>
      <c r="EV126" s="116">
        <f t="shared" si="212"/>
        <v>4560.9049549768379</v>
      </c>
      <c r="EW126" s="117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7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7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7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7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7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7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7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7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7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7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7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7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7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7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7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7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7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7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7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7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7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7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7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7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7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7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7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7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7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7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7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7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7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7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7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7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7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7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7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6">
        <f t="shared" ca="1" si="213"/>
        <v>0</v>
      </c>
    </row>
    <row r="127" spans="109:193">
      <c r="DE127" s="116">
        <f t="shared" si="170"/>
        <v>4788.9502027256804</v>
      </c>
      <c r="DF127" s="117">
        <f t="shared" si="171"/>
        <v>0</v>
      </c>
      <c r="DG127" s="117">
        <f t="shared" si="172"/>
        <v>0</v>
      </c>
      <c r="DH127" s="117">
        <f t="shared" si="173"/>
        <v>0</v>
      </c>
      <c r="DI127" s="117">
        <f t="shared" si="174"/>
        <v>0</v>
      </c>
      <c r="DJ127" s="117">
        <f t="shared" si="175"/>
        <v>0</v>
      </c>
      <c r="DK127" s="117">
        <f t="shared" si="176"/>
        <v>0</v>
      </c>
      <c r="DL127" s="117">
        <f t="shared" si="177"/>
        <v>0</v>
      </c>
      <c r="DM127" s="117">
        <f t="shared" si="178"/>
        <v>0</v>
      </c>
      <c r="DN127" s="117">
        <f t="shared" si="179"/>
        <v>0</v>
      </c>
      <c r="DO127" s="117">
        <f t="shared" si="180"/>
        <v>0</v>
      </c>
      <c r="DP127" s="117">
        <f t="shared" si="181"/>
        <v>0</v>
      </c>
      <c r="DQ127" s="117">
        <f t="shared" si="182"/>
        <v>0</v>
      </c>
      <c r="DR127" s="117">
        <f t="shared" si="183"/>
        <v>0</v>
      </c>
      <c r="DS127" s="117">
        <f t="shared" si="184"/>
        <v>0</v>
      </c>
      <c r="DT127" s="117">
        <f t="shared" si="185"/>
        <v>0</v>
      </c>
      <c r="DU127" s="117">
        <f t="shared" si="186"/>
        <v>0</v>
      </c>
      <c r="DV127" s="117">
        <f t="shared" si="187"/>
        <v>0</v>
      </c>
      <c r="DW127" s="117">
        <f t="shared" si="188"/>
        <v>0</v>
      </c>
      <c r="DX127" s="117">
        <f t="shared" si="189"/>
        <v>0</v>
      </c>
      <c r="DY127" s="117">
        <f t="shared" si="190"/>
        <v>0</v>
      </c>
      <c r="DZ127" s="117">
        <f t="shared" si="191"/>
        <v>0</v>
      </c>
      <c r="EA127" s="117">
        <f t="shared" si="192"/>
        <v>0</v>
      </c>
      <c r="EB127" s="117">
        <f t="shared" si="193"/>
        <v>0</v>
      </c>
      <c r="EC127" s="117">
        <f t="shared" si="194"/>
        <v>0</v>
      </c>
      <c r="ED127" s="117">
        <f t="shared" si="195"/>
        <v>0</v>
      </c>
      <c r="EE127" s="117">
        <f t="shared" si="196"/>
        <v>0</v>
      </c>
      <c r="EF127" s="117">
        <f t="shared" si="197"/>
        <v>0</v>
      </c>
      <c r="EG127" s="117">
        <f t="shared" si="198"/>
        <v>0</v>
      </c>
      <c r="EH127" s="117">
        <f t="shared" si="199"/>
        <v>0</v>
      </c>
      <c r="EI127" s="117">
        <f t="shared" si="200"/>
        <v>0</v>
      </c>
      <c r="EJ127" s="117">
        <f t="shared" si="201"/>
        <v>0</v>
      </c>
      <c r="EK127" s="117">
        <f t="shared" si="202"/>
        <v>0</v>
      </c>
      <c r="EL127" s="117">
        <f t="shared" si="203"/>
        <v>0</v>
      </c>
      <c r="EM127" s="117">
        <f t="shared" si="204"/>
        <v>0</v>
      </c>
      <c r="EN127" s="117">
        <f t="shared" si="205"/>
        <v>0</v>
      </c>
      <c r="EO127" s="117">
        <f t="shared" si="206"/>
        <v>0</v>
      </c>
      <c r="EP127" s="117">
        <f t="shared" si="207"/>
        <v>0</v>
      </c>
      <c r="EQ127" s="117">
        <f t="shared" si="208"/>
        <v>0</v>
      </c>
      <c r="ER127" s="117">
        <f t="shared" si="209"/>
        <v>0</v>
      </c>
      <c r="ES127" s="117">
        <f t="shared" si="210"/>
        <v>0</v>
      </c>
      <c r="ET127" s="176">
        <f t="shared" si="211"/>
        <v>0</v>
      </c>
      <c r="EU127" s="71"/>
      <c r="EV127" s="116">
        <f t="shared" si="212"/>
        <v>4788.9502027256804</v>
      </c>
      <c r="EW127" s="117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7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7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7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7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7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7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7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7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7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7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7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7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7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7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7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7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7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7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7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7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7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7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7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7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7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7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7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7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7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7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7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7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7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7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7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7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7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7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7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6">
        <f t="shared" ca="1" si="213"/>
        <v>0</v>
      </c>
    </row>
    <row r="128" spans="109:193">
      <c r="DE128" s="116">
        <f t="shared" si="170"/>
        <v>5028.3977128619645</v>
      </c>
      <c r="DF128" s="117">
        <f t="shared" si="171"/>
        <v>0</v>
      </c>
      <c r="DG128" s="117">
        <f t="shared" si="172"/>
        <v>0</v>
      </c>
      <c r="DH128" s="117">
        <f t="shared" si="173"/>
        <v>0</v>
      </c>
      <c r="DI128" s="117">
        <f t="shared" si="174"/>
        <v>0</v>
      </c>
      <c r="DJ128" s="117">
        <f t="shared" si="175"/>
        <v>0</v>
      </c>
      <c r="DK128" s="117">
        <f t="shared" si="176"/>
        <v>0</v>
      </c>
      <c r="DL128" s="117">
        <f t="shared" si="177"/>
        <v>0</v>
      </c>
      <c r="DM128" s="117">
        <f t="shared" si="178"/>
        <v>0</v>
      </c>
      <c r="DN128" s="117">
        <f t="shared" si="179"/>
        <v>0</v>
      </c>
      <c r="DO128" s="117">
        <f t="shared" si="180"/>
        <v>0</v>
      </c>
      <c r="DP128" s="117">
        <f t="shared" si="181"/>
        <v>0</v>
      </c>
      <c r="DQ128" s="117">
        <f t="shared" si="182"/>
        <v>0</v>
      </c>
      <c r="DR128" s="117">
        <f t="shared" si="183"/>
        <v>0</v>
      </c>
      <c r="DS128" s="117">
        <f t="shared" si="184"/>
        <v>0</v>
      </c>
      <c r="DT128" s="117">
        <f t="shared" si="185"/>
        <v>0</v>
      </c>
      <c r="DU128" s="117">
        <f t="shared" si="186"/>
        <v>0</v>
      </c>
      <c r="DV128" s="117">
        <f t="shared" si="187"/>
        <v>0</v>
      </c>
      <c r="DW128" s="117">
        <f t="shared" si="188"/>
        <v>0</v>
      </c>
      <c r="DX128" s="117">
        <f t="shared" si="189"/>
        <v>0</v>
      </c>
      <c r="DY128" s="117">
        <f t="shared" si="190"/>
        <v>0</v>
      </c>
      <c r="DZ128" s="117">
        <f t="shared" si="191"/>
        <v>0</v>
      </c>
      <c r="EA128" s="117">
        <f t="shared" si="192"/>
        <v>0</v>
      </c>
      <c r="EB128" s="117">
        <f t="shared" si="193"/>
        <v>0</v>
      </c>
      <c r="EC128" s="117">
        <f t="shared" si="194"/>
        <v>0</v>
      </c>
      <c r="ED128" s="117">
        <f t="shared" si="195"/>
        <v>0</v>
      </c>
      <c r="EE128" s="117">
        <f t="shared" si="196"/>
        <v>0</v>
      </c>
      <c r="EF128" s="117">
        <f t="shared" si="197"/>
        <v>0</v>
      </c>
      <c r="EG128" s="117">
        <f t="shared" si="198"/>
        <v>0</v>
      </c>
      <c r="EH128" s="117">
        <f t="shared" si="199"/>
        <v>0</v>
      </c>
      <c r="EI128" s="117">
        <f t="shared" si="200"/>
        <v>0</v>
      </c>
      <c r="EJ128" s="117">
        <f t="shared" si="201"/>
        <v>0</v>
      </c>
      <c r="EK128" s="117">
        <f t="shared" si="202"/>
        <v>0</v>
      </c>
      <c r="EL128" s="117">
        <f t="shared" si="203"/>
        <v>0</v>
      </c>
      <c r="EM128" s="117">
        <f t="shared" si="204"/>
        <v>0</v>
      </c>
      <c r="EN128" s="117">
        <f t="shared" si="205"/>
        <v>0</v>
      </c>
      <c r="EO128" s="117">
        <f t="shared" si="206"/>
        <v>0</v>
      </c>
      <c r="EP128" s="117">
        <f t="shared" si="207"/>
        <v>0</v>
      </c>
      <c r="EQ128" s="117">
        <f t="shared" si="208"/>
        <v>0</v>
      </c>
      <c r="ER128" s="117">
        <f t="shared" si="209"/>
        <v>0</v>
      </c>
      <c r="ES128" s="117">
        <f t="shared" si="210"/>
        <v>0</v>
      </c>
      <c r="ET128" s="176">
        <f t="shared" si="211"/>
        <v>0</v>
      </c>
      <c r="EU128" s="71"/>
      <c r="EV128" s="116">
        <f t="shared" si="212"/>
        <v>5028.3977128619645</v>
      </c>
      <c r="EW128" s="117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7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7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7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7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7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7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7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7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7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7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7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7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7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7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7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7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7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7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7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7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7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7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7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7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7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7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7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7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7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7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7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7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7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7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7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7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7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7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7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6">
        <f t="shared" ca="1" si="213"/>
        <v>0</v>
      </c>
    </row>
    <row r="129" spans="109:193">
      <c r="DE129" s="116">
        <f t="shared" si="170"/>
        <v>5279.817598505063</v>
      </c>
      <c r="DF129" s="117">
        <f t="shared" si="171"/>
        <v>0</v>
      </c>
      <c r="DG129" s="117">
        <f t="shared" si="172"/>
        <v>0</v>
      </c>
      <c r="DH129" s="117">
        <f t="shared" si="173"/>
        <v>0</v>
      </c>
      <c r="DI129" s="117">
        <f t="shared" si="174"/>
        <v>0</v>
      </c>
      <c r="DJ129" s="117">
        <f t="shared" si="175"/>
        <v>0</v>
      </c>
      <c r="DK129" s="117">
        <f t="shared" si="176"/>
        <v>0</v>
      </c>
      <c r="DL129" s="117">
        <f t="shared" si="177"/>
        <v>0</v>
      </c>
      <c r="DM129" s="117">
        <f t="shared" si="178"/>
        <v>0</v>
      </c>
      <c r="DN129" s="117">
        <f t="shared" si="179"/>
        <v>0</v>
      </c>
      <c r="DO129" s="117">
        <f t="shared" si="180"/>
        <v>0</v>
      </c>
      <c r="DP129" s="117">
        <f t="shared" si="181"/>
        <v>0</v>
      </c>
      <c r="DQ129" s="117">
        <f t="shared" si="182"/>
        <v>0</v>
      </c>
      <c r="DR129" s="117">
        <f t="shared" si="183"/>
        <v>0</v>
      </c>
      <c r="DS129" s="117">
        <f t="shared" si="184"/>
        <v>0</v>
      </c>
      <c r="DT129" s="117">
        <f t="shared" si="185"/>
        <v>0</v>
      </c>
      <c r="DU129" s="117">
        <f t="shared" si="186"/>
        <v>0</v>
      </c>
      <c r="DV129" s="117">
        <f t="shared" si="187"/>
        <v>0</v>
      </c>
      <c r="DW129" s="117">
        <f t="shared" si="188"/>
        <v>0</v>
      </c>
      <c r="DX129" s="117">
        <f t="shared" si="189"/>
        <v>0</v>
      </c>
      <c r="DY129" s="117">
        <f t="shared" si="190"/>
        <v>0</v>
      </c>
      <c r="DZ129" s="117">
        <f t="shared" si="191"/>
        <v>0</v>
      </c>
      <c r="EA129" s="117">
        <f t="shared" si="192"/>
        <v>0</v>
      </c>
      <c r="EB129" s="117">
        <f t="shared" si="193"/>
        <v>0</v>
      </c>
      <c r="EC129" s="117">
        <f t="shared" si="194"/>
        <v>0</v>
      </c>
      <c r="ED129" s="117">
        <f t="shared" si="195"/>
        <v>0</v>
      </c>
      <c r="EE129" s="117">
        <f t="shared" si="196"/>
        <v>0</v>
      </c>
      <c r="EF129" s="117">
        <f t="shared" si="197"/>
        <v>0</v>
      </c>
      <c r="EG129" s="117">
        <f t="shared" si="198"/>
        <v>0</v>
      </c>
      <c r="EH129" s="117">
        <f t="shared" si="199"/>
        <v>0</v>
      </c>
      <c r="EI129" s="117">
        <f t="shared" si="200"/>
        <v>0</v>
      </c>
      <c r="EJ129" s="117">
        <f t="shared" si="201"/>
        <v>0</v>
      </c>
      <c r="EK129" s="117">
        <f t="shared" si="202"/>
        <v>0</v>
      </c>
      <c r="EL129" s="117">
        <f t="shared" si="203"/>
        <v>0</v>
      </c>
      <c r="EM129" s="117">
        <f t="shared" si="204"/>
        <v>0</v>
      </c>
      <c r="EN129" s="117">
        <f t="shared" si="205"/>
        <v>0</v>
      </c>
      <c r="EO129" s="117">
        <f t="shared" si="206"/>
        <v>0</v>
      </c>
      <c r="EP129" s="117">
        <f t="shared" si="207"/>
        <v>0</v>
      </c>
      <c r="EQ129" s="117">
        <f t="shared" si="208"/>
        <v>0</v>
      </c>
      <c r="ER129" s="117">
        <f t="shared" si="209"/>
        <v>0</v>
      </c>
      <c r="ES129" s="117">
        <f t="shared" si="210"/>
        <v>0</v>
      </c>
      <c r="ET129" s="176">
        <f t="shared" si="211"/>
        <v>0</v>
      </c>
      <c r="EU129" s="71"/>
      <c r="EV129" s="116">
        <f t="shared" si="212"/>
        <v>5279.817598505063</v>
      </c>
      <c r="EW129" s="117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7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7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7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7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7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7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7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7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7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7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7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7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7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7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7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7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7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7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7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7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7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7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7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7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7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7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7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7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7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7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7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7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7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7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7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7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7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7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7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6">
        <f t="shared" ca="1" si="213"/>
        <v>0</v>
      </c>
    </row>
    <row r="130" spans="109:193">
      <c r="DE130" s="116">
        <f t="shared" si="170"/>
        <v>5543.8084784303164</v>
      </c>
      <c r="DF130" s="117">
        <f t="shared" si="171"/>
        <v>0</v>
      </c>
      <c r="DG130" s="117">
        <f t="shared" si="172"/>
        <v>0</v>
      </c>
      <c r="DH130" s="117">
        <f t="shared" si="173"/>
        <v>0</v>
      </c>
      <c r="DI130" s="117">
        <f t="shared" si="174"/>
        <v>0</v>
      </c>
      <c r="DJ130" s="117">
        <f t="shared" si="175"/>
        <v>0</v>
      </c>
      <c r="DK130" s="117">
        <f t="shared" si="176"/>
        <v>0</v>
      </c>
      <c r="DL130" s="117">
        <f t="shared" si="177"/>
        <v>0</v>
      </c>
      <c r="DM130" s="117">
        <f t="shared" si="178"/>
        <v>0</v>
      </c>
      <c r="DN130" s="117">
        <f t="shared" si="179"/>
        <v>0</v>
      </c>
      <c r="DO130" s="117">
        <f t="shared" si="180"/>
        <v>0</v>
      </c>
      <c r="DP130" s="117">
        <f t="shared" si="181"/>
        <v>0</v>
      </c>
      <c r="DQ130" s="117">
        <f t="shared" si="182"/>
        <v>0</v>
      </c>
      <c r="DR130" s="117">
        <f t="shared" si="183"/>
        <v>0</v>
      </c>
      <c r="DS130" s="117">
        <f t="shared" si="184"/>
        <v>0</v>
      </c>
      <c r="DT130" s="117">
        <f t="shared" si="185"/>
        <v>0</v>
      </c>
      <c r="DU130" s="117">
        <f t="shared" si="186"/>
        <v>0</v>
      </c>
      <c r="DV130" s="117">
        <f t="shared" si="187"/>
        <v>0</v>
      </c>
      <c r="DW130" s="117">
        <f t="shared" si="188"/>
        <v>0</v>
      </c>
      <c r="DX130" s="117">
        <f t="shared" si="189"/>
        <v>0</v>
      </c>
      <c r="DY130" s="117">
        <f t="shared" si="190"/>
        <v>0</v>
      </c>
      <c r="DZ130" s="117">
        <f t="shared" si="191"/>
        <v>0</v>
      </c>
      <c r="EA130" s="117">
        <f t="shared" si="192"/>
        <v>0</v>
      </c>
      <c r="EB130" s="117">
        <f t="shared" si="193"/>
        <v>0</v>
      </c>
      <c r="EC130" s="117">
        <f t="shared" si="194"/>
        <v>0</v>
      </c>
      <c r="ED130" s="117">
        <f t="shared" si="195"/>
        <v>0</v>
      </c>
      <c r="EE130" s="117">
        <f t="shared" si="196"/>
        <v>0</v>
      </c>
      <c r="EF130" s="117">
        <f t="shared" si="197"/>
        <v>0</v>
      </c>
      <c r="EG130" s="117">
        <f t="shared" si="198"/>
        <v>0</v>
      </c>
      <c r="EH130" s="117">
        <f t="shared" si="199"/>
        <v>0</v>
      </c>
      <c r="EI130" s="117">
        <f t="shared" si="200"/>
        <v>0</v>
      </c>
      <c r="EJ130" s="117">
        <f t="shared" si="201"/>
        <v>0</v>
      </c>
      <c r="EK130" s="117">
        <f t="shared" si="202"/>
        <v>0</v>
      </c>
      <c r="EL130" s="117">
        <f t="shared" si="203"/>
        <v>0</v>
      </c>
      <c r="EM130" s="117">
        <f t="shared" si="204"/>
        <v>0</v>
      </c>
      <c r="EN130" s="117">
        <f t="shared" si="205"/>
        <v>0</v>
      </c>
      <c r="EO130" s="117">
        <f t="shared" si="206"/>
        <v>0</v>
      </c>
      <c r="EP130" s="117">
        <f t="shared" si="207"/>
        <v>0</v>
      </c>
      <c r="EQ130" s="117">
        <f t="shared" si="208"/>
        <v>0</v>
      </c>
      <c r="ER130" s="117">
        <f t="shared" si="209"/>
        <v>0</v>
      </c>
      <c r="ES130" s="117">
        <f t="shared" si="210"/>
        <v>0</v>
      </c>
      <c r="ET130" s="176">
        <f t="shared" si="211"/>
        <v>0</v>
      </c>
      <c r="EU130" s="71"/>
      <c r="EV130" s="116">
        <f t="shared" si="212"/>
        <v>5543.8084784303164</v>
      </c>
      <c r="EW130" s="117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7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7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7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7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7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7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7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7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7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7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7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7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7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7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7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7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7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7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7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7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7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7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7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7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7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7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7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7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7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7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7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7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7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7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7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7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7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7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7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6">
        <f t="shared" ca="1" si="213"/>
        <v>0</v>
      </c>
    </row>
    <row r="131" spans="109:193">
      <c r="DE131" s="116">
        <f t="shared" si="170"/>
        <v>5820.9989023518328</v>
      </c>
      <c r="DF131" s="117">
        <f t="shared" si="171"/>
        <v>0</v>
      </c>
      <c r="DG131" s="117">
        <f t="shared" si="172"/>
        <v>0</v>
      </c>
      <c r="DH131" s="117">
        <f t="shared" si="173"/>
        <v>0</v>
      </c>
      <c r="DI131" s="117">
        <f t="shared" si="174"/>
        <v>0</v>
      </c>
      <c r="DJ131" s="117">
        <f t="shared" si="175"/>
        <v>0</v>
      </c>
      <c r="DK131" s="117">
        <f t="shared" si="176"/>
        <v>0</v>
      </c>
      <c r="DL131" s="117">
        <f t="shared" si="177"/>
        <v>0</v>
      </c>
      <c r="DM131" s="117">
        <f t="shared" si="178"/>
        <v>0</v>
      </c>
      <c r="DN131" s="117">
        <f t="shared" si="179"/>
        <v>0</v>
      </c>
      <c r="DO131" s="117">
        <f t="shared" si="180"/>
        <v>0</v>
      </c>
      <c r="DP131" s="117">
        <f t="shared" si="181"/>
        <v>0</v>
      </c>
      <c r="DQ131" s="117">
        <f t="shared" si="182"/>
        <v>0</v>
      </c>
      <c r="DR131" s="117">
        <f t="shared" si="183"/>
        <v>0</v>
      </c>
      <c r="DS131" s="117">
        <f t="shared" si="184"/>
        <v>0</v>
      </c>
      <c r="DT131" s="117">
        <f t="shared" si="185"/>
        <v>0</v>
      </c>
      <c r="DU131" s="117">
        <f t="shared" si="186"/>
        <v>0</v>
      </c>
      <c r="DV131" s="117">
        <f t="shared" si="187"/>
        <v>0</v>
      </c>
      <c r="DW131" s="117">
        <f t="shared" si="188"/>
        <v>0</v>
      </c>
      <c r="DX131" s="117">
        <f t="shared" si="189"/>
        <v>0</v>
      </c>
      <c r="DY131" s="117">
        <f t="shared" si="190"/>
        <v>0</v>
      </c>
      <c r="DZ131" s="117">
        <f t="shared" si="191"/>
        <v>0</v>
      </c>
      <c r="EA131" s="117">
        <f t="shared" si="192"/>
        <v>0</v>
      </c>
      <c r="EB131" s="117">
        <f t="shared" si="193"/>
        <v>0</v>
      </c>
      <c r="EC131" s="117">
        <f t="shared" si="194"/>
        <v>0</v>
      </c>
      <c r="ED131" s="117">
        <f t="shared" si="195"/>
        <v>0</v>
      </c>
      <c r="EE131" s="117">
        <f t="shared" si="196"/>
        <v>0</v>
      </c>
      <c r="EF131" s="117">
        <f t="shared" si="197"/>
        <v>0</v>
      </c>
      <c r="EG131" s="117">
        <f t="shared" si="198"/>
        <v>0</v>
      </c>
      <c r="EH131" s="117">
        <f t="shared" si="199"/>
        <v>0</v>
      </c>
      <c r="EI131" s="117">
        <f t="shared" si="200"/>
        <v>0</v>
      </c>
      <c r="EJ131" s="117">
        <f t="shared" si="201"/>
        <v>0</v>
      </c>
      <c r="EK131" s="117">
        <f t="shared" si="202"/>
        <v>0</v>
      </c>
      <c r="EL131" s="117">
        <f t="shared" si="203"/>
        <v>0</v>
      </c>
      <c r="EM131" s="117">
        <f t="shared" si="204"/>
        <v>0</v>
      </c>
      <c r="EN131" s="117">
        <f t="shared" si="205"/>
        <v>0</v>
      </c>
      <c r="EO131" s="117">
        <f t="shared" si="206"/>
        <v>0</v>
      </c>
      <c r="EP131" s="117">
        <f t="shared" si="207"/>
        <v>0</v>
      </c>
      <c r="EQ131" s="117">
        <f t="shared" si="208"/>
        <v>0</v>
      </c>
      <c r="ER131" s="117">
        <f t="shared" si="209"/>
        <v>0</v>
      </c>
      <c r="ES131" s="117">
        <f t="shared" si="210"/>
        <v>0</v>
      </c>
      <c r="ET131" s="176">
        <f t="shared" si="211"/>
        <v>0</v>
      </c>
      <c r="EU131" s="71"/>
      <c r="EV131" s="116">
        <f t="shared" si="212"/>
        <v>5820.9989023518328</v>
      </c>
      <c r="EW131" s="117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7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7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7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7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7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7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7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7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7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7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7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7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7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7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7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7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7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7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7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7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7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7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7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7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7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7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7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7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7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7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7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7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7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7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7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7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7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7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7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6">
        <f t="shared" ca="1" si="213"/>
        <v>0</v>
      </c>
    </row>
    <row r="132" spans="109:193">
      <c r="DE132" s="116">
        <f t="shared" si="170"/>
        <v>6112.0488474694248</v>
      </c>
      <c r="DF132" s="117">
        <f t="shared" si="171"/>
        <v>0</v>
      </c>
      <c r="DG132" s="117">
        <f t="shared" si="172"/>
        <v>0</v>
      </c>
      <c r="DH132" s="117">
        <f t="shared" si="173"/>
        <v>0</v>
      </c>
      <c r="DI132" s="117">
        <f t="shared" si="174"/>
        <v>0</v>
      </c>
      <c r="DJ132" s="117">
        <f t="shared" si="175"/>
        <v>0</v>
      </c>
      <c r="DK132" s="117">
        <f t="shared" si="176"/>
        <v>0</v>
      </c>
      <c r="DL132" s="117">
        <f t="shared" si="177"/>
        <v>0</v>
      </c>
      <c r="DM132" s="117">
        <f t="shared" si="178"/>
        <v>0</v>
      </c>
      <c r="DN132" s="117">
        <f t="shared" si="179"/>
        <v>0</v>
      </c>
      <c r="DO132" s="117">
        <f t="shared" si="180"/>
        <v>0</v>
      </c>
      <c r="DP132" s="117">
        <f t="shared" si="181"/>
        <v>0</v>
      </c>
      <c r="DQ132" s="117">
        <f t="shared" si="182"/>
        <v>0</v>
      </c>
      <c r="DR132" s="117">
        <f t="shared" si="183"/>
        <v>0</v>
      </c>
      <c r="DS132" s="117">
        <f t="shared" si="184"/>
        <v>0</v>
      </c>
      <c r="DT132" s="117">
        <f t="shared" si="185"/>
        <v>0</v>
      </c>
      <c r="DU132" s="117">
        <f t="shared" si="186"/>
        <v>0</v>
      </c>
      <c r="DV132" s="117">
        <f t="shared" si="187"/>
        <v>0</v>
      </c>
      <c r="DW132" s="117">
        <f t="shared" si="188"/>
        <v>0</v>
      </c>
      <c r="DX132" s="117">
        <f t="shared" si="189"/>
        <v>0</v>
      </c>
      <c r="DY132" s="117">
        <f t="shared" si="190"/>
        <v>0</v>
      </c>
      <c r="DZ132" s="117">
        <f t="shared" si="191"/>
        <v>0</v>
      </c>
      <c r="EA132" s="117">
        <f t="shared" si="192"/>
        <v>0</v>
      </c>
      <c r="EB132" s="117">
        <f t="shared" si="193"/>
        <v>0</v>
      </c>
      <c r="EC132" s="117">
        <f t="shared" si="194"/>
        <v>0</v>
      </c>
      <c r="ED132" s="117">
        <f t="shared" si="195"/>
        <v>0</v>
      </c>
      <c r="EE132" s="117">
        <f t="shared" si="196"/>
        <v>0</v>
      </c>
      <c r="EF132" s="117">
        <f t="shared" si="197"/>
        <v>0</v>
      </c>
      <c r="EG132" s="117">
        <f t="shared" si="198"/>
        <v>0</v>
      </c>
      <c r="EH132" s="117">
        <f t="shared" si="199"/>
        <v>0</v>
      </c>
      <c r="EI132" s="117">
        <f t="shared" si="200"/>
        <v>0</v>
      </c>
      <c r="EJ132" s="117">
        <f t="shared" si="201"/>
        <v>0</v>
      </c>
      <c r="EK132" s="117">
        <f t="shared" si="202"/>
        <v>0</v>
      </c>
      <c r="EL132" s="117">
        <f t="shared" si="203"/>
        <v>0</v>
      </c>
      <c r="EM132" s="117">
        <f t="shared" si="204"/>
        <v>0</v>
      </c>
      <c r="EN132" s="117">
        <f t="shared" si="205"/>
        <v>0</v>
      </c>
      <c r="EO132" s="117">
        <f t="shared" si="206"/>
        <v>0</v>
      </c>
      <c r="EP132" s="117">
        <f t="shared" si="207"/>
        <v>0</v>
      </c>
      <c r="EQ132" s="117">
        <f t="shared" si="208"/>
        <v>0</v>
      </c>
      <c r="ER132" s="117">
        <f t="shared" si="209"/>
        <v>0</v>
      </c>
      <c r="ES132" s="117">
        <f t="shared" si="210"/>
        <v>0</v>
      </c>
      <c r="ET132" s="176">
        <f t="shared" si="211"/>
        <v>0</v>
      </c>
      <c r="EU132" s="71"/>
      <c r="EV132" s="116">
        <f t="shared" si="212"/>
        <v>6112.0488474694248</v>
      </c>
      <c r="EW132" s="117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7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7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7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7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7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7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7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7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7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7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7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7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7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7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7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7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7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7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7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7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7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7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7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7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7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7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7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7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7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7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7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7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7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7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7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7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7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7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7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6">
        <f t="shared" ca="1" si="213"/>
        <v>0</v>
      </c>
    </row>
    <row r="133" spans="109:193">
      <c r="DE133" s="116">
        <f t="shared" si="170"/>
        <v>6417.6512898428964</v>
      </c>
      <c r="DF133" s="117">
        <f t="shared" si="171"/>
        <v>0</v>
      </c>
      <c r="DG133" s="117">
        <f t="shared" si="172"/>
        <v>0</v>
      </c>
      <c r="DH133" s="117">
        <f t="shared" si="173"/>
        <v>0</v>
      </c>
      <c r="DI133" s="117">
        <f t="shared" si="174"/>
        <v>0</v>
      </c>
      <c r="DJ133" s="117">
        <f t="shared" si="175"/>
        <v>0</v>
      </c>
      <c r="DK133" s="117">
        <f t="shared" si="176"/>
        <v>0</v>
      </c>
      <c r="DL133" s="117">
        <f t="shared" si="177"/>
        <v>0</v>
      </c>
      <c r="DM133" s="117">
        <f t="shared" si="178"/>
        <v>0</v>
      </c>
      <c r="DN133" s="117">
        <f t="shared" si="179"/>
        <v>0</v>
      </c>
      <c r="DO133" s="117">
        <f t="shared" si="180"/>
        <v>0</v>
      </c>
      <c r="DP133" s="117">
        <f t="shared" si="181"/>
        <v>0</v>
      </c>
      <c r="DQ133" s="117">
        <f t="shared" si="182"/>
        <v>0</v>
      </c>
      <c r="DR133" s="117">
        <f t="shared" si="183"/>
        <v>0</v>
      </c>
      <c r="DS133" s="117">
        <f t="shared" si="184"/>
        <v>0</v>
      </c>
      <c r="DT133" s="117">
        <f t="shared" si="185"/>
        <v>0</v>
      </c>
      <c r="DU133" s="117">
        <f t="shared" si="186"/>
        <v>0</v>
      </c>
      <c r="DV133" s="117">
        <f t="shared" si="187"/>
        <v>0</v>
      </c>
      <c r="DW133" s="117">
        <f t="shared" si="188"/>
        <v>0</v>
      </c>
      <c r="DX133" s="117">
        <f t="shared" si="189"/>
        <v>0</v>
      </c>
      <c r="DY133" s="117">
        <f t="shared" si="190"/>
        <v>0</v>
      </c>
      <c r="DZ133" s="117">
        <f t="shared" si="191"/>
        <v>0</v>
      </c>
      <c r="EA133" s="117">
        <f t="shared" si="192"/>
        <v>0</v>
      </c>
      <c r="EB133" s="117">
        <f t="shared" si="193"/>
        <v>0</v>
      </c>
      <c r="EC133" s="117">
        <f t="shared" si="194"/>
        <v>0</v>
      </c>
      <c r="ED133" s="117">
        <f t="shared" si="195"/>
        <v>0</v>
      </c>
      <c r="EE133" s="117">
        <f t="shared" si="196"/>
        <v>0</v>
      </c>
      <c r="EF133" s="117">
        <f t="shared" si="197"/>
        <v>0</v>
      </c>
      <c r="EG133" s="117">
        <f t="shared" si="198"/>
        <v>0</v>
      </c>
      <c r="EH133" s="117">
        <f t="shared" si="199"/>
        <v>0</v>
      </c>
      <c r="EI133" s="117">
        <f t="shared" si="200"/>
        <v>0</v>
      </c>
      <c r="EJ133" s="117">
        <f t="shared" si="201"/>
        <v>0</v>
      </c>
      <c r="EK133" s="117">
        <f t="shared" si="202"/>
        <v>0</v>
      </c>
      <c r="EL133" s="117">
        <f t="shared" si="203"/>
        <v>0</v>
      </c>
      <c r="EM133" s="117">
        <f t="shared" si="204"/>
        <v>0</v>
      </c>
      <c r="EN133" s="117">
        <f t="shared" si="205"/>
        <v>0</v>
      </c>
      <c r="EO133" s="117">
        <f t="shared" si="206"/>
        <v>0</v>
      </c>
      <c r="EP133" s="117">
        <f t="shared" si="207"/>
        <v>0</v>
      </c>
      <c r="EQ133" s="117">
        <f t="shared" si="208"/>
        <v>0</v>
      </c>
      <c r="ER133" s="117">
        <f t="shared" si="209"/>
        <v>0</v>
      </c>
      <c r="ES133" s="117">
        <f t="shared" si="210"/>
        <v>0</v>
      </c>
      <c r="ET133" s="176">
        <f t="shared" si="211"/>
        <v>0</v>
      </c>
      <c r="EU133" s="71"/>
      <c r="EV133" s="116">
        <f t="shared" si="212"/>
        <v>6417.6512898428964</v>
      </c>
      <c r="EW133" s="117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7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7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7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7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7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7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7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7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7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7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7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7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7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7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7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7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7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7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7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7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7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7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7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7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7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7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7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7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7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7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7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7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7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7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7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7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7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7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7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6">
        <f t="shared" ca="1" si="213"/>
        <v>0</v>
      </c>
    </row>
    <row r="134" spans="109:193">
      <c r="DE134" s="166">
        <f t="shared" si="170"/>
        <v>6738.5338543350417</v>
      </c>
      <c r="DF134" s="167">
        <f t="shared" si="171"/>
        <v>0</v>
      </c>
      <c r="DG134" s="167">
        <f t="shared" si="172"/>
        <v>0</v>
      </c>
      <c r="DH134" s="167">
        <f t="shared" si="173"/>
        <v>0</v>
      </c>
      <c r="DI134" s="167">
        <f t="shared" si="174"/>
        <v>0</v>
      </c>
      <c r="DJ134" s="167">
        <f t="shared" si="175"/>
        <v>0</v>
      </c>
      <c r="DK134" s="167">
        <f t="shared" si="176"/>
        <v>0</v>
      </c>
      <c r="DL134" s="167">
        <f t="shared" si="177"/>
        <v>0</v>
      </c>
      <c r="DM134" s="167">
        <f t="shared" si="178"/>
        <v>0</v>
      </c>
      <c r="DN134" s="167">
        <f t="shared" si="179"/>
        <v>0</v>
      </c>
      <c r="DO134" s="167">
        <f t="shared" si="180"/>
        <v>0</v>
      </c>
      <c r="DP134" s="167">
        <f t="shared" si="181"/>
        <v>0</v>
      </c>
      <c r="DQ134" s="167">
        <f t="shared" si="182"/>
        <v>0</v>
      </c>
      <c r="DR134" s="167">
        <f t="shared" si="183"/>
        <v>0</v>
      </c>
      <c r="DS134" s="167">
        <f t="shared" si="184"/>
        <v>0</v>
      </c>
      <c r="DT134" s="167">
        <f t="shared" si="185"/>
        <v>0</v>
      </c>
      <c r="DU134" s="167">
        <f t="shared" si="186"/>
        <v>0</v>
      </c>
      <c r="DV134" s="167">
        <f t="shared" si="187"/>
        <v>0</v>
      </c>
      <c r="DW134" s="167">
        <f t="shared" si="188"/>
        <v>0</v>
      </c>
      <c r="DX134" s="167">
        <f t="shared" si="189"/>
        <v>0</v>
      </c>
      <c r="DY134" s="167">
        <f t="shared" si="190"/>
        <v>0</v>
      </c>
      <c r="DZ134" s="167">
        <f t="shared" si="191"/>
        <v>0</v>
      </c>
      <c r="EA134" s="167">
        <f t="shared" si="192"/>
        <v>0</v>
      </c>
      <c r="EB134" s="167">
        <f t="shared" si="193"/>
        <v>0</v>
      </c>
      <c r="EC134" s="167">
        <f t="shared" si="194"/>
        <v>0</v>
      </c>
      <c r="ED134" s="167">
        <f t="shared" si="195"/>
        <v>0</v>
      </c>
      <c r="EE134" s="167">
        <f t="shared" si="196"/>
        <v>0</v>
      </c>
      <c r="EF134" s="167">
        <f t="shared" si="197"/>
        <v>0</v>
      </c>
      <c r="EG134" s="167">
        <f t="shared" si="198"/>
        <v>0</v>
      </c>
      <c r="EH134" s="167">
        <f t="shared" si="199"/>
        <v>0</v>
      </c>
      <c r="EI134" s="167">
        <f t="shared" si="200"/>
        <v>0</v>
      </c>
      <c r="EJ134" s="167">
        <f t="shared" si="201"/>
        <v>0</v>
      </c>
      <c r="EK134" s="167">
        <f t="shared" si="202"/>
        <v>0</v>
      </c>
      <c r="EL134" s="167">
        <f t="shared" si="203"/>
        <v>0</v>
      </c>
      <c r="EM134" s="167">
        <f t="shared" si="204"/>
        <v>0</v>
      </c>
      <c r="EN134" s="167">
        <f t="shared" si="205"/>
        <v>0</v>
      </c>
      <c r="EO134" s="167">
        <f t="shared" si="206"/>
        <v>0</v>
      </c>
      <c r="EP134" s="167">
        <f t="shared" si="207"/>
        <v>0</v>
      </c>
      <c r="EQ134" s="167">
        <f t="shared" si="208"/>
        <v>0</v>
      </c>
      <c r="ER134" s="167">
        <f t="shared" si="209"/>
        <v>0</v>
      </c>
      <c r="ES134" s="167">
        <f t="shared" si="210"/>
        <v>0</v>
      </c>
      <c r="ET134" s="190">
        <f t="shared" si="211"/>
        <v>0</v>
      </c>
      <c r="EU134" s="71"/>
      <c r="EV134" s="166">
        <f t="shared" si="212"/>
        <v>6738.5338543350417</v>
      </c>
      <c r="EW134" s="167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7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7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7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7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7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7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7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7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7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7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7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7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7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7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7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7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7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7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7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7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7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7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7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7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7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7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7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7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7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7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7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7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7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7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7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7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7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7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7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0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C25" sqref="C2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 t="s">
        <v>335</v>
      </c>
      <c r="D2" s="20"/>
      <c r="E2" s="19" t="s">
        <v>335</v>
      </c>
      <c r="F2" s="20"/>
      <c r="G2" s="19" t="s">
        <v>13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 t="s">
        <v>336</v>
      </c>
      <c r="D3" s="20"/>
      <c r="E3" s="19" t="s">
        <v>336</v>
      </c>
      <c r="F3" s="20"/>
      <c r="G3" s="19" t="s">
        <v>2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 t="s">
        <v>574</v>
      </c>
      <c r="D4" s="20"/>
      <c r="E4" s="19" t="s">
        <v>574</v>
      </c>
      <c r="F4" s="20"/>
      <c r="G4" s="19" t="s">
        <v>15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 t="s">
        <v>575</v>
      </c>
      <c r="D5" s="20"/>
      <c r="E5" s="19" t="s">
        <v>575</v>
      </c>
      <c r="F5" s="20"/>
      <c r="G5" s="19" t="s">
        <v>3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 t="s">
        <v>13</v>
      </c>
      <c r="D6" s="20"/>
      <c r="E6" s="19" t="s">
        <v>13</v>
      </c>
      <c r="F6" s="20"/>
      <c r="G6" s="19" t="s">
        <v>14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 t="s">
        <v>2</v>
      </c>
      <c r="D7" s="20"/>
      <c r="E7" s="19" t="s">
        <v>2</v>
      </c>
      <c r="F7" s="20"/>
      <c r="G7" s="19" t="s">
        <v>4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 t="s">
        <v>15</v>
      </c>
      <c r="D8" s="20"/>
      <c r="E8" s="19" t="s">
        <v>15</v>
      </c>
      <c r="F8" s="20"/>
      <c r="G8" s="19" t="s">
        <v>16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 t="s">
        <v>3</v>
      </c>
      <c r="D9" s="20"/>
      <c r="E9" s="19" t="s">
        <v>3</v>
      </c>
      <c r="F9" s="20"/>
      <c r="G9" s="19" t="s">
        <v>5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 t="s">
        <v>14</v>
      </c>
      <c r="D10" s="20"/>
      <c r="E10" s="19" t="s">
        <v>14</v>
      </c>
      <c r="F10" s="20"/>
      <c r="G10" s="19" t="s">
        <v>17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376" t="s">
        <v>614</v>
      </c>
      <c r="B11" s="20"/>
      <c r="C11" s="19" t="s">
        <v>4</v>
      </c>
      <c r="D11" s="20"/>
      <c r="E11" s="19" t="s">
        <v>4</v>
      </c>
      <c r="F11" s="20"/>
      <c r="G11" s="19" t="s">
        <v>6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 t="s">
        <v>16</v>
      </c>
      <c r="D12" s="20"/>
      <c r="E12" s="19" t="s">
        <v>16</v>
      </c>
      <c r="F12" s="20"/>
      <c r="G12" s="19" t="s">
        <v>18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 t="s">
        <v>5</v>
      </c>
      <c r="D13" s="20"/>
      <c r="E13" s="19" t="s">
        <v>5</v>
      </c>
      <c r="F13" s="20"/>
      <c r="G13" s="19" t="s">
        <v>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 t="s">
        <v>17</v>
      </c>
      <c r="D14" s="20"/>
      <c r="E14" s="19" t="s">
        <v>17</v>
      </c>
      <c r="F14" s="20"/>
      <c r="G14" s="19" t="s">
        <v>582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 t="s">
        <v>6</v>
      </c>
      <c r="D15" s="20"/>
      <c r="E15" s="19" t="s">
        <v>6</v>
      </c>
      <c r="F15" s="20"/>
      <c r="G15" s="19" t="s">
        <v>583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 t="s">
        <v>18</v>
      </c>
      <c r="D16" s="20"/>
      <c r="E16" s="19" t="s">
        <v>18</v>
      </c>
      <c r="F16" s="20"/>
      <c r="G16" s="19" t="s">
        <v>584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 t="s">
        <v>7</v>
      </c>
      <c r="D17" s="20"/>
      <c r="E17" s="19" t="s">
        <v>7</v>
      </c>
      <c r="F17" s="20"/>
      <c r="G17" s="19" t="s">
        <v>585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 t="s">
        <v>582</v>
      </c>
      <c r="D18" s="20"/>
      <c r="E18" s="19" t="s">
        <v>582</v>
      </c>
      <c r="F18" s="20"/>
      <c r="G18" s="19" t="s">
        <v>586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 t="s">
        <v>676</v>
      </c>
      <c r="D19" s="20"/>
      <c r="E19" s="19" t="s">
        <v>676</v>
      </c>
      <c r="F19" s="20"/>
      <c r="G19" s="19" t="s">
        <v>587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 t="s">
        <v>584</v>
      </c>
      <c r="D20" s="20"/>
      <c r="E20" s="19" t="s">
        <v>584</v>
      </c>
      <c r="F20" s="20"/>
      <c r="G20" s="19" t="s">
        <v>596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376" t="s">
        <v>661</v>
      </c>
      <c r="B21" s="20"/>
      <c r="C21" s="19" t="s">
        <v>585</v>
      </c>
      <c r="D21" s="20"/>
      <c r="E21" s="19" t="s">
        <v>585</v>
      </c>
      <c r="F21" s="20"/>
      <c r="G21" s="19" t="s">
        <v>597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 t="s">
        <v>586</v>
      </c>
      <c r="D22" s="20"/>
      <c r="E22" s="19" t="s">
        <v>586</v>
      </c>
      <c r="F22" s="20"/>
      <c r="G22" s="19" t="s">
        <v>598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 t="s">
        <v>587</v>
      </c>
      <c r="D23" s="20"/>
      <c r="E23" s="19" t="s">
        <v>587</v>
      </c>
      <c r="F23" s="20"/>
      <c r="G23" s="19" t="s">
        <v>599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 t="s">
        <v>596</v>
      </c>
      <c r="D24" s="20"/>
      <c r="E24" s="19" t="s">
        <v>596</v>
      </c>
      <c r="F24" s="20"/>
      <c r="G24" s="19" t="s">
        <v>600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 t="s">
        <v>677</v>
      </c>
      <c r="D25" s="20"/>
      <c r="E25" s="19" t="s">
        <v>677</v>
      </c>
      <c r="F25" s="20"/>
      <c r="G25" s="19" t="s">
        <v>601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730" t="s">
        <v>668</v>
      </c>
      <c r="B26" s="20"/>
      <c r="C26" s="19" t="s">
        <v>598</v>
      </c>
      <c r="D26" s="20"/>
      <c r="E26" s="19" t="s">
        <v>598</v>
      </c>
      <c r="F26" s="20"/>
      <c r="G26" s="41" t="s">
        <v>568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 t="s">
        <v>599</v>
      </c>
      <c r="D27" s="20"/>
      <c r="E27" s="19" t="s">
        <v>599</v>
      </c>
      <c r="F27" s="20"/>
      <c r="G27" s="41" t="s">
        <v>569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 t="s">
        <v>600</v>
      </c>
      <c r="D28" s="20"/>
      <c r="E28" s="19" t="s">
        <v>600</v>
      </c>
      <c r="F28" s="20"/>
      <c r="G28" s="41" t="s">
        <v>570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 t="s">
        <v>601</v>
      </c>
      <c r="D29" s="20"/>
      <c r="E29" s="19" t="s">
        <v>601</v>
      </c>
      <c r="F29" s="20"/>
      <c r="G29" s="41" t="s">
        <v>571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 t="s">
        <v>572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376" t="s">
        <v>673</v>
      </c>
      <c r="B31" s="20"/>
      <c r="C31" s="19"/>
      <c r="D31" s="20"/>
      <c r="E31" s="19" t="s">
        <v>569</v>
      </c>
      <c r="F31" s="20"/>
      <c r="G31" s="41" t="s">
        <v>573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 t="s">
        <v>535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 t="s">
        <v>536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 t="s">
        <v>537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 t="s">
        <v>538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 t="s">
        <v>539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 t="s">
        <v>540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 t="s">
        <v>576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 t="s">
        <v>577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 t="s">
        <v>578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 t="s">
        <v>579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 t="s">
        <v>580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 t="s">
        <v>581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 t="s">
        <v>590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 t="s">
        <v>591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 t="s">
        <v>592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 t="s">
        <v>593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 t="s">
        <v>594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 t="s">
        <v>595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 t="s">
        <v>547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 t="s">
        <v>183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 t="s">
        <v>548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 t="s">
        <v>230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 t="s">
        <v>549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 t="s">
        <v>231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 t="s">
        <v>541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 t="s">
        <v>186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 t="s">
        <v>542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 t="s">
        <v>238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 t="s">
        <v>543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 t="s">
        <v>239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 t="s">
        <v>544</v>
      </c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 t="s">
        <v>184</v>
      </c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 t="s">
        <v>545</v>
      </c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 t="s">
        <v>240</v>
      </c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 t="s">
        <v>546</v>
      </c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 t="s">
        <v>241</v>
      </c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 t="s">
        <v>550</v>
      </c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 t="s">
        <v>185</v>
      </c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 t="s">
        <v>551</v>
      </c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 t="s">
        <v>242</v>
      </c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 t="s">
        <v>552</v>
      </c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 t="s">
        <v>243</v>
      </c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 t="s">
        <v>553</v>
      </c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 t="s">
        <v>187</v>
      </c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 t="s">
        <v>554</v>
      </c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 t="s">
        <v>232</v>
      </c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 t="s">
        <v>555</v>
      </c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 t="s">
        <v>233</v>
      </c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 t="s">
        <v>556</v>
      </c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 t="s">
        <v>164</v>
      </c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 t="s">
        <v>557</v>
      </c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 t="s">
        <v>220</v>
      </c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 t="s">
        <v>558</v>
      </c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 t="s">
        <v>221</v>
      </c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 t="s">
        <v>562</v>
      </c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 t="s">
        <v>190</v>
      </c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 t="s">
        <v>563</v>
      </c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 t="s">
        <v>234</v>
      </c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 t="s">
        <v>564</v>
      </c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 t="s">
        <v>235</v>
      </c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 t="s">
        <v>559</v>
      </c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 t="s">
        <v>188</v>
      </c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 t="s">
        <v>560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 t="s">
        <v>236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 t="s">
        <v>561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 t="s">
        <v>237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 t="s">
        <v>565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 t="s">
        <v>189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 t="s">
        <v>566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 t="s">
        <v>276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 t="s">
        <v>567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 t="s">
        <v>277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 t="s">
        <v>615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 t="s">
        <v>616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 t="s">
        <v>617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 t="s">
        <v>618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 t="s">
        <v>619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 t="s">
        <v>620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 t="s">
        <v>621</v>
      </c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 t="s">
        <v>622</v>
      </c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 t="s">
        <v>623</v>
      </c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 t="s">
        <v>624</v>
      </c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 t="s">
        <v>625</v>
      </c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 t="s">
        <v>626</v>
      </c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 t="s">
        <v>627</v>
      </c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 t="s">
        <v>628</v>
      </c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 t="s">
        <v>629</v>
      </c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 t="s">
        <v>630</v>
      </c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 t="s">
        <v>631</v>
      </c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 t="s">
        <v>632</v>
      </c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 t="s">
        <v>633</v>
      </c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 t="s">
        <v>634</v>
      </c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 t="s">
        <v>635</v>
      </c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 t="s">
        <v>636</v>
      </c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 t="s">
        <v>637</v>
      </c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 t="s">
        <v>638</v>
      </c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 t="s">
        <v>639</v>
      </c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 t="s">
        <v>640</v>
      </c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 t="s">
        <v>641</v>
      </c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 t="s">
        <v>642</v>
      </c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 t="s">
        <v>643</v>
      </c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 t="s">
        <v>644</v>
      </c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 t="s">
        <v>645</v>
      </c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 t="s">
        <v>646</v>
      </c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 t="s">
        <v>649</v>
      </c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 t="s">
        <v>650</v>
      </c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 t="s">
        <v>647</v>
      </c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 t="s">
        <v>648</v>
      </c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5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5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5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5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5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5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5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5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5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5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5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5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5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5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1" t="s">
        <v>519</v>
      </c>
      <c r="E16" s="192" t="s">
        <v>510</v>
      </c>
      <c r="F16" s="196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5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5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5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5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5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5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5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5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5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5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5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5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5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5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5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2024-04-24T21:51:25Z</dcterms:modified>
</cp:coreProperties>
</file>