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FBC63C40-81DE-4D9A-B419-694DE8C708F6}" xr6:coauthVersionLast="47" xr6:coauthVersionMax="47" xr10:uidLastSave="{00000000-0000-0000-0000-000000000000}"/>
  <bookViews>
    <workbookView xWindow="82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8" i="38"/>
  <c r="Z133" i="38"/>
  <c r="Z132" i="38"/>
  <c r="Z127" i="38"/>
  <c r="Z115" i="38"/>
  <c r="Z114" i="38"/>
  <c r="Z97" i="38"/>
  <c r="Z96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20" i="38" l="1"/>
  <c r="Z121" i="38"/>
  <c r="Z144" i="38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<sst xmlns="http://schemas.openxmlformats.org/spreadsheetml/2006/main" count="1483" uniqueCount="634">
  <si>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</si>
  <si>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</si>
  <si>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</si>
  <si>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</si>
  <si>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</si>
  <si>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</si>
  <si>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</si>
  <si>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</si>
  <si>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</si>
  <si>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</si>
  <si>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</si>
  <si>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</si>
  <si>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</si>
  <si>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</si>
  <si>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</si>
  <si>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</si>
  <si>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</si>
  <si>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</si>
  <si>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</si>
  <si>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</si>
  <si>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</si>
  <si>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</si>
  <si>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</si>
  <si>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</si>
  <si>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</si>
  <si>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</si>
  <si>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</si>
  <si>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</si>
  <si>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</si>
  <si>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</si>
  <si>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</si>
  <si>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</si>
  <si>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</si>
  <si>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</si>
  <si>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</si>
  <si>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</si>
  <si>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</si>
  <si>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</si>
  <si>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</si>
  <si>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</si>
  <si>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</si>
  <si>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</si>
  <si>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</si>
  <si>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</si>
  <si>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</si>
  <si>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</si>
  <si>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</si>
  <si>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</si>
  <si>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</si>
  <si>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</si>
  <si>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</si>
  <si>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</si>
  <si>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</si>
  <si>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</si>
  <si>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</si>
  <si>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</si>
  <si>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</si>
  <si>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</si>
  <si>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</si>
  <si>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</si>
  <si>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</si>
  <si>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</si>
  <si>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</si>
  <si>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</si>
  <si>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</si>
  <si>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</si>
  <si>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</si>
  <si>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</si>
  <si>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</si>
  <si>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</si>
  <si>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</si>
  <si>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</si>
  <si>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</si>
  <si>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</si>
  <si>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</si>
  <si>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</si>
  <si>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</si>
  <si>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</si>
  <si>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</si>
  <si>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</si>
  <si>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</si>
  <si>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</si>
  <si>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</si>
  <si>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</si>
  <si>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</si>
  <si>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</si>
  <si>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</si>
  <si>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</si>
  <si>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</si>
  <si>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</si>
  <si>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</si>
  <si>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</si>
  <si>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</si>
  <si>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</si>
  <si>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</si>
  <si>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</si>
  <si>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</si>
  <si>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</si>
  <si>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</si>
  <si>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</si>
  <si>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</si>
  <si>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</si>
  <si>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</si>
  <si>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</si>
  <si>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</si>
  <si>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</si>
  <si>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</si>
  <si>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</si>
  <si>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</si>
  <si>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</si>
  <si>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</si>
  <si>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</si>
  <si>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</si>
  <si>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</si>
  <si>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</si>
  <si>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</si>
  <si>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</si>
  <si>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</si>
  <si>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</si>
  <si>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</si>
  <si>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</si>
  <si>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</si>
  <si>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</si>
  <si>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</si>
  <si>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</si>
  <si>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</si>
  <si>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</si>
  <si>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</si>
  <si>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</si>
  <si>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</si>
  <si>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</si>
  <si>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</si>
  <si>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</si>
  <si>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</si>
  <si>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</si>
  <si>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</si>
  <si>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</si>
  <si>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</si>
  <si>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</si>
  <si>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</si>
  <si>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</si>
  <si>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</si>
  <si>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</si>
  <si>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</si>
  <si>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</si>
  <si>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</si>
  <si>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</si>
  <si>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</si>
  <si>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</si>
  <si>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</si>
  <si>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</si>
  <si>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</si>
  <si>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</si>
  <si>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</si>
  <si>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</si>
  <si>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</si>
  <si>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</si>
  <si>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</si>
  <si>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</si>
  <si>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</si>
  <si>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</si>
  <si>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</si>
  <si>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</si>
  <si>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</si>
  <si>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</si>
  <si>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</si>
  <si>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</si>
  <si>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</si>
  <si>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</si>
  <si>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</si>
  <si>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</si>
  <si>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</si>
  <si>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</si>
  <si>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</si>
  <si>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</si>
  <si>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</si>
  <si>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</si>
  <si>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</si>
  <si>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</si>
  <si>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</si>
  <si>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</si>
  <si>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</si>
  <si>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</si>
  <si>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</si>
  <si>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</si>
  <si>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</si>
  <si>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</si>
  <si>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</si>
  <si>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</si>
  <si>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</si>
  <si>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</si>
  <si>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</si>
  <si>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</si>
  <si>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</si>
  <si>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</si>
  <si>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</si>
  <si>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</si>
  <si>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</si>
  <si>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</si>
  <si>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</si>
  <si>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</si>
  <si>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</si>
  <si>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</si>
  <si>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</si>
  <si>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</si>
  <si>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</si>
  <si>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</si>
  <si>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</si>
  <si>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</si>
  <si>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</si>
  <si>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</si>
  <si>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</si>
  <si>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</si>
  <si>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</si>
  <si>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</si>
  <si>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</si>
  <si>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</si>
  <si>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</si>
  <si>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</si>
  <si>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</si>
  <si>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</si>
  <si>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</si>
  <si>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</si>
  <si>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</si>
  <si>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</si>
  <si>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</si>
  <si>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</si>
  <si>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</si>
  <si>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</si>
  <si>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</si>
  <si>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</si>
  <si>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</si>
  <si>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</si>
  <si>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</si>
  <si>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</si>
  <si>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</si>
  <si>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</si>
  <si>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</si>
  <si>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</si>
  <si>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</si>
  <si>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</si>
  <si>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</si>
  <si>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</si>
  <si>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</si>
  <si>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</si>
  <si>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</si>
  <si>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</si>
  <si>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</si>
  <si>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</si>
  <si>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</si>
  <si>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</si>
  <si>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</si>
  <si>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</si>
  <si>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</si>
  <si>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</si>
  <si>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</si>
  <si>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</si>
  <si>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</si>
  <si>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</si>
  <si>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</si>
  <si>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</si>
  <si>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</si>
  <si>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</si>
  <si>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</si>
  <si>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</si>
  <si>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</si>
  <si>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</si>
  <si>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</si>
  <si>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</si>
  <si>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</si>
  <si>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</si>
  <si>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</si>
  <si>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</si>
  <si>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</si>
  <si>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</si>
  <si>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</si>
  <si>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</si>
  <si>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</si>
  <si>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</si>
  <si>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</si>
  <si>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</si>
  <si>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</si>
  <si>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</si>
  <si>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</si>
  <si>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</si>
  <si>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</si>
  <si>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</si>
  <si>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</si>
  <si>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</si>
  <si>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</si>
  <si>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</si>
  <si>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</si>
  <si>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</si>
  <si>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</si>
  <si>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</si>
  <si>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</si>
  <si>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</si>
  <si>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</si>
  <si>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</si>
  <si>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</si>
  <si>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</si>
  <si>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</si>
  <si>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</si>
  <si>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</si>
  <si>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</si>
  <si>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</si>
  <si>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</si>
  <si>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</si>
  <si>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</si>
  <si>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</si>
  <si>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</si>
  <si>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</si>
  <si>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</si>
  <si>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</si>
  <si>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</si>
  <si>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</si>
  <si>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</si>
  <si>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</si>
  <si>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</si>
  <si>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</si>
  <si>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</si>
  <si>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</si>
  <si>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</si>
  <si>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</si>
  <si>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</si>
  <si>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</si>
  <si>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</si>
  <si>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</si>
  <si>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</si>
  <si>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</si>
  <si>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</si>
  <si>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</si>
  <si>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</si>
  <si>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</si>
  <si>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</si>
  <si>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</si>
  <si>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</si>
  <si>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</si>
  <si>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</si>
  <si>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</si>
  <si>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</si>
  <si>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</si>
  <si>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</si>
  <si>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</si>
  <si>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</si>
  <si>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</si>
  <si>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</si>
  <si>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</si>
  <si>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</si>
  <si>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</si>
  <si>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</si>
  <si>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</si>
  <si>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</si>
  <si>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</si>
  <si>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</si>
  <si>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</si>
  <si>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</si>
  <si>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</si>
  <si>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</si>
  <si>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</si>
  <si>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</si>
  <si>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</si>
  <si>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</si>
  <si>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</si>
  <si>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</si>
  <si>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</si>
  <si>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</si>
  <si>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</si>
  <si>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</si>
  <si>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</si>
  <si>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</si>
  <si>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</si>
  <si>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</si>
  <si>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</si>
  <si>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</si>
  <si>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</si>
  <si>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</si>
  <si>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</si>
  <si>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</si>
  <si>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</si>
  <si>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</si>
  <si>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</si>
  <si>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</si>
  <si>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</si>
  <si>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</si>
  <si>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</si>
  <si>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</si>
  <si>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</si>
  <si>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</si>
  <si>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</si>
  <si>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</si>
  <si>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</si>
  <si>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</si>
  <si>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</si>
  <si>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</si>
  <si>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</si>
  <si>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</si>
  <si>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</si>
  <si>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</si>
  <si>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</si>
  <si>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</si>
  <si>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</si>
  <si>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</si>
  <si>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</si>
  <si>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</si>
  <si>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</si>
  <si>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</si>
  <si>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</si>
  <si>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</si>
  <si>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</si>
  <si>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</si>
  <si>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</si>
  <si>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</si>
  <si>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</si>
  <si>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</si>
  <si>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</si>
  <si>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</si>
  <si>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</si>
  <si>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</si>
  <si>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</si>
  <si>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</si>
  <si>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</si>
  <si>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</si>
  <si>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</si>
  <si>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</si>
  <si>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</si>
  <si>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</si>
  <si>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</si>
  <si>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</si>
  <si>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</si>
  <si>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</si>
  <si>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</si>
  <si>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</si>
  <si>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</si>
  <si>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</si>
  <si>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</si>
  <si>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</si>
  <si>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</si>
  <si>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</si>
  <si>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</si>
  <si>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</si>
  <si>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</si>
  <si>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</si>
  <si>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</si>
  <si>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</si>
  <si>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</si>
  <si>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</si>
  <si>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</si>
  <si>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</si>
  <si>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</si>
  <si>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</si>
  <si>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</si>
  <si>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</si>
  <si>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</si>
  <si>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</si>
  <si>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</si>
  <si>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</si>
  <si>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</si>
  <si>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</si>
  <si>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</si>
  <si>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</si>
  <si>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</si>
  <si>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</si>
  <si>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</si>
  <si>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</si>
  <si>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</si>
  <si>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</si>
  <si>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</si>
  <si>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</si>
  <si>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</si>
  <si>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</si>
  <si>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</si>
  <si>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</si>
  <si>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</si>
  <si>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</si>
  <si>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</si>
  <si>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</si>
  <si>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</si>
  <si>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</si>
  <si>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</si>
  <si>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</si>
  <si>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</si>
  <si>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</si>
  <si>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</si>
  <si>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</si>
  <si>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</si>
  <si>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</si>
  <si>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</si>
  <si>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</si>
  <si>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</si>
  <si>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</si>
  <si>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</si>
  <si>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</si>
  <si>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</si>
  <si>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</si>
  <si>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</si>
  <si>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</si>
  <si>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</si>
  <si>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</si>
  <si>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</si>
  <si>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</si>
  <si>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</si>
  <si>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</si>
  <si>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</si>
  <si>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</si>
  <si>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</si>
  <si>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</si>
  <si>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</si>
  <si>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</si>
  <si>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</si>
  <si>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</si>
  <si>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</si>
  <si>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</si>
  <si>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</si>
  <si>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</si>
  <si>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</si>
  <si>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</si>
  <si>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</si>
  <si>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</si>
  <si>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</si>
  <si>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</si>
  <si>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</si>
  <si>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</si>
  <si>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</si>
  <si>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</si>
  <si>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</si>
  <si>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</si>
  <si>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</si>
  <si>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</si>
  <si>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</si>
  <si>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</si>
  <si>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</si>
  <si>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</si>
  <si>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</si>
  <si>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</si>
  <si>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</si>
  <si>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</si>
  <si>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</si>
  <si>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</si>
  <si>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</si>
  <si>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</si>
  <si>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</si>
  <si>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</si>
  <si>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</si>
  <si>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</si>
  <si>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</si>
  <si>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</si>
  <si>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</si>
  <si>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</si>
  <si>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</si>
  <si>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</si>
  <si>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</si>
  <si>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</si>
  <si>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</si>
  <si>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</si>
  <si>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</si>
  <si>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</si>
  <si>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</si>
  <si>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</si>
  <si>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</si>
  <si>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</si>
  <si>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</si>
  <si>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</si>
  <si>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</si>
  <si>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</si>
  <si>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</si>
  <si>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</si>
  <si>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</si>
  <si>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</si>
  <si>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</si>
  <si>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</si>
  <si>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</si>
  <si>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</si>
  <si>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</si>
  <si>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</si>
  <si>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</si>
  <si>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</si>
  <si>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</si>
  <si>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</si>
  <si>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</si>
  <si>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</si>
  <si>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</si>
  <si>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</si>
  <si>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</si>
  <si>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</si>
  <si>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</si>
  <si>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</si>
  <si>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</si>
  <si>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</si>
  <si>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</si>
  <si>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</si>
  <si>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</si>
  <si>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</si>
  <si>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</si>
  <si>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</si>
  <si>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</si>
  <si>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</si>
  <si>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</si>
  <si>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</si>
  <si>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</si>
  <si>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</si>
  <si>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</si>
  <si>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</si>
  <si>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</si>
  <si>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</si>
  <si>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</si>
  <si>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</si>
  <si>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</si>
  <si>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</si>
  <si>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</si>
  <si>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</si>
  <si>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</si>
  <si>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</si>
  <si>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</si>
  <si>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</si>
  <si>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</si>
  <si>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</si>
  <si>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</si>
  <si>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</si>
  <si>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</si>
  <si>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</si>
  <si>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</si>
  <si>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</si>
  <si>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</si>
  <si>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</si>
  <si>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</si>
  <si>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</si>
  <si>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</si>
  <si>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PNWCO - spot</t>
  </si>
  <si>
    <t>PNWCO - 48hs</t>
  </si>
  <si>
    <t>PNWCC - spot</t>
  </si>
  <si>
    <t>PNWCC - 48hs</t>
  </si>
  <si>
    <t>PNWCD - spot</t>
  </si>
  <si>
    <t>PNWCD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</si>
</sst>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  <font>
      <b/>
      <sz val="10"/>
      <color theme="1" tint="0.34998626667073579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1" fontId="25" fillId="9" borderId="108" xfId="0" applyNumberFormat="1" applyFont="1" applyFill="1" applyBorder="1" applyAlignment="1">
      <alignment horizontal="center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39" fillId="10" borderId="12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3" fontId="37" fillId="10" borderId="122" xfId="0" applyNumberFormat="1" applyFont="1" applyFill="1" applyBorder="1" applyAlignment="1">
      <alignment horizontal="right" vertical="center"/>
    </xf>
    <xf numFmtId="0" fontId="37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0" fontId="66" fillId="10" borderId="122" xfId="0" applyFont="1" applyFill="1" applyBorder="1" applyAlignment="1">
      <alignment horizontal="right" vertical="center"/>
    </xf>
    <xf numFmtId="0" fontId="72" fillId="12" borderId="113" xfId="55" applyNumberFormat="1" applyFont="1" applyFill="1" applyBorder="1" applyAlignment="1">
      <alignment horizontal="center" vertical="center"/>
    </xf>
    <xf numFmtId="0" fontId="72" fillId="12" borderId="112" xfId="55" applyNumberFormat="1" applyFont="1" applyFill="1" applyBorder="1" applyAlignment="1">
      <alignment horizontal="center" vertical="center"/>
    </xf>
    <xf numFmtId="1" fontId="23" fillId="11" borderId="127" xfId="77" applyNumberFormat="1" applyFont="1" applyFill="1" applyBorder="1" applyAlignment="1">
      <alignment horizontal="center" vertical="center"/>
    </xf>
    <xf numFmtId="1" fontId="23" fillId="11" borderId="129" xfId="77" applyNumberFormat="1" applyFont="1" applyFill="1" applyBorder="1" applyAlignment="1">
      <alignment horizontal="center" vertical="center"/>
    </xf>
    <xf numFmtId="168" fontId="32" fillId="13" borderId="128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41" xfId="0" applyNumberFormat="1" applyFont="1" applyFill="1" applyBorder="1" applyAlignment="1">
      <alignment horizontal="center" vertical="center"/>
    </xf>
    <xf numFmtId="166" fontId="37" fillId="10" borderId="136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41" xfId="0" applyFont="1" applyFill="1" applyBorder="1" applyAlignment="1">
      <alignment horizontal="right" vertical="center"/>
    </xf>
    <xf numFmtId="0" fontId="39" fillId="10" borderId="136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21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41" xfId="0" applyFont="1" applyFill="1" applyBorder="1" applyAlignment="1">
      <alignment horizontal="center" vertical="center"/>
    </xf>
    <xf numFmtId="0" fontId="23" fillId="9" borderId="122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44" xfId="55" applyNumberFormat="1" applyFont="1" applyFill="1" applyBorder="1" applyAlignment="1">
      <alignment horizontal="right" vertical="center"/>
    </xf>
    <xf numFmtId="10" fontId="30" fillId="10" borderId="144" xfId="114" applyNumberFormat="1" applyFont="1" applyFill="1" applyBorder="1" applyAlignment="1">
      <alignment horizontal="right" vertical="center"/>
    </xf>
    <xf numFmtId="0" fontId="13" fillId="15" borderId="145" xfId="15" applyFont="1" applyFill="1" applyBorder="1" applyAlignment="1">
      <alignment horizontal="center" vertical="center"/>
    </xf>
    <xf numFmtId="167" fontId="37" fillId="10" borderId="146" xfId="55" applyNumberFormat="1" applyFont="1" applyFill="1" applyBorder="1" applyAlignment="1">
      <alignment horizontal="right" vertical="center"/>
    </xf>
    <xf numFmtId="10" fontId="30" fillId="10" borderId="146" xfId="114" applyNumberFormat="1" applyFont="1" applyFill="1" applyBorder="1" applyAlignment="1">
      <alignment horizontal="right" vertical="center"/>
    </xf>
    <xf numFmtId="10" fontId="76" fillId="10" borderId="144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6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4" xfId="55" applyFont="1" applyFill="1" applyBorder="1" applyAlignment="1">
      <alignment horizontal="center" vertical="center" wrapText="1"/>
    </xf>
    <xf numFmtId="1" fontId="79" fillId="11" borderId="129" xfId="77" applyNumberFormat="1" applyFont="1" applyFill="1" applyBorder="1" applyAlignment="1">
      <alignment horizontal="center" vertical="center"/>
    </xf>
    <xf numFmtId="1" fontId="79" fillId="11" borderId="127" xfId="77" applyNumberFormat="1" applyFont="1" applyFill="1" applyBorder="1" applyAlignment="1">
      <alignment horizontal="center" vertical="center"/>
    </xf>
    <xf numFmtId="1" fontId="80" fillId="11" borderId="127" xfId="77" applyNumberFormat="1" applyFont="1" applyFill="1" applyBorder="1" applyAlignment="1">
      <alignment horizontal="center" vertical="center"/>
    </xf>
    <xf numFmtId="1" fontId="81" fillId="11" borderId="129" xfId="77" applyNumberFormat="1" applyFont="1" applyFill="1" applyBorder="1" applyAlignment="1">
      <alignment horizontal="center" vertical="center"/>
    </xf>
    <xf numFmtId="1" fontId="82" fillId="11" borderId="129" xfId="77" applyNumberFormat="1" applyFont="1" applyFill="1" applyBorder="1" applyAlignment="1">
      <alignment horizontal="center" vertical="center"/>
    </xf>
    <xf numFmtId="1" fontId="82" fillId="11" borderId="127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3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6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34" xfId="55" applyNumberFormat="1" applyFont="1" applyFill="1" applyBorder="1" applyAlignment="1">
      <alignment horizontal="right" vertical="center"/>
    </xf>
    <xf numFmtId="0" fontId="67" fillId="10" borderId="106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67" fillId="10" borderId="122" xfId="55" applyNumberFormat="1" applyFont="1" applyFill="1" applyBorder="1" applyAlignment="1">
      <alignment horizontal="right" vertical="center"/>
    </xf>
    <xf numFmtId="0" fontId="75" fillId="9" borderId="147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47" xfId="55" applyNumberFormat="1" applyFont="1" applyFill="1" applyBorder="1" applyAlignment="1">
      <alignment horizontal="right" vertical="center"/>
    </xf>
    <xf numFmtId="0" fontId="84" fillId="9" borderId="134" xfId="55" applyNumberFormat="1" applyFont="1" applyFill="1" applyBorder="1" applyAlignment="1">
      <alignment horizontal="right" vertical="center"/>
    </xf>
    <xf numFmtId="0" fontId="30" fillId="9" borderId="147" xfId="0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126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3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34" xfId="55" applyNumberFormat="1" applyFont="1" applyFill="1" applyBorder="1" applyAlignment="1">
      <alignment horizontal="right" vertical="center"/>
    </xf>
    <xf numFmtId="0" fontId="67" fillId="10" borderId="116" xfId="55" applyNumberFormat="1" applyFont="1" applyFill="1" applyBorder="1" applyAlignment="1">
      <alignment horizontal="right" vertical="center"/>
    </xf>
    <xf numFmtId="0" fontId="66" fillId="10" borderId="116" xfId="0" applyFont="1" applyFill="1" applyBorder="1" applyAlignment="1">
      <alignment horizontal="right" vertical="center"/>
    </xf>
    <xf numFmtId="0" fontId="75" fillId="9" borderId="155" xfId="55" applyNumberFormat="1" applyFont="1" applyFill="1" applyBorder="1" applyAlignment="1">
      <alignment horizontal="right" vertical="center"/>
    </xf>
    <xf numFmtId="0" fontId="84" fillId="9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85" fillId="10" borderId="120" xfId="114" applyNumberFormat="1" applyFont="1" applyFill="1" applyBorder="1" applyAlignment="1">
      <alignment horizontal="center" vertical="center"/>
    </xf>
    <xf numFmtId="166" fontId="37" fillId="10" borderId="121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2" fontId="75" fillId="9" borderId="120" xfId="55" applyNumberFormat="1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right" vertical="center"/>
    </xf>
    <xf numFmtId="2" fontId="83" fillId="9" borderId="135" xfId="55" applyNumberFormat="1" applyFont="1" applyFill="1" applyBorder="1" applyAlignment="1">
      <alignment horizontal="right" vertical="center"/>
    </xf>
    <xf numFmtId="164" fontId="83" fillId="9" borderId="135" xfId="55" applyNumberFormat="1" applyFont="1" applyFill="1" applyBorder="1" applyAlignment="1">
      <alignment horizontal="right" vertical="center"/>
    </xf>
    <xf numFmtId="0" fontId="83" fillId="9" borderId="160" xfId="0" applyNumberFormat="1" applyFont="1" applyFill="1" applyBorder="1" applyAlignment="1">
      <alignment vertical="center"/>
    </xf>
    <xf numFmtId="0" fontId="89" fillId="9" borderId="134" xfId="55" applyNumberFormat="1" applyFont="1" applyFill="1" applyBorder="1" applyAlignment="1">
      <alignment horizontal="left" vertical="center"/>
    </xf>
    <xf numFmtId="0" fontId="89" fillId="9" borderId="135" xfId="55" applyNumberFormat="1" applyFont="1" applyFill="1" applyBorder="1" applyAlignment="1">
      <alignment horizontal="right" vertical="center"/>
    </xf>
    <xf numFmtId="0" fontId="90" fillId="9" borderId="134" xfId="55" applyNumberFormat="1" applyFont="1" applyFill="1" applyBorder="1" applyAlignment="1">
      <alignment horizontal="left" vertical="center"/>
    </xf>
    <xf numFmtId="0" fontId="91" fillId="9" borderId="134" xfId="55" applyNumberFormat="1" applyFont="1" applyFill="1" applyBorder="1" applyAlignment="1">
      <alignment horizontal="left" vertical="center"/>
    </xf>
    <xf numFmtId="0" fontId="92" fillId="9" borderId="134" xfId="55" applyNumberFormat="1" applyFont="1" applyFill="1" applyBorder="1" applyAlignment="1">
      <alignment horizontal="right" vertical="center"/>
    </xf>
    <xf numFmtId="0" fontId="93" fillId="9" borderId="134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6" xfId="55" applyNumberFormat="1" applyFont="1" applyFill="1" applyBorder="1" applyAlignment="1">
      <alignment horizontal="right" vertical="center"/>
    </xf>
    <xf numFmtId="0" fontId="93" fillId="10" borderId="106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06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106" xfId="0" applyFont="1" applyFill="1" applyBorder="1" applyAlignment="1">
      <alignment horizontal="right" vertical="center"/>
    </xf>
    <xf numFmtId="3" fontId="97" fillId="10" borderId="106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41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2" fontId="98" fillId="9" borderId="96" xfId="55" applyNumberFormat="1" applyFont="1" applyFill="1" applyBorder="1" applyAlignment="1">
      <alignment horizontal="left" vertical="center"/>
    </xf>
    <xf numFmtId="164" fontId="99" fillId="9" borderId="96" xfId="55" applyNumberFormat="1" applyFont="1" applyFill="1" applyBorder="1" applyAlignment="1">
      <alignment horizontal="left" vertical="center"/>
    </xf>
    <xf numFmtId="2" fontId="98" fillId="9" borderId="95" xfId="55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2" fontId="100" fillId="9" borderId="95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2" fontId="99" fillId="9" borderId="99" xfId="55" applyNumberFormat="1" applyFont="1" applyFill="1" applyBorder="1" applyAlignment="1">
      <alignment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165" fontId="75" fillId="9" borderId="95" xfId="55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right" vertical="center"/>
    </xf>
    <xf numFmtId="164" fontId="83" fillId="9" borderId="153" xfId="0" applyNumberFormat="1" applyFont="1" applyFill="1" applyBorder="1" applyAlignment="1">
      <alignment horizontal="left" vertical="center"/>
    </xf>
    <xf numFmtId="0" fontId="90" fillId="9" borderId="154" xfId="0" applyNumberFormat="1" applyFont="1" applyFill="1" applyBorder="1" applyAlignment="1">
      <alignment horizontal="right" vertical="center"/>
    </xf>
    <xf numFmtId="0" fontId="92" fillId="10" borderId="116" xfId="55" applyNumberFormat="1" applyFont="1" applyFill="1" applyBorder="1" applyAlignment="1">
      <alignment horizontal="right" vertical="center"/>
    </xf>
    <xf numFmtId="0" fontId="93" fillId="10" borderId="116" xfId="0" applyFont="1" applyFill="1" applyBorder="1" applyAlignment="1">
      <alignment horizontal="right" vertical="center"/>
    </xf>
    <xf numFmtId="0" fontId="93" fillId="9" borderId="120" xfId="55" applyNumberFormat="1" applyFont="1" applyFill="1" applyBorder="1" applyAlignment="1">
      <alignment horizontal="right" vertical="center"/>
    </xf>
    <xf numFmtId="0" fontId="92" fillId="9" borderId="120" xfId="55" applyNumberFormat="1" applyFont="1" applyFill="1" applyBorder="1" applyAlignment="1">
      <alignment horizontal="right" vertical="center"/>
    </xf>
    <xf numFmtId="0" fontId="94" fillId="9" borderId="155" xfId="0" applyFont="1" applyFill="1" applyBorder="1" applyAlignment="1">
      <alignment horizontal="center" vertical="center"/>
    </xf>
    <xf numFmtId="10" fontId="95" fillId="10" borderId="120" xfId="114" applyNumberFormat="1" applyFont="1" applyFill="1" applyBorder="1" applyAlignment="1">
      <alignment horizontal="center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16" xfId="0" applyFont="1" applyFill="1" applyBorder="1" applyAlignment="1">
      <alignment horizontal="right" vertical="center"/>
    </xf>
    <xf numFmtId="0" fontId="96" fillId="10" borderId="121" xfId="0" applyFont="1" applyFill="1" applyBorder="1" applyAlignment="1">
      <alignment horizontal="right" vertical="center"/>
    </xf>
    <xf numFmtId="0" fontId="97" fillId="10" borderId="116" xfId="0" applyFont="1" applyFill="1" applyBorder="1" applyAlignment="1">
      <alignment horizontal="right" vertical="center"/>
    </xf>
    <xf numFmtId="3" fontId="97" fillId="10" borderId="116" xfId="0" applyNumberFormat="1" applyFont="1" applyFill="1" applyBorder="1" applyAlignment="1">
      <alignment horizontal="right" vertical="center"/>
    </xf>
    <xf numFmtId="2" fontId="98" fillId="9" borderId="120" xfId="55" applyNumberFormat="1" applyFont="1" applyFill="1" applyBorder="1" applyAlignment="1">
      <alignment horizontal="right" vertical="center"/>
    </xf>
    <xf numFmtId="164" fontId="100" fillId="9" borderId="120" xfId="55" applyNumberFormat="1" applyFont="1" applyFill="1" applyBorder="1" applyAlignment="1">
      <alignment horizontal="right" vertical="center"/>
    </xf>
    <xf numFmtId="0" fontId="102" fillId="9" borderId="134" xfId="55" applyNumberFormat="1" applyFont="1" applyFill="1" applyBorder="1" applyAlignment="1">
      <alignment horizontal="left" vertical="center"/>
    </xf>
    <xf numFmtId="0" fontId="102" fillId="9" borderId="135" xfId="55" applyNumberFormat="1" applyFont="1" applyFill="1" applyBorder="1" applyAlignment="1">
      <alignment horizontal="right" vertical="center"/>
    </xf>
    <xf numFmtId="0" fontId="103" fillId="9" borderId="134" xfId="55" applyNumberFormat="1" applyFont="1" applyFill="1" applyBorder="1" applyAlignment="1">
      <alignment horizontal="center" vertical="center"/>
    </xf>
    <xf numFmtId="0" fontId="103" fillId="9" borderId="13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123" xfId="0" applyNumberFormat="1" applyFont="1" applyFill="1" applyBorder="1" applyAlignment="1">
      <alignment horizontal="center" vertical="center"/>
    </xf>
    <xf numFmtId="1" fontId="71" fillId="9" borderId="162" xfId="0" applyNumberFormat="1" applyFont="1" applyFill="1" applyBorder="1" applyAlignment="1">
      <alignment horizontal="center" vertical="center"/>
    </xf>
    <xf numFmtId="0" fontId="23" fillId="9" borderId="163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67" fontId="67" fillId="10" borderId="99" xfId="55" applyNumberFormat="1" applyFont="1" applyFill="1" applyBorder="1" applyAlignment="1">
      <alignment horizontal="right" vertical="center"/>
    </xf>
    <xf numFmtId="1" fontId="83" fillId="9" borderId="165" xfId="55" applyNumberFormat="1" applyFont="1" applyFill="1" applyBorder="1" applyAlignment="1">
      <alignment vertical="center"/>
    </xf>
    <xf numFmtId="164" fontId="103" fillId="9" borderId="135" xfId="55" applyNumberFormat="1" applyFont="1" applyFill="1" applyBorder="1" applyAlignment="1">
      <alignment horizontal="center" vertical="center"/>
    </xf>
    <xf numFmtId="164" fontId="103" fillId="9" borderId="96" xfId="55" applyNumberFormat="1" applyFont="1" applyFill="1" applyBorder="1" applyAlignment="1">
      <alignment horizontal="center" vertical="center"/>
    </xf>
    <xf numFmtId="164" fontId="103" fillId="9" borderId="99" xfId="55" applyNumberFormat="1" applyFont="1" applyFill="1" applyBorder="1" applyAlignment="1">
      <alignment horizontal="center" vertical="center"/>
    </xf>
    <xf numFmtId="0" fontId="72" fillId="12" borderId="151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67" xfId="55" applyNumberFormat="1" applyFont="1" applyFill="1" applyBorder="1" applyAlignment="1">
      <alignment horizontal="right" vertical="center"/>
    </xf>
    <xf numFmtId="0" fontId="93" fillId="10" borderId="167" xfId="0" applyFont="1" applyFill="1" applyBorder="1" applyAlignment="1">
      <alignment horizontal="right" vertical="center"/>
    </xf>
    <xf numFmtId="0" fontId="93" fillId="9" borderId="168" xfId="55" applyNumberFormat="1" applyFont="1" applyFill="1" applyBorder="1" applyAlignment="1">
      <alignment horizontal="right" vertical="center"/>
    </xf>
    <xf numFmtId="0" fontId="92" fillId="9" borderId="168" xfId="55" applyNumberFormat="1" applyFont="1" applyFill="1" applyBorder="1" applyAlignment="1">
      <alignment horizontal="right" vertical="center"/>
    </xf>
    <xf numFmtId="0" fontId="94" fillId="9" borderId="169" xfId="0" applyFont="1" applyFill="1" applyBorder="1" applyAlignment="1">
      <alignment horizontal="center" vertical="center"/>
    </xf>
    <xf numFmtId="10" fontId="95" fillId="10" borderId="168" xfId="114" applyNumberFormat="1" applyFont="1" applyFill="1" applyBorder="1" applyAlignment="1">
      <alignment horizontal="center" vertical="center"/>
    </xf>
    <xf numFmtId="0" fontId="96" fillId="10" borderId="170" xfId="0" applyFont="1" applyFill="1" applyBorder="1" applyAlignment="1">
      <alignment horizontal="right" vertical="center"/>
    </xf>
    <xf numFmtId="0" fontId="96" fillId="10" borderId="167" xfId="0" applyFont="1" applyFill="1" applyBorder="1" applyAlignment="1">
      <alignment horizontal="right" vertical="center"/>
    </xf>
    <xf numFmtId="0" fontId="96" fillId="10" borderId="171" xfId="0" applyFont="1" applyFill="1" applyBorder="1" applyAlignment="1">
      <alignment horizontal="right" vertical="center"/>
    </xf>
    <xf numFmtId="0" fontId="97" fillId="10" borderId="167" xfId="0" applyFont="1" applyFill="1" applyBorder="1" applyAlignment="1">
      <alignment horizontal="right" vertical="center"/>
    </xf>
    <xf numFmtId="3" fontId="97" fillId="10" borderId="167" xfId="0" applyNumberFormat="1" applyFont="1" applyFill="1" applyBorder="1" applyAlignment="1">
      <alignment horizontal="right" vertical="center"/>
    </xf>
    <xf numFmtId="3" fontId="37" fillId="10" borderId="167" xfId="0" applyNumberFormat="1" applyFont="1" applyFill="1" applyBorder="1" applyAlignment="1">
      <alignment horizontal="right" vertical="center"/>
    </xf>
    <xf numFmtId="166" fontId="37" fillId="10" borderId="170" xfId="0" applyNumberFormat="1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2" fontId="99" fillId="9" borderId="168" xfId="55" applyNumberFormat="1" applyFont="1" applyFill="1" applyBorder="1" applyAlignment="1">
      <alignment horizontal="right" vertical="center"/>
    </xf>
    <xf numFmtId="165" fontId="100" fillId="9" borderId="16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0" fontId="66" fillId="10" borderId="167" xfId="0" applyFont="1" applyFill="1" applyBorder="1" applyAlignment="1">
      <alignment horizontal="right" vertical="center"/>
    </xf>
    <xf numFmtId="0" fontId="75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85" fillId="10" borderId="168" xfId="114" applyNumberFormat="1" applyFont="1" applyFill="1" applyBorder="1" applyAlignment="1">
      <alignment horizontal="center" vertical="center"/>
    </xf>
    <xf numFmtId="0" fontId="39" fillId="10" borderId="170" xfId="0" applyFont="1" applyFill="1" applyBorder="1" applyAlignment="1">
      <alignment horizontal="right" vertical="center"/>
    </xf>
    <xf numFmtId="0" fontId="39" fillId="10" borderId="167" xfId="0" applyFont="1" applyFill="1" applyBorder="1" applyAlignment="1">
      <alignment horizontal="right" vertical="center"/>
    </xf>
    <xf numFmtId="0" fontId="39" fillId="10" borderId="171" xfId="0" applyFont="1" applyFill="1" applyBorder="1" applyAlignment="1">
      <alignment horizontal="right" vertical="center"/>
    </xf>
    <xf numFmtId="0" fontId="37" fillId="10" borderId="167" xfId="0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1" fontId="23" fillId="9" borderId="170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83" fillId="9" borderId="175" xfId="0" applyNumberFormat="1" applyFont="1" applyFill="1" applyBorder="1" applyAlignment="1">
      <alignment vertical="center"/>
    </xf>
    <xf numFmtId="0" fontId="103" fillId="9" borderId="176" xfId="55" applyNumberFormat="1" applyFont="1" applyFill="1" applyBorder="1" applyAlignment="1">
      <alignment horizontal="center" vertical="center"/>
    </xf>
    <xf numFmtId="164" fontId="103" fillId="9" borderId="176" xfId="55" applyNumberFormat="1" applyFont="1" applyFill="1" applyBorder="1" applyAlignment="1">
      <alignment horizontal="center" vertical="center"/>
    </xf>
    <xf numFmtId="2" fontId="83" fillId="9" borderId="176" xfId="0" applyNumberFormat="1" applyFont="1" applyFill="1" applyBorder="1" applyAlignment="1">
      <alignment horizontal="left" vertical="center"/>
    </xf>
    <xf numFmtId="0" fontId="67" fillId="10" borderId="167" xfId="55" applyNumberFormat="1" applyFont="1" applyFill="1" applyBorder="1" applyAlignment="1">
      <alignment horizontal="right" vertical="center"/>
    </xf>
    <xf numFmtId="0" fontId="84" fillId="9" borderId="169" xfId="55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2" fontId="75" fillId="9" borderId="168" xfId="55" applyNumberFormat="1" applyFont="1" applyFill="1" applyBorder="1" applyAlignment="1">
      <alignment horizontal="center" vertical="center"/>
    </xf>
    <xf numFmtId="1" fontId="23" fillId="11" borderId="170" xfId="77" applyNumberFormat="1" applyFont="1" applyFill="1" applyBorder="1" applyAlignment="1">
      <alignment horizontal="center" vertical="center"/>
    </xf>
    <xf numFmtId="1" fontId="82" fillId="11" borderId="170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79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1" xfId="0" applyFont="1" applyFill="1" applyBorder="1" applyAlignment="1">
      <alignment horizontal="right" vertical="center"/>
    </xf>
    <xf numFmtId="0" fontId="67" fillId="10" borderId="171" xfId="55" applyNumberFormat="1" applyFont="1" applyFill="1" applyBorder="1" applyAlignment="1">
      <alignment horizontal="right" vertical="center"/>
    </xf>
    <xf numFmtId="10" fontId="85" fillId="10" borderId="167" xfId="114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2" fontId="66" fillId="9" borderId="168" xfId="0" applyNumberFormat="1" applyFont="1" applyFill="1" applyBorder="1" applyAlignment="1">
      <alignment horizontal="center" vertical="center"/>
    </xf>
    <xf numFmtId="0" fontId="37" fillId="10" borderId="170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9" xfId="77" applyNumberFormat="1" applyFont="1" applyFill="1" applyBorder="1" applyAlignment="1">
      <alignment horizontal="center" vertical="center"/>
    </xf>
    <xf numFmtId="1" fontId="74" fillId="11" borderId="182" xfId="77" applyNumberFormat="1" applyFont="1" applyFill="1" applyBorder="1" applyAlignment="1">
      <alignment horizontal="center" vertical="center"/>
    </xf>
    <xf numFmtId="1" fontId="102" fillId="11" borderId="127" xfId="77" applyNumberFormat="1" applyFont="1" applyFill="1" applyBorder="1" applyAlignment="1">
      <alignment horizontal="center" vertical="center"/>
    </xf>
    <xf numFmtId="1" fontId="79" fillId="11" borderId="180" xfId="77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3" fontId="37" fillId="10" borderId="120" xfId="0" applyNumberFormat="1" applyFont="1" applyFill="1" applyBorder="1" applyAlignment="1">
      <alignment horizontal="right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0" fontId="83" fillId="9" borderId="157" xfId="55" applyNumberFormat="1" applyFont="1" applyFill="1" applyBorder="1" applyAlignment="1">
      <alignment vertical="center"/>
    </xf>
    <xf numFmtId="2" fontId="112" fillId="9" borderId="135" xfId="55" applyNumberFormat="1" applyFont="1" applyFill="1" applyBorder="1" applyAlignment="1">
      <alignment horizontal="right" vertical="center"/>
    </xf>
    <xf numFmtId="0" fontId="113" fillId="9" borderId="134" xfId="55" applyNumberFormat="1" applyFont="1" applyFill="1" applyBorder="1" applyAlignment="1">
      <alignment horizontal="left" vertical="center"/>
    </xf>
    <xf numFmtId="2" fontId="113" fillId="9" borderId="159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5" xfId="55" applyNumberFormat="1" applyFont="1" applyFill="1" applyBorder="1" applyAlignment="1">
      <alignment horizontal="center" vertical="center"/>
    </xf>
    <xf numFmtId="2" fontId="75" fillId="9" borderId="186" xfId="55" applyNumberFormat="1" applyFont="1" applyFill="1" applyBorder="1" applyAlignment="1">
      <alignment horizontal="center" vertical="center"/>
    </xf>
    <xf numFmtId="2" fontId="66" fillId="9" borderId="18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7" xfId="77" applyNumberFormat="1" applyFont="1" applyFill="1" applyBorder="1" applyAlignment="1">
      <alignment horizontal="center" vertical="center"/>
    </xf>
    <xf numFmtId="1" fontId="117" fillId="11" borderId="127" xfId="77" applyNumberFormat="1" applyFont="1" applyFill="1" applyBorder="1" applyAlignment="1">
      <alignment horizontal="center" vertical="center"/>
    </xf>
    <xf numFmtId="1" fontId="106" fillId="11" borderId="182" xfId="77" applyNumberFormat="1" applyFont="1" applyFill="1" applyBorder="1" applyAlignment="1">
      <alignment horizontal="center" vertical="center"/>
    </xf>
    <xf numFmtId="1" fontId="108" fillId="11" borderId="180" xfId="77" applyNumberFormat="1" applyFont="1" applyFill="1" applyBorder="1" applyAlignment="1">
      <alignment horizontal="center" vertical="center"/>
    </xf>
    <xf numFmtId="1" fontId="117" fillId="11" borderId="129" xfId="77" applyNumberFormat="1" applyFont="1" applyFill="1" applyBorder="1" applyAlignment="1">
      <alignment horizontal="center" vertical="center"/>
    </xf>
    <xf numFmtId="1" fontId="106" fillId="11" borderId="129" xfId="77" applyNumberFormat="1" applyFont="1" applyFill="1" applyBorder="1" applyAlignment="1">
      <alignment horizontal="center" vertical="center"/>
    </xf>
    <xf numFmtId="0" fontId="118" fillId="9" borderId="135" xfId="55" applyNumberFormat="1" applyFont="1" applyFill="1" applyBorder="1" applyAlignment="1">
      <alignment horizontal="right" vertical="center"/>
    </xf>
    <xf numFmtId="0" fontId="118" fillId="9" borderId="166" xfId="0" applyNumberFormat="1" applyFont="1" applyFill="1" applyBorder="1" applyAlignment="1">
      <alignment horizontal="right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89" xfId="55" applyNumberFormat="1" applyFont="1" applyFill="1" applyBorder="1" applyAlignment="1">
      <alignment horizontal="center" vertical="center"/>
    </xf>
    <xf numFmtId="0" fontId="66" fillId="10" borderId="171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0" xfId="0" applyFont="1" applyFill="1" applyBorder="1" applyAlignment="1">
      <alignment horizontal="right" vertical="center"/>
    </xf>
    <xf numFmtId="0" fontId="37" fillId="10" borderId="171" xfId="55" applyNumberFormat="1" applyFont="1" applyFill="1" applyBorder="1" applyAlignment="1">
      <alignment horizontal="right" vertical="center"/>
    </xf>
    <xf numFmtId="166" fontId="37" fillId="10" borderId="191" xfId="0" applyNumberFormat="1" applyFont="1" applyFill="1" applyBorder="1" applyAlignment="1">
      <alignment horizontal="center" vertical="center"/>
    </xf>
    <xf numFmtId="2" fontId="83" fillId="9" borderId="192" xfId="55" applyNumberFormat="1" applyFont="1" applyFill="1" applyBorder="1" applyAlignment="1">
      <alignment horizontal="center" vertical="center"/>
    </xf>
    <xf numFmtId="1" fontId="83" fillId="9" borderId="193" xfId="55" applyNumberFormat="1" applyFont="1" applyFill="1" applyBorder="1" applyAlignment="1">
      <alignment vertical="center"/>
    </xf>
    <xf numFmtId="2" fontId="83" fillId="9" borderId="194" xfId="55" applyNumberFormat="1" applyFont="1" applyFill="1" applyBorder="1" applyAlignment="1">
      <alignment horizontal="center" vertical="center"/>
    </xf>
    <xf numFmtId="0" fontId="40" fillId="9" borderId="140" xfId="0" applyNumberFormat="1" applyFont="1" applyFill="1" applyBorder="1" applyAlignment="1">
      <alignment vertical="center"/>
    </xf>
    <xf numFmtId="0" fontId="40" fillId="9" borderId="191" xfId="0" applyNumberFormat="1" applyFont="1" applyFill="1" applyBorder="1" applyAlignment="1">
      <alignment vertical="center"/>
    </xf>
    <xf numFmtId="3" fontId="114" fillId="7" borderId="187" xfId="0" applyNumberFormat="1" applyFont="1" applyFill="1" applyBorder="1" applyAlignment="1">
      <alignment horizontal="center" vertical="center"/>
    </xf>
    <xf numFmtId="3" fontId="87" fillId="7" borderId="187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71" xfId="0" applyNumberFormat="1" applyFont="1" applyFill="1" applyBorder="1" applyAlignment="1">
      <alignment horizontal="right" vertical="center"/>
    </xf>
    <xf numFmtId="1" fontId="83" fillId="9" borderId="191" xfId="55" applyNumberFormat="1" applyFont="1" applyFill="1" applyBorder="1" applyAlignment="1">
      <alignment vertical="center"/>
    </xf>
    <xf numFmtId="1" fontId="74" fillId="11" borderId="196" xfId="77" applyNumberFormat="1" applyFont="1" applyFill="1" applyBorder="1" applyAlignment="1">
      <alignment horizontal="center" vertical="center"/>
    </xf>
    <xf numFmtId="0" fontId="8" fillId="4" borderId="198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1" xfId="55" applyNumberFormat="1" applyFont="1" applyFill="1" applyBorder="1" applyAlignment="1">
      <alignment horizontal="center" vertical="center"/>
    </xf>
    <xf numFmtId="0" fontId="83" fillId="9" borderId="170" xfId="55" applyNumberFormat="1" applyFont="1" applyFill="1" applyBorder="1" applyAlignment="1">
      <alignment horizontal="center" vertical="center"/>
    </xf>
    <xf numFmtId="0" fontId="83" fillId="9" borderId="202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203" xfId="55" applyNumberFormat="1" applyFont="1" applyFill="1" applyBorder="1" applyAlignment="1">
      <alignment vertical="center"/>
    </xf>
    <xf numFmtId="0" fontId="31" fillId="9" borderId="165" xfId="55" applyNumberFormat="1" applyFont="1" applyFill="1" applyBorder="1" applyAlignment="1">
      <alignment horizontal="center" vertical="center"/>
    </xf>
    <xf numFmtId="2" fontId="74" fillId="9" borderId="203" xfId="55" applyNumberFormat="1" applyFont="1" applyFill="1" applyBorder="1" applyAlignment="1">
      <alignment horizontal="center" vertical="center"/>
    </xf>
    <xf numFmtId="0" fontId="74" fillId="9" borderId="191" xfId="55" applyNumberFormat="1" applyFont="1" applyFill="1" applyBorder="1" applyAlignment="1">
      <alignment horizontal="center" vertical="center"/>
    </xf>
    <xf numFmtId="0" fontId="87" fillId="9" borderId="191" xfId="0" applyNumberFormat="1" applyFont="1" applyFill="1" applyBorder="1" applyAlignment="1">
      <alignment vertical="top"/>
    </xf>
    <xf numFmtId="0" fontId="87" fillId="9" borderId="140" xfId="0" applyNumberFormat="1" applyFont="1" applyFill="1" applyBorder="1" applyAlignment="1">
      <alignment vertical="top"/>
    </xf>
    <xf numFmtId="0" fontId="108" fillId="9" borderId="140" xfId="0" applyNumberFormat="1" applyFont="1" applyFill="1" applyBorder="1" applyAlignment="1">
      <alignment vertical="top"/>
    </xf>
    <xf numFmtId="0" fontId="108" fillId="9" borderId="204" xfId="0" applyNumberFormat="1" applyFont="1" applyFill="1" applyBorder="1" applyAlignment="1">
      <alignment vertical="top"/>
    </xf>
    <xf numFmtId="0" fontId="111" fillId="9" borderId="199" xfId="0" applyNumberFormat="1" applyFont="1" applyFill="1" applyBorder="1" applyAlignment="1">
      <alignment vertical="top"/>
    </xf>
    <xf numFmtId="0" fontId="111" fillId="9" borderId="204" xfId="0" applyNumberFormat="1" applyFont="1" applyFill="1" applyBorder="1" applyAlignment="1">
      <alignment vertical="top"/>
    </xf>
    <xf numFmtId="0" fontId="106" fillId="9" borderId="199" xfId="0" applyNumberFormat="1" applyFont="1" applyFill="1" applyBorder="1" applyAlignment="1">
      <alignment vertical="top"/>
    </xf>
    <xf numFmtId="0" fontId="106" fillId="9" borderId="175" xfId="0" applyNumberFormat="1" applyFont="1" applyFill="1" applyBorder="1" applyAlignment="1">
      <alignment vertical="top"/>
    </xf>
    <xf numFmtId="0" fontId="74" fillId="9" borderId="140" xfId="55" applyNumberFormat="1" applyFont="1" applyFill="1" applyBorder="1" applyAlignment="1">
      <alignment horizontal="center" vertical="center"/>
    </xf>
    <xf numFmtId="0" fontId="108" fillId="9" borderId="199" xfId="0" applyNumberFormat="1" applyFont="1" applyFill="1" applyBorder="1" applyAlignment="1">
      <alignment vertical="top"/>
    </xf>
    <xf numFmtId="0" fontId="106" fillId="9" borderId="205" xfId="0" applyNumberFormat="1" applyFont="1" applyFill="1" applyBorder="1" applyAlignment="1">
      <alignment vertical="top"/>
    </xf>
    <xf numFmtId="0" fontId="67" fillId="10" borderId="206" xfId="55" applyNumberFormat="1" applyFont="1" applyFill="1" applyBorder="1" applyAlignment="1">
      <alignment horizontal="right" vertical="center"/>
    </xf>
    <xf numFmtId="0" fontId="66" fillId="10" borderId="192" xfId="0" applyFont="1" applyFill="1" applyBorder="1" applyAlignment="1">
      <alignment horizontal="right" vertical="center"/>
    </xf>
    <xf numFmtId="0" fontId="66" fillId="10" borderId="206" xfId="0" applyFont="1" applyFill="1" applyBorder="1" applyAlignment="1">
      <alignment horizontal="right" vertical="center"/>
    </xf>
    <xf numFmtId="0" fontId="67" fillId="10" borderId="192" xfId="55" applyNumberFormat="1" applyFont="1" applyFill="1" applyBorder="1" applyAlignment="1">
      <alignment horizontal="right" vertical="center"/>
    </xf>
    <xf numFmtId="0" fontId="83" fillId="9" borderId="140" xfId="55" applyNumberFormat="1" applyFont="1" applyFill="1" applyBorder="1" applyAlignment="1">
      <alignment horizontal="center" vertical="center"/>
    </xf>
    <xf numFmtId="0" fontId="83" fillId="9" borderId="89" xfId="0" applyNumberFormat="1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 vertical="center"/>
    </xf>
    <xf numFmtId="2" fontId="83" fillId="9" borderId="118" xfId="0" applyNumberFormat="1" applyFont="1" applyFill="1" applyBorder="1" applyAlignment="1">
      <alignment horizontal="center" vertical="center"/>
    </xf>
    <xf numFmtId="2" fontId="83" fillId="9" borderId="172" xfId="0" applyNumberFormat="1" applyFont="1" applyFill="1" applyBorder="1" applyAlignment="1">
      <alignment horizontal="center" vertical="center"/>
    </xf>
    <xf numFmtId="0" fontId="86" fillId="9" borderId="140" xfId="55" applyNumberFormat="1" applyFont="1" applyFill="1" applyBorder="1" applyAlignment="1">
      <alignment vertical="top"/>
    </xf>
    <xf numFmtId="0" fontId="86" fillId="9" borderId="204" xfId="55" applyNumberFormat="1" applyFont="1" applyFill="1" applyBorder="1" applyAlignment="1">
      <alignment vertical="top"/>
    </xf>
    <xf numFmtId="0" fontId="86" fillId="9" borderId="200" xfId="55" applyNumberFormat="1" applyFont="1" applyFill="1" applyBorder="1" applyAlignment="1">
      <alignment vertical="top"/>
    </xf>
    <xf numFmtId="0" fontId="86" fillId="9" borderId="175" xfId="55" applyNumberFormat="1" applyFont="1" applyFill="1" applyBorder="1" applyAlignment="1">
      <alignment vertical="top"/>
    </xf>
    <xf numFmtId="2" fontId="83" fillId="9" borderId="125" xfId="0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center" vertical="center"/>
    </xf>
    <xf numFmtId="1" fontId="75" fillId="9" borderId="204" xfId="55" applyNumberFormat="1" applyFont="1" applyFill="1" applyBorder="1" applyAlignment="1">
      <alignment horizontal="center" vertical="center"/>
    </xf>
    <xf numFmtId="1" fontId="75" fillId="9" borderId="175" xfId="55" applyNumberFormat="1" applyFont="1" applyFill="1" applyBorder="1" applyAlignment="1">
      <alignment horizontal="center" vertical="center"/>
    </xf>
    <xf numFmtId="2" fontId="89" fillId="9" borderId="140" xfId="55" applyNumberFormat="1" applyFont="1" applyFill="1" applyBorder="1" applyAlignment="1">
      <alignment horizontal="left" vertical="center"/>
    </xf>
    <xf numFmtId="2" fontId="89" fillId="9" borderId="89" xfId="0" applyNumberFormat="1" applyFont="1" applyFill="1" applyBorder="1" applyAlignment="1">
      <alignment horizontal="right" vertical="center"/>
    </xf>
    <xf numFmtId="2" fontId="90" fillId="9" borderId="200" xfId="0" applyNumberFormat="1" applyFont="1" applyFill="1" applyBorder="1" applyAlignment="1">
      <alignment horizontal="left" vertical="center"/>
    </xf>
    <xf numFmtId="2" fontId="90" fillId="9" borderId="157" xfId="0" applyNumberFormat="1" applyFont="1" applyFill="1" applyBorder="1" applyAlignment="1">
      <alignment horizontal="right" vertical="center"/>
    </xf>
    <xf numFmtId="1" fontId="91" fillId="9" borderId="140" xfId="55" applyNumberFormat="1" applyFont="1" applyFill="1" applyBorder="1" applyAlignment="1">
      <alignment horizontal="left" vertical="center"/>
    </xf>
    <xf numFmtId="1" fontId="91" fillId="9" borderId="89" xfId="0" applyNumberFormat="1" applyFont="1" applyFill="1" applyBorder="1" applyAlignment="1">
      <alignment horizontal="right" vertical="center"/>
    </xf>
    <xf numFmtId="1" fontId="91" fillId="9" borderId="200" xfId="0" applyNumberFormat="1" applyFont="1" applyFill="1" applyBorder="1" applyAlignment="1">
      <alignment horizontal="left" vertical="center"/>
    </xf>
    <xf numFmtId="1" fontId="91" fillId="9" borderId="172" xfId="0" applyNumberFormat="1" applyFont="1" applyFill="1" applyBorder="1" applyAlignment="1">
      <alignment horizontal="right" vertical="center"/>
    </xf>
    <xf numFmtId="0" fontId="86" fillId="9" borderId="199" xfId="55" applyNumberFormat="1" applyFont="1" applyFill="1" applyBorder="1" applyAlignment="1">
      <alignment vertical="top"/>
    </xf>
    <xf numFmtId="0" fontId="86" fillId="9" borderId="160" xfId="55" applyNumberFormat="1" applyFont="1" applyFill="1" applyBorder="1" applyAlignment="1">
      <alignment vertical="top"/>
    </xf>
    <xf numFmtId="0" fontId="87" fillId="9" borderId="165" xfId="0" applyNumberFormat="1" applyFont="1" applyFill="1" applyBorder="1" applyAlignment="1">
      <alignment vertical="top"/>
    </xf>
    <xf numFmtId="0" fontId="87" fillId="9" borderId="200" xfId="0" applyNumberFormat="1" applyFont="1" applyFill="1" applyBorder="1" applyAlignment="1">
      <alignment vertical="top"/>
    </xf>
    <xf numFmtId="0" fontId="87" fillId="9" borderId="175" xfId="0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157" xfId="55" applyNumberFormat="1" applyFont="1" applyFill="1" applyBorder="1" applyAlignment="1">
      <alignment vertical="top"/>
    </xf>
    <xf numFmtId="0" fontId="83" fillId="9" borderId="205" xfId="55" applyNumberFormat="1" applyFont="1" applyFill="1" applyBorder="1" applyAlignment="1">
      <alignment vertical="center"/>
    </xf>
    <xf numFmtId="0" fontId="83" fillId="9" borderId="204" xfId="55" applyNumberFormat="1" applyFont="1" applyFill="1" applyBorder="1" applyAlignment="1">
      <alignment vertical="center"/>
    </xf>
    <xf numFmtId="0" fontId="83" fillId="9" borderId="200" xfId="55" applyNumberFormat="1" applyFont="1" applyFill="1" applyBorder="1" applyAlignment="1">
      <alignment vertical="center"/>
    </xf>
    <xf numFmtId="0" fontId="83" fillId="9" borderId="140" xfId="55" applyNumberFormat="1" applyFont="1" applyFill="1" applyBorder="1" applyAlignment="1">
      <alignment vertical="center"/>
    </xf>
    <xf numFmtId="0" fontId="83" fillId="9" borderId="175" xfId="55" applyNumberFormat="1" applyFont="1" applyFill="1" applyBorder="1" applyAlignment="1">
      <alignment vertical="center"/>
    </xf>
    <xf numFmtId="0" fontId="83" fillId="9" borderId="140" xfId="0" applyNumberFormat="1" applyFont="1" applyFill="1" applyBorder="1" applyAlignment="1">
      <alignment vertical="center"/>
    </xf>
    <xf numFmtId="0" fontId="83" fillId="9" borderId="165" xfId="0" applyNumberFormat="1" applyFont="1" applyFill="1" applyBorder="1" applyAlignment="1">
      <alignment vertical="center"/>
    </xf>
    <xf numFmtId="0" fontId="83" fillId="9" borderId="200" xfId="0" applyNumberFormat="1" applyFont="1" applyFill="1" applyBorder="1" applyAlignment="1">
      <alignment vertical="center"/>
    </xf>
    <xf numFmtId="0" fontId="40" fillId="9" borderId="165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0" fontId="40" fillId="9" borderId="175" xfId="0" applyNumberFormat="1" applyFont="1" applyFill="1" applyBorder="1" applyAlignment="1">
      <alignment vertical="center"/>
    </xf>
    <xf numFmtId="0" fontId="102" fillId="9" borderId="199" xfId="0" applyNumberFormat="1" applyFont="1" applyFill="1" applyBorder="1" applyAlignment="1">
      <alignment vertical="center"/>
    </xf>
    <xf numFmtId="0" fontId="108" fillId="9" borderId="165" xfId="0" applyNumberFormat="1" applyFont="1" applyFill="1" applyBorder="1" applyAlignment="1">
      <alignment vertical="top"/>
    </xf>
    <xf numFmtId="0" fontId="31" fillId="9" borderId="140" xfId="0" applyNumberFormat="1" applyFont="1" applyFill="1" applyBorder="1" applyAlignment="1">
      <alignment vertical="center"/>
    </xf>
    <xf numFmtId="2" fontId="110" fillId="9" borderId="165" xfId="0" applyNumberFormat="1" applyFont="1" applyFill="1" applyBorder="1" applyAlignment="1">
      <alignment vertical="center"/>
    </xf>
    <xf numFmtId="0" fontId="74" fillId="9" borderId="140" xfId="0" applyNumberFormat="1" applyFont="1" applyFill="1" applyBorder="1" applyAlignment="1">
      <alignment vertical="center"/>
    </xf>
    <xf numFmtId="2" fontId="75" fillId="9" borderId="175" xfId="0" applyNumberFormat="1" applyFont="1" applyFill="1" applyBorder="1" applyAlignment="1">
      <alignment horizontal="center" vertical="top"/>
    </xf>
    <xf numFmtId="0" fontId="102" fillId="9" borderId="140" xfId="0" applyNumberFormat="1" applyFont="1" applyFill="1" applyBorder="1" applyAlignment="1">
      <alignment vertical="center"/>
    </xf>
    <xf numFmtId="2" fontId="109" fillId="9" borderId="175" xfId="0" applyNumberFormat="1" applyFont="1" applyFill="1" applyBorder="1" applyAlignment="1">
      <alignment vertical="center"/>
    </xf>
    <xf numFmtId="2" fontId="120" fillId="9" borderId="175" xfId="0" applyNumberFormat="1" applyFont="1" applyFill="1" applyBorder="1" applyAlignment="1">
      <alignment vertical="center"/>
    </xf>
    <xf numFmtId="2" fontId="109" fillId="9" borderId="205" xfId="0" applyNumberFormat="1" applyFont="1" applyFill="1" applyBorder="1" applyAlignment="1">
      <alignment vertical="center"/>
    </xf>
    <xf numFmtId="1" fontId="107" fillId="11" borderId="127" xfId="77" applyNumberFormat="1" applyFont="1" applyFill="1" applyBorder="1" applyAlignment="1">
      <alignment horizontal="center" vertical="center"/>
    </xf>
    <xf numFmtId="0" fontId="86" fillId="9" borderId="140" xfId="0" applyNumberFormat="1" applyFont="1" applyFill="1" applyBorder="1" applyAlignment="1">
      <alignment horizontal="center" vertical="top"/>
    </xf>
    <xf numFmtId="0" fontId="86" fillId="9" borderId="95" xfId="0" applyNumberFormat="1" applyFont="1" applyFill="1" applyBorder="1" applyAlignment="1">
      <alignment horizontal="center" vertical="top"/>
    </xf>
    <xf numFmtId="0" fontId="86" fillId="9" borderId="168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0" fontId="75" fillId="9" borderId="89" xfId="0" applyNumberFormat="1" applyFont="1" applyFill="1" applyBorder="1" applyAlignment="1">
      <alignment horizontal="center"/>
    </xf>
    <xf numFmtId="0" fontId="75" fillId="9" borderId="101" xfId="0" applyNumberFormat="1" applyFont="1" applyFill="1" applyBorder="1" applyAlignment="1">
      <alignment horizontal="center"/>
    </xf>
    <xf numFmtId="0" fontId="75" fillId="9" borderId="96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9" xfId="0" applyNumberFormat="1" applyFont="1" applyFill="1" applyBorder="1" applyAlignment="1">
      <alignment horizontal="center"/>
    </xf>
    <xf numFmtId="3" fontId="121" fillId="7" borderId="207" xfId="0" applyNumberFormat="1" applyFont="1" applyFill="1" applyBorder="1" applyAlignment="1">
      <alignment horizontal="center" vertical="center"/>
    </xf>
    <xf numFmtId="3" fontId="122" fillId="7" borderId="188" xfId="0" applyNumberFormat="1" applyFont="1" applyFill="1" applyBorder="1" applyAlignment="1">
      <alignment horizontal="center" vertical="center"/>
    </xf>
    <xf numFmtId="170" fontId="122" fillId="7" borderId="197" xfId="0" applyNumberFormat="1" applyFont="1" applyFill="1" applyBorder="1" applyAlignment="1">
      <alignment horizontal="center" vertical="center"/>
    </xf>
    <xf numFmtId="170" fontId="123" fillId="7" borderId="197" xfId="0" applyNumberFormat="1" applyFont="1" applyFill="1" applyBorder="1" applyAlignment="1">
      <alignment vertical="center"/>
    </xf>
    <xf numFmtId="1" fontId="79" fillId="11" borderId="170" xfId="77" applyNumberFormat="1" applyFont="1" applyFill="1" applyBorder="1" applyAlignment="1">
      <alignment horizontal="center" vertical="center"/>
    </xf>
    <xf numFmtId="0" fontId="124" fillId="9" borderId="199" xfId="0" applyNumberFormat="1" applyFont="1" applyFill="1" applyBorder="1" applyAlignment="1">
      <alignment horizontal="center" vertical="center"/>
    </xf>
    <xf numFmtId="0" fontId="124" fillId="9" borderId="204" xfId="0" applyNumberFormat="1" applyFont="1" applyFill="1" applyBorder="1" applyAlignment="1">
      <alignment horizontal="center" vertical="center"/>
    </xf>
    <xf numFmtId="0" fontId="124" fillId="9" borderId="175" xfId="0" applyNumberFormat="1" applyFont="1" applyFill="1" applyBorder="1" applyAlignment="1">
      <alignment horizontal="center" vertical="center"/>
    </xf>
    <xf numFmtId="0" fontId="124" fillId="9" borderId="140" xfId="0" applyNumberFormat="1" applyFont="1" applyFill="1" applyBorder="1" applyAlignment="1">
      <alignment horizontal="center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1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67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86" fillId="9" borderId="96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/>
    </xf>
    <xf numFmtId="0" fontId="87" fillId="9" borderId="210" xfId="0" applyNumberFormat="1" applyFont="1" applyFill="1" applyBorder="1" applyAlignment="1">
      <alignment horizontal="center"/>
    </xf>
    <xf numFmtId="0" fontId="86" fillId="9" borderId="167" xfId="0" applyNumberFormat="1" applyFont="1" applyFill="1" applyBorder="1" applyAlignment="1">
      <alignment horizontal="center" vertical="top"/>
    </xf>
    <xf numFmtId="0" fontId="75" fillId="9" borderId="167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86" fillId="9" borderId="204" xfId="0" applyNumberFormat="1" applyFont="1" applyFill="1" applyBorder="1" applyAlignment="1">
      <alignment horizontal="center" vertical="top"/>
    </xf>
    <xf numFmtId="0" fontId="75" fillId="9" borderId="212" xfId="0" applyNumberFormat="1" applyFont="1" applyFill="1" applyBorder="1" applyAlignment="1">
      <alignment horizontal="center"/>
    </xf>
    <xf numFmtId="0" fontId="87" fillId="9" borderId="213" xfId="0" applyNumberFormat="1" applyFont="1" applyFill="1" applyBorder="1" applyAlignment="1">
      <alignment horizontal="center"/>
    </xf>
    <xf numFmtId="0" fontId="8" fillId="4" borderId="214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6" xfId="0" applyFont="1" applyFill="1" applyBorder="1" applyAlignment="1">
      <alignment horizontal="center" vertical="center"/>
    </xf>
    <xf numFmtId="0" fontId="55" fillId="25" borderId="217" xfId="0" applyFont="1" applyFill="1" applyBorder="1" applyAlignment="1">
      <alignment horizontal="center" vertical="center"/>
    </xf>
    <xf numFmtId="0" fontId="55" fillId="26" borderId="216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5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0" xfId="0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8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219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7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67" xfId="0" applyFont="1" applyFill="1" applyBorder="1" applyAlignment="1">
      <alignment horizontal="center" vertical="center"/>
    </xf>
    <xf numFmtId="0" fontId="30" fillId="9" borderId="171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95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208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134" fillId="9" borderId="134" xfId="55" applyNumberFormat="1" applyFont="1" applyFill="1" applyBorder="1" applyAlignment="1">
      <alignment horizontal="left" vertical="center"/>
    </xf>
    <xf numFmtId="0" fontId="134" fillId="9" borderId="176" xfId="55" applyNumberFormat="1" applyFont="1" applyFill="1" applyBorder="1" applyAlignment="1">
      <alignment horizontal="right" vertical="center"/>
    </xf>
    <xf numFmtId="0" fontId="135" fillId="25" borderId="34" xfId="0" applyFont="1" applyFill="1" applyBorder="1" applyAlignment="1">
      <alignment horizontal="center" vertical="center"/>
    </xf>
    <xf numFmtId="167" fontId="124" fillId="9" borderId="140" xfId="55" applyNumberFormat="1" applyFont="1" applyFill="1" applyBorder="1" applyAlignment="1">
      <alignment horizontal="center" vertical="center"/>
    </xf>
    <xf numFmtId="167" fontId="124" fillId="9" borderId="204" xfId="55" applyNumberFormat="1" applyFont="1" applyFill="1" applyBorder="1" applyAlignment="1">
      <alignment horizontal="center" vertical="center"/>
    </xf>
    <xf numFmtId="167" fontId="124" fillId="9" borderId="199" xfId="55" applyNumberFormat="1" applyFont="1" applyFill="1" applyBorder="1" applyAlignment="1">
      <alignment horizontal="center" vertical="center"/>
    </xf>
    <xf numFmtId="167" fontId="124" fillId="9" borderId="191" xfId="55" applyNumberFormat="1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222" xfId="55" applyNumberFormat="1" applyFont="1" applyFill="1" applyBorder="1" applyAlignment="1">
      <alignment horizontal="right" vertical="center"/>
    </xf>
    <xf numFmtId="0" fontId="50" fillId="21" borderId="223" xfId="0" applyFont="1" applyFill="1" applyBorder="1" applyAlignment="1">
      <alignment horizontal="center" vertical="center"/>
    </xf>
    <xf numFmtId="0" fontId="50" fillId="19" borderId="224" xfId="0" applyFont="1" applyFill="1" applyBorder="1" applyAlignment="1">
      <alignment horizontal="center" vertical="center"/>
    </xf>
    <xf numFmtId="0" fontId="124" fillId="9" borderId="140" xfId="55" applyNumberFormat="1" applyFont="1" applyFill="1" applyBorder="1" applyAlignment="1">
      <alignment horizontal="center" vertical="center"/>
    </xf>
    <xf numFmtId="0" fontId="124" fillId="9" borderId="204" xfId="55" applyNumberFormat="1" applyFont="1" applyFill="1" applyBorder="1" applyAlignment="1">
      <alignment horizontal="center" vertical="center"/>
    </xf>
    <xf numFmtId="0" fontId="124" fillId="9" borderId="199" xfId="55" applyNumberFormat="1" applyFont="1" applyFill="1" applyBorder="1" applyAlignment="1">
      <alignment horizontal="center" vertical="center"/>
    </xf>
    <xf numFmtId="0" fontId="124" fillId="9" borderId="191" xfId="55" applyNumberFormat="1" applyFont="1" applyFill="1" applyBorder="1" applyAlignment="1">
      <alignment horizontal="center" vertical="center"/>
    </xf>
    <xf numFmtId="0" fontId="116" fillId="0" borderId="3" xfId="0" applyFont="1" applyBorder="1" applyAlignment="1">
      <alignment horizont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48" xfId="0" applyNumberFormat="1" applyFont="1" applyFill="1" applyBorder="1" applyAlignment="1">
      <alignment horizontal="center" vertical="center"/>
    </xf>
    <xf numFmtId="2" fontId="75" fillId="9" borderId="178" xfId="0" applyNumberFormat="1" applyFont="1" applyFill="1" applyBorder="1" applyAlignment="1">
      <alignment horizontal="center" vertical="center"/>
    </xf>
    <xf numFmtId="2" fontId="75" fillId="9" borderId="158" xfId="0" applyNumberFormat="1" applyFont="1" applyFill="1" applyBorder="1" applyAlignment="1">
      <alignment horizontal="center" vertical="center"/>
    </xf>
    <xf numFmtId="0" fontId="13" fillId="9" borderId="143" xfId="0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36" fillId="9" borderId="143" xfId="0" applyFont="1" applyFill="1" applyBorder="1" applyAlignment="1">
      <alignment horizontal="center" vertical="center"/>
    </xf>
    <xf numFmtId="0" fontId="36" fillId="9" borderId="167" xfId="0" applyFont="1" applyFill="1" applyBorder="1" applyAlignment="1">
      <alignment horizontal="center" vertical="center"/>
    </xf>
    <xf numFmtId="2" fontId="75" fillId="9" borderId="161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8" fillId="38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44" fillId="38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28"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2" activePane="bottomLeft" state="frozen"/>
      <selection pane="bottomLeft" activeCell="X71" sqref="X71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5" bestFit="1" customWidth="1"/>
    <col min="25" max="25" width="9" style="351" bestFit="1" customWidth="1"/>
    <col min="26" max="26" width="10.28515625" style="35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1" t="s">
        <v>126</v>
      </c>
      <c r="B1" s="592" t="s">
        <v>337</v>
      </c>
      <c r="C1" s="591" t="s">
        <v>306</v>
      </c>
      <c r="D1" s="591" t="s">
        <v>307</v>
      </c>
      <c r="E1" s="592" t="s">
        <v>338</v>
      </c>
      <c r="F1" s="591" t="s">
        <v>127</v>
      </c>
      <c r="G1" s="592" t="s">
        <v>304</v>
      </c>
      <c r="H1" s="592" t="s">
        <v>128</v>
      </c>
      <c r="I1" s="592" t="s">
        <v>129</v>
      </c>
      <c r="J1" s="592" t="s">
        <v>130</v>
      </c>
      <c r="K1" s="592" t="s">
        <v>308</v>
      </c>
      <c r="L1" s="592" t="s">
        <v>305</v>
      </c>
      <c r="M1" s="592" t="s">
        <v>131</v>
      </c>
      <c r="N1" s="592" t="s">
        <v>132</v>
      </c>
      <c r="O1" s="592" t="s">
        <v>133</v>
      </c>
      <c r="P1" s="593"/>
      <c r="Q1" s="688"/>
      <c r="R1" s="689"/>
      <c r="S1" s="687" t="s">
        <v>595</v>
      </c>
      <c r="T1" s="690">
        <v>2.5000000000000001E-2</v>
      </c>
      <c r="U1" s="343">
        <v>0</v>
      </c>
      <c r="V1" s="295">
        <v>0</v>
      </c>
      <c r="W1" s="210">
        <v>1</v>
      </c>
      <c r="X1" s="211">
        <f>W1</f>
        <v>1</v>
      </c>
      <c r="Y1" s="492">
        <f>AA68</f>
        <v>102242.15246636771</v>
      </c>
      <c r="Z1" s="538">
        <v>100</v>
      </c>
      <c r="AA1" s="493">
        <v>100</v>
      </c>
      <c r="AB1" s="350">
        <f>Y1*($AE$1*$AD$1)</f>
        <v>504.2078751766079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2.4657534246575342E-3</v>
      </c>
      <c r="AF1" s="310" t="s">
        <v>315</v>
      </c>
      <c r="AG1" s="310" t="s">
        <v>316</v>
      </c>
      <c r="AH1" s="310" t="s">
        <v>317</v>
      </c>
      <c r="AI1" s="310" t="s">
        <v>318</v>
      </c>
      <c r="AJ1" s="311" t="s">
        <v>313</v>
      </c>
      <c r="AK1" s="309" t="s">
        <v>314</v>
      </c>
      <c r="AL1" s="212" t="s">
        <v>312</v>
      </c>
    </row>
    <row r="2" spans="1:42" ht="12.75" hidden="1" customHeight="1">
      <c r="A2" s="556" t="str">
        <f>IF(A18&lt;&gt;"",A18,"")</f>
        <v>BP27D - spot</v>
      </c>
      <c r="B2" s="368">
        <f t="shared" ref="B2:B29" si="0">IF(A2&lt;&gt;"",VLOOKUP($A2,$A$64:$N$175,2,0),"")</f>
        <v>1000</v>
      </c>
      <c r="C2" s="360">
        <f t="shared" ref="C2:C29" si="1">IF(A2&lt;&gt;"",VLOOKUP($A2,$A$60:$N$175,3,0),"")</f>
        <v>66.5</v>
      </c>
      <c r="D2" s="268">
        <f t="shared" ref="D2:D29" si="2">IF(A2&lt;&gt;"",VLOOKUP($A2,$A$60:$N$175,4,0),"")</f>
        <v>66.8</v>
      </c>
      <c r="E2" s="359">
        <f t="shared" ref="E2:E29" si="3">IF(A2&lt;&gt;"",VLOOKUP($A2,$A$60:$N$175,5,0),"")</f>
        <v>67970</v>
      </c>
      <c r="F2" s="308">
        <f t="shared" ref="F2:F29" si="4">IF($A2&lt;&gt;"",VLOOKUP($A2,$A$60:$N$175,6,0),"")</f>
        <v>66.8</v>
      </c>
      <c r="G2" s="370">
        <f t="shared" ref="G2:G29" si="5">IF($A2&lt;&gt;"",VLOOKUP($A2,$A$60:$N$175,7,0),"")</f>
        <v>-5.8999999999999999E-3</v>
      </c>
      <c r="H2" s="247">
        <f t="shared" ref="H2:H29" si="6">IF($A2&lt;&gt;"",VLOOKUP($A2,$A$60:$N$175,8,0),"")</f>
        <v>66.650000000000006</v>
      </c>
      <c r="I2" s="239">
        <f t="shared" ref="I2:I29" si="7">IF($A2&lt;&gt;"",VLOOKUP($A2,$A$60:$N$175,9,0),"")</f>
        <v>67.69</v>
      </c>
      <c r="J2" s="324">
        <f t="shared" ref="J2:J29" si="8">IF($A2&lt;&gt;"",VLOOKUP($A2,$A$60:$N$175,10,0),"")</f>
        <v>66.2</v>
      </c>
      <c r="K2" s="243">
        <f t="shared" ref="K2:K29" si="9">IF($A2&lt;&gt;"",VLOOKUP($A2,$A$60:$N$175,11,0),"")</f>
        <v>67.2</v>
      </c>
      <c r="L2" s="269">
        <f t="shared" ref="L2:L29" si="10">IF($A2&lt;&gt;"",VLOOKUP($A2,$A$60:$N$175,12,0),"")</f>
        <v>1087151</v>
      </c>
      <c r="M2" s="243">
        <f t="shared" ref="M2:M29" si="11">IF($A2&lt;&gt;"",VLOOKUP($A2,$A$60:$N$175,13,0),"")</f>
        <v>1628560</v>
      </c>
      <c r="N2" s="269">
        <f t="shared" ref="N2:N29" si="12">IF($A2&lt;&gt;"",VLOOKUP($A2,$A$60:$N$175,14,0),"")</f>
        <v>227</v>
      </c>
      <c r="O2" s="317">
        <f t="shared" ref="O2:O29" si="13">IF($A2&lt;&gt;"",VLOOKUP($A2,$A$60:$O$175,15,0),"")</f>
        <v>45350.687800925924</v>
      </c>
      <c r="P2" s="329">
        <v>1</v>
      </c>
      <c r="Q2" s="479">
        <v>0</v>
      </c>
      <c r="R2" s="472">
        <v>0</v>
      </c>
      <c r="S2" s="304">
        <v>0</v>
      </c>
      <c r="T2" s="262">
        <v>0</v>
      </c>
      <c r="U2" s="291">
        <v>0</v>
      </c>
      <c r="V2" s="348">
        <v>0</v>
      </c>
      <c r="W2" s="654">
        <v>0</v>
      </c>
      <c r="X2" s="652">
        <v>0</v>
      </c>
      <c r="Y2" s="626">
        <f>IFERROR(IF($Y$1&lt;&gt;"",INT($Y$1/(D5/100)),100),100)</f>
        <v>150</v>
      </c>
      <c r="Z2" s="446">
        <f>IFERROR($C2*(1-$V$1)/100*$Y2,"")</f>
        <v>99.75</v>
      </c>
      <c r="AA2" s="799">
        <f>IFERROR($Z2-$Z3,"")</f>
        <v>0.29200000000000159</v>
      </c>
      <c r="AD2" s="334" t="s">
        <v>319</v>
      </c>
      <c r="AE2" s="340">
        <v>45351</v>
      </c>
      <c r="AF2" s="332">
        <v>167440729.33000001</v>
      </c>
      <c r="AG2" s="333">
        <v>0.91200000000000003</v>
      </c>
      <c r="AH2" s="333">
        <v>0.91500000000000004</v>
      </c>
      <c r="AI2" s="332">
        <v>200000000</v>
      </c>
      <c r="AJ2" s="337">
        <v>0.91200000000000003</v>
      </c>
      <c r="AK2" s="332"/>
    </row>
    <row r="3" spans="1:42" ht="12.75" hidden="1" customHeight="1">
      <c r="A3" s="555" t="s">
        <v>14</v>
      </c>
      <c r="B3" s="361">
        <f t="shared" si="0"/>
        <v>1242</v>
      </c>
      <c r="C3" s="358">
        <f t="shared" si="1"/>
        <v>44.280999999999999</v>
      </c>
      <c r="D3" s="362">
        <f t="shared" si="2"/>
        <v>44.6</v>
      </c>
      <c r="E3" s="366">
        <f t="shared" si="3"/>
        <v>6250</v>
      </c>
      <c r="F3" s="250">
        <f t="shared" si="4"/>
        <v>44.6</v>
      </c>
      <c r="G3" s="371">
        <f t="shared" si="5"/>
        <v>1.7500000000000002E-2</v>
      </c>
      <c r="H3" s="246">
        <f t="shared" si="6"/>
        <v>43.598999999999997</v>
      </c>
      <c r="I3" s="237">
        <f t="shared" si="7"/>
        <v>44.856999999999999</v>
      </c>
      <c r="J3" s="321">
        <f t="shared" si="8"/>
        <v>42.81</v>
      </c>
      <c r="K3" s="241">
        <f t="shared" si="9"/>
        <v>43.832000000000001</v>
      </c>
      <c r="L3" s="244">
        <f t="shared" si="10"/>
        <v>52243086</v>
      </c>
      <c r="M3" s="241">
        <f t="shared" si="11"/>
        <v>118858736</v>
      </c>
      <c r="N3" s="244">
        <f t="shared" si="12"/>
        <v>46952</v>
      </c>
      <c r="O3" s="318">
        <f t="shared" si="13"/>
        <v>45350.687534722223</v>
      </c>
      <c r="P3" s="328">
        <v>2</v>
      </c>
      <c r="Q3" s="281">
        <v>0</v>
      </c>
      <c r="R3" s="473">
        <v>0</v>
      </c>
      <c r="S3" s="301">
        <v>0</v>
      </c>
      <c r="T3" s="261">
        <v>0</v>
      </c>
      <c r="U3" s="292">
        <v>0</v>
      </c>
      <c r="V3" s="349">
        <v>0</v>
      </c>
      <c r="W3" s="655">
        <v>0</v>
      </c>
      <c r="X3" s="632">
        <v>0</v>
      </c>
      <c r="Y3" s="627">
        <f>IFERROR(INT($Z2/($D3*(1+$V$1)/100)),0)</f>
        <v>223</v>
      </c>
      <c r="Z3" s="447">
        <f>$D3/100*INT($Y3)</f>
        <v>99.457999999999998</v>
      </c>
      <c r="AA3" s="800"/>
      <c r="AD3" s="49" t="s">
        <v>320</v>
      </c>
      <c r="AE3" s="341">
        <v>45352</v>
      </c>
      <c r="AF3" s="48">
        <v>83614652.930000007</v>
      </c>
      <c r="AG3" s="52">
        <v>0.9</v>
      </c>
      <c r="AH3" s="52">
        <v>0.92299999999999993</v>
      </c>
      <c r="AI3" s="48">
        <v>495145.81</v>
      </c>
      <c r="AJ3" s="338">
        <v>0.9</v>
      </c>
      <c r="AK3" s="48">
        <v>12346667573</v>
      </c>
    </row>
    <row r="4" spans="1:42" ht="12.75" hidden="1" customHeight="1">
      <c r="A4" s="388" t="s">
        <v>13</v>
      </c>
      <c r="B4" s="368">
        <f t="shared" si="0"/>
        <v>2590</v>
      </c>
      <c r="C4" s="360">
        <f t="shared" si="1"/>
        <v>45600</v>
      </c>
      <c r="D4" s="357">
        <f t="shared" si="2"/>
        <v>45650</v>
      </c>
      <c r="E4" s="363">
        <f t="shared" si="3"/>
        <v>44680</v>
      </c>
      <c r="F4" s="308">
        <f t="shared" si="4"/>
        <v>45650</v>
      </c>
      <c r="G4" s="370">
        <f t="shared" si="5"/>
        <v>-3.0000000000000001E-3</v>
      </c>
      <c r="H4" s="247">
        <f t="shared" si="6"/>
        <v>46185</v>
      </c>
      <c r="I4" s="239">
        <f t="shared" si="7"/>
        <v>46220</v>
      </c>
      <c r="J4" s="324">
        <f t="shared" si="8"/>
        <v>45090</v>
      </c>
      <c r="K4" s="243">
        <f t="shared" si="9"/>
        <v>45790</v>
      </c>
      <c r="L4" s="269">
        <f t="shared" si="10"/>
        <v>93917874554</v>
      </c>
      <c r="M4" s="243">
        <f t="shared" si="11"/>
        <v>206410715</v>
      </c>
      <c r="N4" s="269">
        <f t="shared" si="12"/>
        <v>70243</v>
      </c>
      <c r="O4" s="317">
        <f t="shared" si="13"/>
        <v>45350.687824074077</v>
      </c>
      <c r="P4" s="329">
        <v>3</v>
      </c>
      <c r="Q4" s="284">
        <v>0</v>
      </c>
      <c r="R4" s="472">
        <v>0</v>
      </c>
      <c r="S4" s="304">
        <v>0</v>
      </c>
      <c r="T4" s="262">
        <v>0</v>
      </c>
      <c r="U4" s="291">
        <v>0</v>
      </c>
      <c r="V4" s="348">
        <v>0</v>
      </c>
      <c r="W4" s="656">
        <v>0</v>
      </c>
      <c r="X4" s="633">
        <v>0</v>
      </c>
      <c r="Y4" s="628">
        <f t="shared" ref="Y4:Y12" si="14">Y3</f>
        <v>223</v>
      </c>
      <c r="Z4" s="355">
        <f>$C4*(1-$V$1)/100*INT($Y4)</f>
        <v>101688</v>
      </c>
      <c r="AA4" s="801">
        <f>IFERROR($Z4-$Z5,"")</f>
        <v>368</v>
      </c>
      <c r="AD4" s="334" t="s">
        <v>321</v>
      </c>
      <c r="AE4" s="341">
        <v>45353</v>
      </c>
      <c r="AF4" s="332"/>
      <c r="AG4" s="333"/>
      <c r="AH4" s="333"/>
      <c r="AI4" s="332"/>
      <c r="AJ4" s="337"/>
      <c r="AK4" s="332"/>
      <c r="AL4" s="47"/>
    </row>
    <row r="5" spans="1:42" ht="12.75" hidden="1" customHeight="1">
      <c r="A5" s="557" t="str">
        <f>IF(A2&lt;&gt;"",Z18,"")</f>
        <v>BPO27 - spot</v>
      </c>
      <c r="B5" s="379">
        <f t="shared" si="0"/>
        <v>49790</v>
      </c>
      <c r="C5" s="380">
        <f t="shared" si="1"/>
        <v>67900</v>
      </c>
      <c r="D5" s="381">
        <f t="shared" si="2"/>
        <v>68000</v>
      </c>
      <c r="E5" s="382">
        <f t="shared" si="3"/>
        <v>5370</v>
      </c>
      <c r="F5" s="383">
        <f t="shared" si="4"/>
        <v>68000</v>
      </c>
      <c r="G5" s="384">
        <f t="shared" si="5"/>
        <v>-2.3599999999999999E-2</v>
      </c>
      <c r="H5" s="270">
        <f t="shared" si="6"/>
        <v>69700</v>
      </c>
      <c r="I5" s="271">
        <f t="shared" si="7"/>
        <v>71000</v>
      </c>
      <c r="J5" s="326">
        <f t="shared" si="8"/>
        <v>67500</v>
      </c>
      <c r="K5" s="272">
        <f t="shared" si="9"/>
        <v>69650</v>
      </c>
      <c r="L5" s="275">
        <f t="shared" si="10"/>
        <v>6017722076</v>
      </c>
      <c r="M5" s="272">
        <f t="shared" si="11"/>
        <v>8790240</v>
      </c>
      <c r="N5" s="551">
        <f t="shared" si="12"/>
        <v>488</v>
      </c>
      <c r="O5" s="320">
        <f t="shared" si="13"/>
        <v>45350.687511574077</v>
      </c>
      <c r="P5" s="328">
        <v>4</v>
      </c>
      <c r="Q5" s="283">
        <v>0</v>
      </c>
      <c r="R5" s="552">
        <v>0</v>
      </c>
      <c r="S5" s="307">
        <v>0</v>
      </c>
      <c r="T5" s="553">
        <v>0</v>
      </c>
      <c r="U5" s="491">
        <v>0</v>
      </c>
      <c r="V5" s="349">
        <v>0</v>
      </c>
      <c r="W5" s="554">
        <v>0</v>
      </c>
      <c r="X5" s="653">
        <v>0</v>
      </c>
      <c r="Y5" s="629">
        <f>IFERROR($Z4/($D5*(1+$V$1)/100),0)</f>
        <v>149.54117647058823</v>
      </c>
      <c r="Z5" s="387">
        <f>IFERROR($D5/100*INT($Y5),"")</f>
        <v>101320</v>
      </c>
      <c r="AA5" s="803"/>
      <c r="AD5" s="49" t="s">
        <v>322</v>
      </c>
      <c r="AE5" s="341">
        <v>45354</v>
      </c>
      <c r="AF5" s="48"/>
      <c r="AG5" s="52"/>
      <c r="AH5" s="52"/>
      <c r="AI5" s="48"/>
      <c r="AJ5" s="338"/>
      <c r="AK5" s="48"/>
      <c r="AL5" s="47"/>
    </row>
    <row r="6" spans="1:42" ht="12.75" hidden="1" customHeight="1">
      <c r="A6" s="356" t="str">
        <f>IF(A18&lt;&gt;"",A18,"")</f>
        <v>BP27D - spot</v>
      </c>
      <c r="B6" s="368">
        <f t="shared" si="0"/>
        <v>1000</v>
      </c>
      <c r="C6" s="360">
        <f t="shared" si="1"/>
        <v>66.5</v>
      </c>
      <c r="D6" s="268">
        <f t="shared" si="2"/>
        <v>66.8</v>
      </c>
      <c r="E6" s="359">
        <f t="shared" si="3"/>
        <v>67970</v>
      </c>
      <c r="F6" s="308">
        <f t="shared" si="4"/>
        <v>66.8</v>
      </c>
      <c r="G6" s="370">
        <f t="shared" si="5"/>
        <v>-5.8999999999999999E-3</v>
      </c>
      <c r="H6" s="245">
        <f t="shared" si="6"/>
        <v>66.650000000000006</v>
      </c>
      <c r="I6" s="236">
        <f t="shared" si="7"/>
        <v>67.69</v>
      </c>
      <c r="J6" s="322">
        <f t="shared" si="8"/>
        <v>66.2</v>
      </c>
      <c r="K6" s="240">
        <f t="shared" si="9"/>
        <v>67.2</v>
      </c>
      <c r="L6" s="277">
        <f t="shared" si="10"/>
        <v>1087151</v>
      </c>
      <c r="M6" s="240">
        <f t="shared" si="11"/>
        <v>1628560</v>
      </c>
      <c r="N6" s="277">
        <f t="shared" si="12"/>
        <v>227</v>
      </c>
      <c r="O6" s="313">
        <f t="shared" si="13"/>
        <v>45350.687800925924</v>
      </c>
      <c r="P6" s="329">
        <v>5</v>
      </c>
      <c r="Q6" s="480">
        <v>0</v>
      </c>
      <c r="R6" s="474">
        <v>0</v>
      </c>
      <c r="S6" s="302">
        <v>0</v>
      </c>
      <c r="T6" s="255">
        <v>0</v>
      </c>
      <c r="U6" s="490">
        <v>0</v>
      </c>
      <c r="V6" s="348">
        <v>0</v>
      </c>
      <c r="W6" s="657">
        <v>0</v>
      </c>
      <c r="X6" s="631">
        <v>0</v>
      </c>
      <c r="Y6" s="626">
        <f>IFERROR(IF($Y$1&lt;&gt;"",INT($Y$1/(D9/100)),100),100)</f>
        <v>150</v>
      </c>
      <c r="Z6" s="353">
        <f>IFERROR($C6*(1-$V$1)/100*$Y6,"")</f>
        <v>99.75</v>
      </c>
      <c r="AA6" s="799">
        <f>IFERROR($Z6-$Z7,"")</f>
        <v>9.8799999999997112E-2</v>
      </c>
      <c r="AB6" s="235"/>
      <c r="AD6" s="334" t="s">
        <v>323</v>
      </c>
      <c r="AE6" s="341">
        <v>45355</v>
      </c>
      <c r="AF6" s="332">
        <v>37473736.359999999</v>
      </c>
      <c r="AG6" s="333">
        <v>0.89910000000000001</v>
      </c>
      <c r="AH6" s="333">
        <v>0.91799999999999993</v>
      </c>
      <c r="AI6" s="332">
        <v>228135.86</v>
      </c>
      <c r="AJ6" s="337">
        <v>0.89910000000000001</v>
      </c>
      <c r="AK6" s="332">
        <v>2644403419</v>
      </c>
    </row>
    <row r="7" spans="1:42" ht="12.75" hidden="1" customHeight="1">
      <c r="A7" s="555" t="s">
        <v>18</v>
      </c>
      <c r="B7" s="361">
        <f t="shared" si="0"/>
        <v>38000</v>
      </c>
      <c r="C7" s="358">
        <f t="shared" si="1"/>
        <v>47.58</v>
      </c>
      <c r="D7" s="362">
        <f t="shared" si="2"/>
        <v>47.68</v>
      </c>
      <c r="E7" s="366">
        <f t="shared" si="3"/>
        <v>6328</v>
      </c>
      <c r="F7" s="250">
        <f t="shared" si="4"/>
        <v>47.58</v>
      </c>
      <c r="G7" s="371">
        <f t="shared" si="5"/>
        <v>3.7000000000000002E-3</v>
      </c>
      <c r="H7" s="246">
        <f t="shared" si="6"/>
        <v>47.7</v>
      </c>
      <c r="I7" s="237">
        <f t="shared" si="7"/>
        <v>47.997999999999998</v>
      </c>
      <c r="J7" s="321">
        <f t="shared" si="8"/>
        <v>46.564</v>
      </c>
      <c r="K7" s="241">
        <f t="shared" si="9"/>
        <v>47.4</v>
      </c>
      <c r="L7" s="244">
        <f t="shared" si="10"/>
        <v>5213333</v>
      </c>
      <c r="M7" s="253">
        <f t="shared" si="11"/>
        <v>11066535</v>
      </c>
      <c r="N7" s="244">
        <f t="shared" si="12"/>
        <v>6296</v>
      </c>
      <c r="O7" s="312">
        <f t="shared" si="13"/>
        <v>45350.687638888892</v>
      </c>
      <c r="P7" s="328">
        <v>6</v>
      </c>
      <c r="Q7" s="281">
        <v>0</v>
      </c>
      <c r="R7" s="473">
        <v>0</v>
      </c>
      <c r="S7" s="301">
        <v>0</v>
      </c>
      <c r="T7" s="254">
        <v>0</v>
      </c>
      <c r="U7" s="292">
        <v>0</v>
      </c>
      <c r="V7" s="349">
        <v>0</v>
      </c>
      <c r="W7" s="655">
        <v>0</v>
      </c>
      <c r="X7" s="632">
        <v>0</v>
      </c>
      <c r="Y7" s="627">
        <f>IFERROR(INT($Z6/($D7*(1+$V$1)/100)),0)</f>
        <v>209</v>
      </c>
      <c r="Z7" s="354">
        <f>IFERROR($D7/100*INT($Y7),"")</f>
        <v>99.651200000000003</v>
      </c>
      <c r="AA7" s="800"/>
      <c r="AD7" s="49" t="s">
        <v>324</v>
      </c>
      <c r="AE7" s="341">
        <v>45356</v>
      </c>
      <c r="AF7" s="48">
        <v>17467750.23</v>
      </c>
      <c r="AG7" s="52">
        <v>0.90159999999999996</v>
      </c>
      <c r="AH7" s="52">
        <v>0.93</v>
      </c>
      <c r="AI7" s="48">
        <v>601862.26</v>
      </c>
      <c r="AJ7" s="338">
        <v>0.90159999999999996</v>
      </c>
      <c r="AK7" s="48">
        <v>1343405199</v>
      </c>
    </row>
    <row r="8" spans="1:42" hidden="1">
      <c r="A8" s="388" t="s">
        <v>16</v>
      </c>
      <c r="B8" s="368">
        <f t="shared" si="0"/>
        <v>69919</v>
      </c>
      <c r="C8" s="360">
        <f t="shared" si="1"/>
        <v>48600</v>
      </c>
      <c r="D8" s="357">
        <f t="shared" si="2"/>
        <v>48830</v>
      </c>
      <c r="E8" s="363">
        <f t="shared" si="3"/>
        <v>2134</v>
      </c>
      <c r="F8" s="308">
        <f t="shared" si="4"/>
        <v>48600</v>
      </c>
      <c r="G8" s="370">
        <f t="shared" si="5"/>
        <v>-1.3100000000000001E-2</v>
      </c>
      <c r="H8" s="245">
        <f t="shared" si="6"/>
        <v>49990</v>
      </c>
      <c r="I8" s="236">
        <f t="shared" si="7"/>
        <v>49990</v>
      </c>
      <c r="J8" s="322">
        <f t="shared" si="8"/>
        <v>48015</v>
      </c>
      <c r="K8" s="240">
        <f t="shared" si="9"/>
        <v>49250</v>
      </c>
      <c r="L8" s="277">
        <f t="shared" si="10"/>
        <v>13456498127</v>
      </c>
      <c r="M8" s="240">
        <f t="shared" si="11"/>
        <v>27608223</v>
      </c>
      <c r="N8" s="277">
        <f t="shared" si="12"/>
        <v>9575</v>
      </c>
      <c r="O8" s="313">
        <f t="shared" si="13"/>
        <v>45350.687615740739</v>
      </c>
      <c r="P8" s="329">
        <v>7</v>
      </c>
      <c r="Q8" s="480">
        <v>0</v>
      </c>
      <c r="R8" s="474">
        <v>0</v>
      </c>
      <c r="S8" s="302">
        <v>0</v>
      </c>
      <c r="T8" s="255">
        <v>0</v>
      </c>
      <c r="U8" s="291">
        <v>0</v>
      </c>
      <c r="V8" s="348">
        <v>0</v>
      </c>
      <c r="W8" s="656">
        <v>0</v>
      </c>
      <c r="X8" s="633">
        <v>0</v>
      </c>
      <c r="Y8" s="628">
        <f t="shared" si="14"/>
        <v>209</v>
      </c>
      <c r="Z8" s="355">
        <f>IFERROR($C8*(1-$V$1)/100*INT($Y8),"")</f>
        <v>101574</v>
      </c>
      <c r="AA8" s="801">
        <f>IFERROR($Z8-$Z9,"")</f>
        <v>254</v>
      </c>
      <c r="AD8" s="334" t="s">
        <v>325</v>
      </c>
      <c r="AE8" s="341">
        <v>45357</v>
      </c>
      <c r="AF8" s="332">
        <v>1210766.98</v>
      </c>
      <c r="AG8" s="333">
        <v>0.87</v>
      </c>
      <c r="AH8" s="333">
        <v>0.92249999999999999</v>
      </c>
      <c r="AI8" s="332">
        <v>200000000</v>
      </c>
      <c r="AJ8" s="337">
        <v>0.87</v>
      </c>
      <c r="AK8" s="332">
        <v>129936594635</v>
      </c>
    </row>
    <row r="9" spans="1:42" ht="12.75" hidden="1" customHeight="1">
      <c r="A9" s="529" t="str">
        <f>IF(A6&lt;&gt;"",Z18,"")</f>
        <v>BPO27 - spot</v>
      </c>
      <c r="B9" s="530">
        <f t="shared" si="0"/>
        <v>49790</v>
      </c>
      <c r="C9" s="515">
        <f t="shared" si="1"/>
        <v>67900</v>
      </c>
      <c r="D9" s="516">
        <f t="shared" si="2"/>
        <v>68000</v>
      </c>
      <c r="E9" s="531">
        <f t="shared" si="3"/>
        <v>5370</v>
      </c>
      <c r="F9" s="517">
        <f t="shared" si="4"/>
        <v>68000</v>
      </c>
      <c r="G9" s="518">
        <f t="shared" si="5"/>
        <v>-2.3599999999999999E-2</v>
      </c>
      <c r="H9" s="519">
        <f t="shared" si="6"/>
        <v>69700</v>
      </c>
      <c r="I9" s="520">
        <f t="shared" si="7"/>
        <v>71000</v>
      </c>
      <c r="J9" s="521">
        <f t="shared" si="8"/>
        <v>67500</v>
      </c>
      <c r="K9" s="522">
        <f t="shared" si="9"/>
        <v>69650</v>
      </c>
      <c r="L9" s="506">
        <f t="shared" si="10"/>
        <v>6017722076</v>
      </c>
      <c r="M9" s="522">
        <f t="shared" si="11"/>
        <v>8790240</v>
      </c>
      <c r="N9" s="506">
        <f t="shared" si="12"/>
        <v>488</v>
      </c>
      <c r="O9" s="523">
        <f t="shared" si="13"/>
        <v>45350.687511574077</v>
      </c>
      <c r="P9" s="328">
        <v>8</v>
      </c>
      <c r="Q9" s="508">
        <v>0</v>
      </c>
      <c r="R9" s="524">
        <v>0</v>
      </c>
      <c r="S9" s="510">
        <v>0</v>
      </c>
      <c r="T9" s="550">
        <v>0</v>
      </c>
      <c r="U9" s="491">
        <v>0</v>
      </c>
      <c r="V9" s="535">
        <v>0</v>
      </c>
      <c r="W9" s="658">
        <v>0</v>
      </c>
      <c r="X9" s="634">
        <v>0</v>
      </c>
      <c r="Y9" s="630">
        <f>IFERROR($Z8/($D9*(1+$V$1)/100),0)</f>
        <v>149.37352941176471</v>
      </c>
      <c r="Z9" s="533">
        <f>IFERROR($D9/100*INT($Y9),"")</f>
        <v>101320</v>
      </c>
      <c r="AA9" s="802"/>
      <c r="AD9" s="49"/>
      <c r="AE9" s="341"/>
      <c r="AF9" s="335"/>
      <c r="AG9" s="336"/>
      <c r="AH9" s="336"/>
      <c r="AI9" s="335"/>
      <c r="AJ9" s="339"/>
      <c r="AK9" s="335"/>
    </row>
    <row r="10" spans="1:42" ht="12.75" hidden="1" customHeight="1">
      <c r="A10" s="356" t="s">
        <v>7</v>
      </c>
      <c r="B10" s="368">
        <f t="shared" si="0"/>
        <v>300</v>
      </c>
      <c r="C10" s="360">
        <f t="shared" si="1"/>
        <v>47.51</v>
      </c>
      <c r="D10" s="268">
        <f t="shared" si="2"/>
        <v>47.84</v>
      </c>
      <c r="E10" s="359">
        <f t="shared" si="3"/>
        <v>6407</v>
      </c>
      <c r="F10" s="308">
        <f t="shared" si="4"/>
        <v>47.84</v>
      </c>
      <c r="G10" s="370">
        <f t="shared" si="5"/>
        <v>1.1399999999999999E-2</v>
      </c>
      <c r="H10" s="245">
        <f t="shared" si="6"/>
        <v>47</v>
      </c>
      <c r="I10" s="236">
        <f t="shared" si="7"/>
        <v>47.84</v>
      </c>
      <c r="J10" s="322">
        <f t="shared" si="8"/>
        <v>46.3</v>
      </c>
      <c r="K10" s="240">
        <f t="shared" si="9"/>
        <v>47.298999999999999</v>
      </c>
      <c r="L10" s="277">
        <f t="shared" si="10"/>
        <v>1673459</v>
      </c>
      <c r="M10" s="240">
        <f t="shared" si="11"/>
        <v>3539790</v>
      </c>
      <c r="N10" s="277">
        <f t="shared" si="12"/>
        <v>1597</v>
      </c>
      <c r="O10" s="313">
        <f t="shared" si="13"/>
        <v>45350.704525462963</v>
      </c>
      <c r="P10" s="329">
        <v>9</v>
      </c>
      <c r="Q10" s="480">
        <v>0</v>
      </c>
      <c r="R10" s="474">
        <v>0</v>
      </c>
      <c r="S10" s="302">
        <v>0</v>
      </c>
      <c r="T10" s="255">
        <v>0</v>
      </c>
      <c r="U10" s="490">
        <v>0</v>
      </c>
      <c r="V10" s="348">
        <v>0</v>
      </c>
      <c r="W10" s="659">
        <v>0</v>
      </c>
      <c r="X10" s="631">
        <v>0</v>
      </c>
      <c r="Y10" s="626">
        <f>IFERROR(IF($Y$1&lt;&gt;"",INT($Y$1/(D13/100)),100),100)</f>
        <v>206</v>
      </c>
      <c r="Z10" s="353">
        <f>IFERROR($C10*(1-$V$1)/100*$Y10,"")</f>
        <v>97.870599999999996</v>
      </c>
      <c r="AA10" s="799">
        <f>IFERROR($Z10-$Z11,"")</f>
        <v>0.46809999999999263</v>
      </c>
      <c r="AB10" s="235"/>
      <c r="AF10" s="213"/>
      <c r="AH10" s="213"/>
      <c r="AJ10" s="47"/>
      <c r="AK10" s="47"/>
    </row>
    <row r="11" spans="1:42" ht="12.75" hidden="1" customHeight="1">
      <c r="A11" s="389" t="s">
        <v>573</v>
      </c>
      <c r="B11" s="361">
        <f t="shared" si="0"/>
        <v>25</v>
      </c>
      <c r="C11" s="358">
        <f t="shared" si="1"/>
        <v>83.06</v>
      </c>
      <c r="D11" s="362">
        <f t="shared" si="2"/>
        <v>83.25</v>
      </c>
      <c r="E11" s="366">
        <f t="shared" si="3"/>
        <v>8333</v>
      </c>
      <c r="F11" s="250">
        <f t="shared" si="4"/>
        <v>83.25</v>
      </c>
      <c r="G11" s="371">
        <f t="shared" si="5"/>
        <v>5.9999999999999995E-4</v>
      </c>
      <c r="H11" s="246">
        <f t="shared" si="6"/>
        <v>83.25</v>
      </c>
      <c r="I11" s="237">
        <f t="shared" si="7"/>
        <v>84</v>
      </c>
      <c r="J11" s="321">
        <f t="shared" si="8"/>
        <v>82.8</v>
      </c>
      <c r="K11" s="241">
        <f t="shared" si="9"/>
        <v>83.2</v>
      </c>
      <c r="L11" s="244">
        <f t="shared" si="10"/>
        <v>254941</v>
      </c>
      <c r="M11" s="241">
        <f t="shared" si="11"/>
        <v>306572</v>
      </c>
      <c r="N11" s="244">
        <f t="shared" si="12"/>
        <v>351</v>
      </c>
      <c r="O11" s="312">
        <f t="shared" si="13"/>
        <v>45350.708344907405</v>
      </c>
      <c r="P11" s="328">
        <v>10</v>
      </c>
      <c r="Q11" s="281">
        <v>0</v>
      </c>
      <c r="R11" s="473">
        <v>0</v>
      </c>
      <c r="S11" s="301">
        <v>0</v>
      </c>
      <c r="T11" s="254">
        <v>0</v>
      </c>
      <c r="U11" s="292">
        <v>0</v>
      </c>
      <c r="V11" s="349">
        <v>0</v>
      </c>
      <c r="W11" s="660">
        <v>0</v>
      </c>
      <c r="X11" s="632">
        <v>0</v>
      </c>
      <c r="Y11" s="627">
        <f>IFERROR(INT($Z10/($D11*(1+$V$1)/100)),0)</f>
        <v>117</v>
      </c>
      <c r="Z11" s="354">
        <f>IFERROR($D11/100*INT($Y11),"")</f>
        <v>97.402500000000003</v>
      </c>
      <c r="AA11" s="800"/>
    </row>
    <row r="12" spans="1:42" ht="12.75" hidden="1" customHeight="1">
      <c r="A12" s="388" t="s">
        <v>569</v>
      </c>
      <c r="B12" s="368">
        <f t="shared" si="0"/>
        <v>570</v>
      </c>
      <c r="C12" s="360">
        <f t="shared" si="1"/>
        <v>85800</v>
      </c>
      <c r="D12" s="357">
        <f t="shared" si="2"/>
        <v>86000</v>
      </c>
      <c r="E12" s="363">
        <f t="shared" si="3"/>
        <v>4651</v>
      </c>
      <c r="F12" s="308">
        <f t="shared" si="4"/>
        <v>86000</v>
      </c>
      <c r="G12" s="370">
        <f t="shared" si="5"/>
        <v>-6.0999999999999995E-3</v>
      </c>
      <c r="H12" s="245">
        <f t="shared" si="6"/>
        <v>88990</v>
      </c>
      <c r="I12" s="236">
        <f t="shared" si="7"/>
        <v>88990</v>
      </c>
      <c r="J12" s="322">
        <f t="shared" si="8"/>
        <v>84010</v>
      </c>
      <c r="K12" s="240">
        <f t="shared" si="9"/>
        <v>86530</v>
      </c>
      <c r="L12" s="277">
        <f t="shared" si="10"/>
        <v>317406276</v>
      </c>
      <c r="M12" s="240">
        <f t="shared" si="11"/>
        <v>367567</v>
      </c>
      <c r="N12" s="277">
        <f t="shared" si="12"/>
        <v>901</v>
      </c>
      <c r="O12" s="313">
        <f t="shared" si="13"/>
        <v>45350.70853009259</v>
      </c>
      <c r="P12" s="329">
        <v>11</v>
      </c>
      <c r="Q12" s="480">
        <v>0</v>
      </c>
      <c r="R12" s="474">
        <v>0</v>
      </c>
      <c r="S12" s="302">
        <v>0</v>
      </c>
      <c r="T12" s="255">
        <v>0</v>
      </c>
      <c r="U12" s="291">
        <v>0</v>
      </c>
      <c r="V12" s="348">
        <v>0</v>
      </c>
      <c r="W12" s="661">
        <v>0</v>
      </c>
      <c r="X12" s="633">
        <v>0</v>
      </c>
      <c r="Y12" s="628">
        <f t="shared" si="14"/>
        <v>117</v>
      </c>
      <c r="Z12" s="355">
        <f>IFERROR($C12*(1-$V$1)/100*INT($Y12),"")</f>
        <v>100386</v>
      </c>
      <c r="AA12" s="801">
        <f>IFERROR($Z12-$Z13,"")</f>
        <v>396</v>
      </c>
    </row>
    <row r="13" spans="1:42" ht="12.75" hidden="1" customHeight="1">
      <c r="A13" s="529" t="s">
        <v>5</v>
      </c>
      <c r="B13" s="530">
        <f t="shared" si="0"/>
        <v>234856</v>
      </c>
      <c r="C13" s="515">
        <f t="shared" si="1"/>
        <v>49300</v>
      </c>
      <c r="D13" s="516">
        <f t="shared" si="2"/>
        <v>49500</v>
      </c>
      <c r="E13" s="531">
        <f t="shared" si="3"/>
        <v>236</v>
      </c>
      <c r="F13" s="517">
        <f t="shared" si="4"/>
        <v>49300</v>
      </c>
      <c r="G13" s="518">
        <f t="shared" si="5"/>
        <v>-2.5000000000000001E-3</v>
      </c>
      <c r="H13" s="519">
        <f t="shared" si="6"/>
        <v>49980</v>
      </c>
      <c r="I13" s="520">
        <f t="shared" si="7"/>
        <v>49980</v>
      </c>
      <c r="J13" s="521">
        <f t="shared" si="8"/>
        <v>48260</v>
      </c>
      <c r="K13" s="522">
        <f t="shared" si="9"/>
        <v>49425</v>
      </c>
      <c r="L13" s="506">
        <f t="shared" si="10"/>
        <v>27523920527</v>
      </c>
      <c r="M13" s="522">
        <f t="shared" si="11"/>
        <v>56288640</v>
      </c>
      <c r="N13" s="506">
        <f t="shared" si="12"/>
        <v>7152</v>
      </c>
      <c r="O13" s="523">
        <f t="shared" si="13"/>
        <v>45350.708518518521</v>
      </c>
      <c r="P13" s="328">
        <v>12</v>
      </c>
      <c r="Q13" s="508">
        <v>0</v>
      </c>
      <c r="R13" s="524">
        <v>0</v>
      </c>
      <c r="S13" s="510">
        <v>0</v>
      </c>
      <c r="T13" s="550">
        <v>0</v>
      </c>
      <c r="U13" s="292">
        <v>0</v>
      </c>
      <c r="V13" s="349">
        <v>0</v>
      </c>
      <c r="W13" s="526">
        <v>0</v>
      </c>
      <c r="X13" s="634">
        <v>0</v>
      </c>
      <c r="Y13" s="630">
        <f>IFERROR($Z12/($D13*(1+$V$1)/100),0)</f>
        <v>202.8</v>
      </c>
      <c r="Z13" s="533">
        <f>IFERROR($D13/100*INT($Y13),"")</f>
        <v>99990</v>
      </c>
      <c r="AA13" s="802"/>
    </row>
    <row r="14" spans="1:42" ht="12.75" hidden="1" customHeight="1">
      <c r="A14" s="356" t="s">
        <v>7</v>
      </c>
      <c r="B14" s="368">
        <f t="shared" si="0"/>
        <v>300</v>
      </c>
      <c r="C14" s="360">
        <f t="shared" si="1"/>
        <v>47.51</v>
      </c>
      <c r="D14" s="268">
        <f t="shared" si="2"/>
        <v>47.84</v>
      </c>
      <c r="E14" s="359">
        <f t="shared" si="3"/>
        <v>6407</v>
      </c>
      <c r="F14" s="308">
        <f t="shared" si="4"/>
        <v>47.84</v>
      </c>
      <c r="G14" s="370">
        <f t="shared" si="5"/>
        <v>1.1399999999999999E-2</v>
      </c>
      <c r="H14" s="247">
        <f t="shared" si="6"/>
        <v>47</v>
      </c>
      <c r="I14" s="239">
        <f t="shared" si="7"/>
        <v>47.84</v>
      </c>
      <c r="J14" s="324">
        <f t="shared" si="8"/>
        <v>46.3</v>
      </c>
      <c r="K14" s="243">
        <f t="shared" si="9"/>
        <v>47.298999999999999</v>
      </c>
      <c r="L14" s="269">
        <f t="shared" si="10"/>
        <v>1673459</v>
      </c>
      <c r="M14" s="243">
        <f t="shared" si="11"/>
        <v>3539790</v>
      </c>
      <c r="N14" s="269">
        <f t="shared" si="12"/>
        <v>1597</v>
      </c>
      <c r="O14" s="315">
        <f t="shared" si="13"/>
        <v>45350.704525462963</v>
      </c>
      <c r="P14" s="329">
        <v>13</v>
      </c>
      <c r="Q14" s="284">
        <v>0</v>
      </c>
      <c r="R14" s="472">
        <v>0</v>
      </c>
      <c r="S14" s="304">
        <v>0</v>
      </c>
      <c r="T14" s="273">
        <v>0</v>
      </c>
      <c r="U14" s="291">
        <v>0</v>
      </c>
      <c r="V14" s="348">
        <v>0</v>
      </c>
      <c r="W14" s="659">
        <v>0</v>
      </c>
      <c r="X14" s="647">
        <v>0</v>
      </c>
      <c r="Y14" s="626">
        <v>100</v>
      </c>
      <c r="Z14" s="353">
        <f>IFERROR($C14*(1-$V$1)/100*$Y14,"")</f>
        <v>47.51</v>
      </c>
      <c r="AA14" s="799">
        <f>IFERROR($Z14-$Z15,"")</f>
        <v>0.1483999999999952</v>
      </c>
      <c r="AN14" s="47"/>
      <c r="AO14" s="47"/>
      <c r="AP14" s="47"/>
    </row>
    <row r="15" spans="1:42" ht="12.75" hidden="1" customHeight="1">
      <c r="A15" s="390" t="s">
        <v>7</v>
      </c>
      <c r="B15" s="361">
        <f t="shared" si="0"/>
        <v>300</v>
      </c>
      <c r="C15" s="358">
        <f t="shared" si="1"/>
        <v>47.51</v>
      </c>
      <c r="D15" s="362">
        <f t="shared" si="2"/>
        <v>47.84</v>
      </c>
      <c r="E15" s="366">
        <f t="shared" si="3"/>
        <v>6407</v>
      </c>
      <c r="F15" s="250">
        <f t="shared" si="4"/>
        <v>47.84</v>
      </c>
      <c r="G15" s="371">
        <f t="shared" si="5"/>
        <v>1.1399999999999999E-2</v>
      </c>
      <c r="H15" s="256">
        <f t="shared" si="6"/>
        <v>47</v>
      </c>
      <c r="I15" s="257">
        <f t="shared" si="7"/>
        <v>47.84</v>
      </c>
      <c r="J15" s="325">
        <f t="shared" si="8"/>
        <v>46.3</v>
      </c>
      <c r="K15" s="258">
        <f t="shared" si="9"/>
        <v>47.298999999999999</v>
      </c>
      <c r="L15" s="280">
        <f t="shared" si="10"/>
        <v>1673459</v>
      </c>
      <c r="M15" s="258">
        <f t="shared" si="11"/>
        <v>3539790</v>
      </c>
      <c r="N15" s="280">
        <f t="shared" si="12"/>
        <v>1597</v>
      </c>
      <c r="O15" s="316">
        <f t="shared" si="13"/>
        <v>45350.704525462963</v>
      </c>
      <c r="P15" s="328">
        <v>14</v>
      </c>
      <c r="Q15" s="481">
        <v>0</v>
      </c>
      <c r="R15" s="476">
        <v>0</v>
      </c>
      <c r="S15" s="305">
        <v>0</v>
      </c>
      <c r="T15" s="259">
        <v>0</v>
      </c>
      <c r="U15" s="292">
        <v>0</v>
      </c>
      <c r="V15" s="349">
        <v>0</v>
      </c>
      <c r="W15" s="660">
        <v>0</v>
      </c>
      <c r="X15" s="632">
        <v>0</v>
      </c>
      <c r="Y15" s="627">
        <f>IFERROR(INT($Z14/($D15*(1+$V$1)/100)),0)</f>
        <v>99</v>
      </c>
      <c r="Z15" s="354">
        <f>IFERROR($D15/100*INT($Y15),"")</f>
        <v>47.361600000000003</v>
      </c>
      <c r="AA15" s="800"/>
    </row>
    <row r="16" spans="1:42" ht="12.75" hidden="1" customHeight="1">
      <c r="A16" s="378" t="s">
        <v>6</v>
      </c>
      <c r="B16" s="368">
        <f t="shared" si="0"/>
        <v>6678</v>
      </c>
      <c r="C16" s="360">
        <f t="shared" si="1"/>
        <v>44.920999999999999</v>
      </c>
      <c r="D16" s="357">
        <f t="shared" si="2"/>
        <v>45.841000000000001</v>
      </c>
      <c r="E16" s="363">
        <f t="shared" si="3"/>
        <v>145475</v>
      </c>
      <c r="F16" s="308">
        <f t="shared" si="4"/>
        <v>45.841000000000001</v>
      </c>
      <c r="G16" s="370">
        <f t="shared" si="5"/>
        <v>1.3000000000000001E-2</v>
      </c>
      <c r="H16" s="245">
        <f t="shared" si="6"/>
        <v>45.000999999999998</v>
      </c>
      <c r="I16" s="236">
        <f t="shared" si="7"/>
        <v>45.841000000000001</v>
      </c>
      <c r="J16" s="236">
        <f t="shared" si="8"/>
        <v>44.75</v>
      </c>
      <c r="K16" s="240">
        <f t="shared" si="9"/>
        <v>45.25</v>
      </c>
      <c r="L16" s="277">
        <f t="shared" si="10"/>
        <v>155995</v>
      </c>
      <c r="M16" s="240">
        <f t="shared" si="11"/>
        <v>345609</v>
      </c>
      <c r="N16" s="277">
        <f t="shared" si="12"/>
        <v>95</v>
      </c>
      <c r="O16" s="313">
        <f t="shared" si="13"/>
        <v>45350.687604166669</v>
      </c>
      <c r="P16" s="329">
        <v>15</v>
      </c>
      <c r="Q16" s="482">
        <v>0</v>
      </c>
      <c r="R16" s="474">
        <v>0</v>
      </c>
      <c r="S16" s="302">
        <v>0</v>
      </c>
      <c r="T16" s="255">
        <v>0</v>
      </c>
      <c r="U16" s="291">
        <v>0</v>
      </c>
      <c r="V16" s="348">
        <v>0</v>
      </c>
      <c r="W16" s="661">
        <v>0</v>
      </c>
      <c r="X16" s="633">
        <v>0</v>
      </c>
      <c r="Y16" s="628">
        <f t="shared" ref="Y16" si="15">Y15</f>
        <v>99</v>
      </c>
      <c r="Z16" s="355">
        <f>IFERROR($C16*(1-$V$1)/100*INT($Y16),"")</f>
        <v>44.471789999999999</v>
      </c>
      <c r="AA16" s="801">
        <f>IFERROR($Z16-$Z17,"")</f>
        <v>6.0199999999994702E-3</v>
      </c>
    </row>
    <row r="17" spans="1:41" ht="12.75" hidden="1" customHeight="1">
      <c r="A17" s="453" t="s">
        <v>6</v>
      </c>
      <c r="B17" s="364">
        <f t="shared" si="0"/>
        <v>6678</v>
      </c>
      <c r="C17" s="290">
        <f t="shared" si="1"/>
        <v>44.920999999999999</v>
      </c>
      <c r="D17" s="365">
        <f t="shared" si="2"/>
        <v>45.841000000000001</v>
      </c>
      <c r="E17" s="367">
        <f t="shared" si="3"/>
        <v>145475</v>
      </c>
      <c r="F17" s="369">
        <f t="shared" si="4"/>
        <v>45.841000000000001</v>
      </c>
      <c r="G17" s="372">
        <f t="shared" si="5"/>
        <v>1.3000000000000001E-2</v>
      </c>
      <c r="H17" s="285">
        <f t="shared" si="6"/>
        <v>45.000999999999998</v>
      </c>
      <c r="I17" s="286">
        <f t="shared" si="7"/>
        <v>45.841000000000001</v>
      </c>
      <c r="J17" s="323">
        <f t="shared" si="8"/>
        <v>44.75</v>
      </c>
      <c r="K17" s="288">
        <f t="shared" si="9"/>
        <v>45.25</v>
      </c>
      <c r="L17" s="287">
        <f t="shared" si="10"/>
        <v>155995</v>
      </c>
      <c r="M17" s="288">
        <f t="shared" si="11"/>
        <v>345609</v>
      </c>
      <c r="N17" s="287">
        <f t="shared" si="12"/>
        <v>95</v>
      </c>
      <c r="O17" s="314">
        <f t="shared" si="13"/>
        <v>45350.687604166669</v>
      </c>
      <c r="P17" s="328">
        <v>16</v>
      </c>
      <c r="Q17" s="330">
        <v>0</v>
      </c>
      <c r="R17" s="477">
        <v>0</v>
      </c>
      <c r="S17" s="303">
        <v>0</v>
      </c>
      <c r="T17" s="289">
        <v>0</v>
      </c>
      <c r="U17" s="292">
        <v>0</v>
      </c>
      <c r="V17" s="349">
        <v>0</v>
      </c>
      <c r="W17" s="391">
        <v>0</v>
      </c>
      <c r="X17" s="648">
        <v>0</v>
      </c>
      <c r="Y17" s="635">
        <f>IFERROR($Z16/($D17*(1+$V$1)/100),0)</f>
        <v>97.013132348770753</v>
      </c>
      <c r="Z17" s="451">
        <f>IFERROR($D17/100*INT($Y17),"")</f>
        <v>44.465769999999999</v>
      </c>
      <c r="AA17" s="808"/>
      <c r="AO17" s="582"/>
    </row>
    <row r="18" spans="1:41" ht="12.75" hidden="1" customHeight="1">
      <c r="A18" s="392" t="s">
        <v>584</v>
      </c>
      <c r="B18" s="396">
        <f t="shared" si="0"/>
        <v>1000</v>
      </c>
      <c r="C18" s="397">
        <f t="shared" si="1"/>
        <v>66.5</v>
      </c>
      <c r="D18" s="398">
        <f t="shared" si="2"/>
        <v>66.8</v>
      </c>
      <c r="E18" s="399">
        <f t="shared" si="3"/>
        <v>67970</v>
      </c>
      <c r="F18" s="400">
        <f t="shared" si="4"/>
        <v>66.8</v>
      </c>
      <c r="G18" s="401">
        <f t="shared" si="5"/>
        <v>-5.8999999999999999E-3</v>
      </c>
      <c r="H18" s="402">
        <f t="shared" si="6"/>
        <v>66.650000000000006</v>
      </c>
      <c r="I18" s="403">
        <f t="shared" si="7"/>
        <v>67.69</v>
      </c>
      <c r="J18" s="404">
        <f t="shared" si="8"/>
        <v>66.2</v>
      </c>
      <c r="K18" s="405">
        <f t="shared" si="9"/>
        <v>67.2</v>
      </c>
      <c r="L18" s="406">
        <f t="shared" si="10"/>
        <v>1087151</v>
      </c>
      <c r="M18" s="405">
        <f t="shared" si="11"/>
        <v>1628560</v>
      </c>
      <c r="N18" s="269">
        <f t="shared" si="12"/>
        <v>227</v>
      </c>
      <c r="O18" s="315">
        <f t="shared" si="13"/>
        <v>45350.687800925924</v>
      </c>
      <c r="P18" s="329">
        <v>17</v>
      </c>
      <c r="Q18" s="284">
        <v>0</v>
      </c>
      <c r="R18" s="478">
        <v>0</v>
      </c>
      <c r="S18" s="304">
        <v>0</v>
      </c>
      <c r="T18" s="273">
        <v>0</v>
      </c>
      <c r="U18" s="490">
        <v>0</v>
      </c>
      <c r="V18" s="344">
        <v>0</v>
      </c>
      <c r="W18" s="657">
        <v>0</v>
      </c>
      <c r="X18" s="631">
        <v>0</v>
      </c>
      <c r="Y18" s="639">
        <v>99.986810867844895</v>
      </c>
      <c r="Z18" s="430" t="s">
        <v>586</v>
      </c>
      <c r="AA18" s="431" t="s">
        <v>582</v>
      </c>
    </row>
    <row r="19" spans="1:41" ht="12.75" hidden="1" customHeight="1">
      <c r="A19" s="393" t="s">
        <v>7</v>
      </c>
      <c r="B19" s="407">
        <f t="shared" si="0"/>
        <v>300</v>
      </c>
      <c r="C19" s="408">
        <f t="shared" si="1"/>
        <v>47.51</v>
      </c>
      <c r="D19" s="409">
        <f t="shared" si="2"/>
        <v>47.84</v>
      </c>
      <c r="E19" s="410">
        <f t="shared" si="3"/>
        <v>6407</v>
      </c>
      <c r="F19" s="411">
        <f t="shared" si="4"/>
        <v>47.84</v>
      </c>
      <c r="G19" s="412">
        <f t="shared" si="5"/>
        <v>1.1399999999999999E-2</v>
      </c>
      <c r="H19" s="413">
        <f t="shared" si="6"/>
        <v>47</v>
      </c>
      <c r="I19" s="414">
        <f t="shared" si="7"/>
        <v>47.84</v>
      </c>
      <c r="J19" s="415">
        <f t="shared" si="8"/>
        <v>46.3</v>
      </c>
      <c r="K19" s="416">
        <f t="shared" si="9"/>
        <v>47.298999999999999</v>
      </c>
      <c r="L19" s="417">
        <f t="shared" si="10"/>
        <v>1673459</v>
      </c>
      <c r="M19" s="416">
        <f t="shared" si="11"/>
        <v>3539790</v>
      </c>
      <c r="N19" s="280">
        <f t="shared" si="12"/>
        <v>1597</v>
      </c>
      <c r="O19" s="316">
        <f t="shared" si="13"/>
        <v>45350.704525462963</v>
      </c>
      <c r="P19" s="328">
        <v>18</v>
      </c>
      <c r="Q19" s="481">
        <v>0</v>
      </c>
      <c r="R19" s="476">
        <v>0</v>
      </c>
      <c r="S19" s="305">
        <v>0</v>
      </c>
      <c r="T19" s="259">
        <v>0</v>
      </c>
      <c r="U19" s="491">
        <v>0</v>
      </c>
      <c r="V19" s="345">
        <v>0</v>
      </c>
      <c r="W19" s="655">
        <v>0</v>
      </c>
      <c r="X19" s="632">
        <v>0</v>
      </c>
      <c r="Y19" s="640">
        <v>99.743341295546372</v>
      </c>
      <c r="Z19" s="432" t="s">
        <v>5</v>
      </c>
      <c r="AA19" s="433" t="s">
        <v>6</v>
      </c>
    </row>
    <row r="20" spans="1:41" ht="12.75" hidden="1" customHeight="1">
      <c r="A20" s="394" t="s">
        <v>582</v>
      </c>
      <c r="B20" s="396">
        <f t="shared" si="0"/>
        <v>106000</v>
      </c>
      <c r="C20" s="397">
        <f t="shared" si="1"/>
        <v>63.65</v>
      </c>
      <c r="D20" s="418">
        <f t="shared" si="2"/>
        <v>63.75</v>
      </c>
      <c r="E20" s="419">
        <f t="shared" si="3"/>
        <v>182000</v>
      </c>
      <c r="F20" s="400">
        <f t="shared" si="4"/>
        <v>63.75</v>
      </c>
      <c r="G20" s="401">
        <f t="shared" si="5"/>
        <v>-5.4000000000000003E-3</v>
      </c>
      <c r="H20" s="420">
        <f t="shared" si="6"/>
        <v>64.2</v>
      </c>
      <c r="I20" s="421">
        <f t="shared" si="7"/>
        <v>64.2</v>
      </c>
      <c r="J20" s="422">
        <f t="shared" si="8"/>
        <v>63.3</v>
      </c>
      <c r="K20" s="423">
        <f t="shared" si="9"/>
        <v>64.099999999999994</v>
      </c>
      <c r="L20" s="424">
        <f t="shared" si="10"/>
        <v>12778965</v>
      </c>
      <c r="M20" s="423">
        <f t="shared" si="11"/>
        <v>20062970</v>
      </c>
      <c r="N20" s="277">
        <f t="shared" si="12"/>
        <v>392</v>
      </c>
      <c r="O20" s="313">
        <f t="shared" si="13"/>
        <v>45350.687662037039</v>
      </c>
      <c r="P20" s="329">
        <v>19</v>
      </c>
      <c r="Q20" s="482">
        <v>0</v>
      </c>
      <c r="R20" s="474">
        <v>0</v>
      </c>
      <c r="S20" s="302">
        <v>0</v>
      </c>
      <c r="T20" s="255">
        <v>0</v>
      </c>
      <c r="U20" s="490">
        <v>0</v>
      </c>
      <c r="V20" s="344">
        <v>0</v>
      </c>
      <c r="W20" s="656">
        <v>0</v>
      </c>
      <c r="X20" s="633">
        <v>0</v>
      </c>
      <c r="Y20" s="641">
        <v>95.701661830651531</v>
      </c>
      <c r="Z20" s="430" t="s">
        <v>586</v>
      </c>
      <c r="AA20" s="434" t="s">
        <v>584</v>
      </c>
    </row>
    <row r="21" spans="1:41" ht="12.75" hidden="1" customHeight="1">
      <c r="A21" s="454" t="s">
        <v>6</v>
      </c>
      <c r="B21" s="455">
        <f t="shared" si="0"/>
        <v>6678</v>
      </c>
      <c r="C21" s="456">
        <f t="shared" si="1"/>
        <v>44.920999999999999</v>
      </c>
      <c r="D21" s="457">
        <f t="shared" si="2"/>
        <v>45.841000000000001</v>
      </c>
      <c r="E21" s="458">
        <f t="shared" si="3"/>
        <v>145475</v>
      </c>
      <c r="F21" s="459">
        <f t="shared" si="4"/>
        <v>45.841000000000001</v>
      </c>
      <c r="G21" s="460">
        <f t="shared" si="5"/>
        <v>1.3000000000000001E-2</v>
      </c>
      <c r="H21" s="461">
        <f t="shared" si="6"/>
        <v>45.000999999999998</v>
      </c>
      <c r="I21" s="462">
        <f t="shared" si="7"/>
        <v>45.841000000000001</v>
      </c>
      <c r="J21" s="463">
        <f t="shared" si="8"/>
        <v>44.75</v>
      </c>
      <c r="K21" s="464">
        <f t="shared" si="9"/>
        <v>45.25</v>
      </c>
      <c r="L21" s="465">
        <f t="shared" si="10"/>
        <v>155995</v>
      </c>
      <c r="M21" s="464">
        <f t="shared" si="11"/>
        <v>345609</v>
      </c>
      <c r="N21" s="275">
        <f t="shared" si="12"/>
        <v>95</v>
      </c>
      <c r="O21" s="385">
        <f t="shared" si="13"/>
        <v>45350.687604166669</v>
      </c>
      <c r="P21" s="328">
        <v>20</v>
      </c>
      <c r="Q21" s="283">
        <v>0</v>
      </c>
      <c r="R21" s="475">
        <v>0</v>
      </c>
      <c r="S21" s="307">
        <v>0</v>
      </c>
      <c r="T21" s="386">
        <v>0</v>
      </c>
      <c r="U21" s="292">
        <v>0</v>
      </c>
      <c r="V21" s="345">
        <v>0</v>
      </c>
      <c r="W21" s="554">
        <v>0</v>
      </c>
      <c r="X21" s="653">
        <v>0</v>
      </c>
      <c r="Y21" s="642">
        <v>95.011282986283859</v>
      </c>
      <c r="Z21" s="466" t="s">
        <v>5</v>
      </c>
      <c r="AA21" s="467" t="s">
        <v>7</v>
      </c>
    </row>
    <row r="22" spans="1:41" ht="12.75" hidden="1" customHeight="1">
      <c r="A22" s="395" t="s">
        <v>535</v>
      </c>
      <c r="B22" s="396">
        <f t="shared" si="0"/>
        <v>46</v>
      </c>
      <c r="C22" s="397">
        <f t="shared" si="1"/>
        <v>45400</v>
      </c>
      <c r="D22" s="398">
        <f t="shared" si="2"/>
        <v>46145</v>
      </c>
      <c r="E22" s="399">
        <f t="shared" si="3"/>
        <v>586</v>
      </c>
      <c r="F22" s="400">
        <f t="shared" si="4"/>
        <v>45690</v>
      </c>
      <c r="G22" s="401">
        <f t="shared" si="5"/>
        <v>4.5499999999999999E-2</v>
      </c>
      <c r="H22" s="402">
        <f t="shared" si="6"/>
        <v>46400</v>
      </c>
      <c r="I22" s="403">
        <f t="shared" si="7"/>
        <v>47300</v>
      </c>
      <c r="J22" s="404">
        <f t="shared" si="8"/>
        <v>44620</v>
      </c>
      <c r="K22" s="405">
        <f t="shared" si="9"/>
        <v>43700</v>
      </c>
      <c r="L22" s="406">
        <f t="shared" si="10"/>
        <v>234976235</v>
      </c>
      <c r="M22" s="405">
        <f t="shared" si="11"/>
        <v>518018</v>
      </c>
      <c r="N22" s="269">
        <f t="shared" si="12"/>
        <v>307</v>
      </c>
      <c r="O22" s="317">
        <f t="shared" si="13"/>
        <v>45350.687824074077</v>
      </c>
      <c r="P22" s="329">
        <v>21</v>
      </c>
      <c r="Q22" s="284">
        <v>0</v>
      </c>
      <c r="R22" s="472">
        <v>0</v>
      </c>
      <c r="S22" s="304">
        <v>0</v>
      </c>
      <c r="T22" s="262">
        <v>0</v>
      </c>
      <c r="U22" s="291">
        <v>0</v>
      </c>
      <c r="V22" s="294">
        <v>0</v>
      </c>
      <c r="W22" s="589">
        <v>0</v>
      </c>
      <c r="X22" s="612">
        <v>0</v>
      </c>
      <c r="Y22" s="643">
        <v>102947.84580498867</v>
      </c>
      <c r="Z22" s="435" t="s">
        <v>539</v>
      </c>
      <c r="AA22" s="436" t="s">
        <v>537</v>
      </c>
    </row>
    <row r="23" spans="1:41" ht="12.75" hidden="1" customHeight="1">
      <c r="A23" s="574" t="s">
        <v>569</v>
      </c>
      <c r="B23" s="407">
        <f t="shared" si="0"/>
        <v>570</v>
      </c>
      <c r="C23" s="408">
        <f t="shared" si="1"/>
        <v>85800</v>
      </c>
      <c r="D23" s="409">
        <f t="shared" si="2"/>
        <v>86000</v>
      </c>
      <c r="E23" s="410">
        <f t="shared" si="3"/>
        <v>4651</v>
      </c>
      <c r="F23" s="411">
        <f t="shared" si="4"/>
        <v>86000</v>
      </c>
      <c r="G23" s="412">
        <f t="shared" si="5"/>
        <v>-6.0999999999999995E-3</v>
      </c>
      <c r="H23" s="425">
        <f t="shared" si="6"/>
        <v>88990</v>
      </c>
      <c r="I23" s="426">
        <f t="shared" si="7"/>
        <v>88990</v>
      </c>
      <c r="J23" s="427">
        <f t="shared" si="8"/>
        <v>84010</v>
      </c>
      <c r="K23" s="428">
        <f t="shared" si="9"/>
        <v>86530</v>
      </c>
      <c r="L23" s="429">
        <f t="shared" si="10"/>
        <v>317406276</v>
      </c>
      <c r="M23" s="428">
        <f t="shared" si="11"/>
        <v>367567</v>
      </c>
      <c r="N23" s="244">
        <f t="shared" si="12"/>
        <v>901</v>
      </c>
      <c r="O23" s="318">
        <f t="shared" si="13"/>
        <v>45350.70853009259</v>
      </c>
      <c r="P23" s="328">
        <v>22</v>
      </c>
      <c r="Q23" s="281">
        <v>0</v>
      </c>
      <c r="R23" s="473">
        <v>0</v>
      </c>
      <c r="S23" s="301">
        <v>0</v>
      </c>
      <c r="T23" s="261">
        <v>0</v>
      </c>
      <c r="U23" s="292">
        <v>0</v>
      </c>
      <c r="V23" s="293">
        <v>0</v>
      </c>
      <c r="W23" s="662">
        <v>0</v>
      </c>
      <c r="X23" s="649">
        <v>0</v>
      </c>
      <c r="Y23" s="644">
        <v>102809.46091967821</v>
      </c>
      <c r="Z23" s="437" t="s">
        <v>573</v>
      </c>
      <c r="AA23" s="438" t="s">
        <v>571</v>
      </c>
    </row>
    <row r="24" spans="1:41" ht="12.75" hidden="1" customHeight="1">
      <c r="A24" s="395" t="s">
        <v>586</v>
      </c>
      <c r="B24" s="396">
        <f t="shared" si="0"/>
        <v>49790</v>
      </c>
      <c r="C24" s="397">
        <f t="shared" si="1"/>
        <v>67900</v>
      </c>
      <c r="D24" s="418">
        <f t="shared" si="2"/>
        <v>68000</v>
      </c>
      <c r="E24" s="419">
        <f t="shared" si="3"/>
        <v>5370</v>
      </c>
      <c r="F24" s="400">
        <f t="shared" si="4"/>
        <v>68000</v>
      </c>
      <c r="G24" s="401">
        <f t="shared" si="5"/>
        <v>-2.3599999999999999E-2</v>
      </c>
      <c r="H24" s="402">
        <f t="shared" si="6"/>
        <v>69700</v>
      </c>
      <c r="I24" s="403">
        <f t="shared" si="7"/>
        <v>71000</v>
      </c>
      <c r="J24" s="404">
        <f t="shared" si="8"/>
        <v>67500</v>
      </c>
      <c r="K24" s="405">
        <f t="shared" si="9"/>
        <v>69650</v>
      </c>
      <c r="L24" s="406">
        <f t="shared" si="10"/>
        <v>6017722076</v>
      </c>
      <c r="M24" s="405">
        <f t="shared" si="11"/>
        <v>8790240</v>
      </c>
      <c r="N24" s="269">
        <f t="shared" si="12"/>
        <v>488</v>
      </c>
      <c r="O24" s="317">
        <f t="shared" si="13"/>
        <v>45350.687511574077</v>
      </c>
      <c r="P24" s="329">
        <v>23</v>
      </c>
      <c r="Q24" s="284">
        <v>0</v>
      </c>
      <c r="R24" s="472">
        <v>0</v>
      </c>
      <c r="S24" s="304">
        <v>0</v>
      </c>
      <c r="T24" s="262">
        <v>0</v>
      </c>
      <c r="U24" s="291">
        <v>0</v>
      </c>
      <c r="V24" s="294">
        <v>0</v>
      </c>
      <c r="W24" s="663">
        <v>0</v>
      </c>
      <c r="X24" s="650">
        <v>0</v>
      </c>
      <c r="Y24" s="645">
        <v>106509.80392156863</v>
      </c>
      <c r="Z24" s="439" t="s">
        <v>582</v>
      </c>
      <c r="AA24" s="440" t="s">
        <v>584</v>
      </c>
    </row>
    <row r="25" spans="1:41" ht="12.75" hidden="1" customHeight="1">
      <c r="A25" s="575" t="s">
        <v>2</v>
      </c>
      <c r="B25" s="495">
        <f t="shared" si="0"/>
        <v>6500</v>
      </c>
      <c r="C25" s="496">
        <f t="shared" si="1"/>
        <v>46180</v>
      </c>
      <c r="D25" s="497">
        <f t="shared" si="2"/>
        <v>46200</v>
      </c>
      <c r="E25" s="498">
        <f t="shared" si="3"/>
        <v>69551</v>
      </c>
      <c r="F25" s="499">
        <f t="shared" si="4"/>
        <v>46200</v>
      </c>
      <c r="G25" s="500">
        <f t="shared" si="5"/>
        <v>7.6E-3</v>
      </c>
      <c r="H25" s="501">
        <f t="shared" si="6"/>
        <v>46010</v>
      </c>
      <c r="I25" s="502">
        <f t="shared" si="7"/>
        <v>46400</v>
      </c>
      <c r="J25" s="503">
        <f t="shared" si="8"/>
        <v>45315</v>
      </c>
      <c r="K25" s="504">
        <f t="shared" si="9"/>
        <v>45850</v>
      </c>
      <c r="L25" s="505">
        <f t="shared" si="10"/>
        <v>66965348848</v>
      </c>
      <c r="M25" s="504">
        <f t="shared" si="11"/>
        <v>146274628</v>
      </c>
      <c r="N25" s="506">
        <f t="shared" si="12"/>
        <v>28353</v>
      </c>
      <c r="O25" s="507">
        <f t="shared" si="13"/>
        <v>45350.708344907405</v>
      </c>
      <c r="P25" s="328">
        <v>24</v>
      </c>
      <c r="Q25" s="508">
        <v>0</v>
      </c>
      <c r="R25" s="509">
        <v>0</v>
      </c>
      <c r="S25" s="510">
        <v>0</v>
      </c>
      <c r="T25" s="511">
        <v>0</v>
      </c>
      <c r="U25" s="491">
        <v>0</v>
      </c>
      <c r="V25" s="534">
        <v>0</v>
      </c>
      <c r="W25" s="664">
        <v>0</v>
      </c>
      <c r="X25" s="651">
        <v>0</v>
      </c>
      <c r="Y25" s="646">
        <v>106848.83720930234</v>
      </c>
      <c r="Z25" s="512" t="s">
        <v>3</v>
      </c>
      <c r="AA25" s="513" t="s">
        <v>4</v>
      </c>
    </row>
    <row r="26" spans="1:41" ht="12.75" customHeight="1">
      <c r="A26" s="468" t="s">
        <v>13</v>
      </c>
      <c r="B26" s="484">
        <f t="shared" si="0"/>
        <v>2590</v>
      </c>
      <c r="C26" s="357">
        <f t="shared" si="1"/>
        <v>45600</v>
      </c>
      <c r="D26" s="274">
        <f t="shared" si="2"/>
        <v>45650</v>
      </c>
      <c r="E26" s="483">
        <f t="shared" si="3"/>
        <v>44680</v>
      </c>
      <c r="F26" s="308">
        <f t="shared" si="4"/>
        <v>45650</v>
      </c>
      <c r="G26" s="370">
        <f t="shared" si="5"/>
        <v>-3.0000000000000001E-3</v>
      </c>
      <c r="H26" s="247">
        <f t="shared" si="6"/>
        <v>46185</v>
      </c>
      <c r="I26" s="239">
        <f t="shared" si="7"/>
        <v>46220</v>
      </c>
      <c r="J26" s="324">
        <f t="shared" si="8"/>
        <v>45090</v>
      </c>
      <c r="K26" s="243">
        <f t="shared" si="9"/>
        <v>45790</v>
      </c>
      <c r="L26" s="269">
        <f t="shared" si="10"/>
        <v>93917874554</v>
      </c>
      <c r="M26" s="243">
        <f t="shared" si="11"/>
        <v>206410715</v>
      </c>
      <c r="N26" s="269">
        <f t="shared" si="12"/>
        <v>70243</v>
      </c>
      <c r="O26" s="315">
        <f t="shared" si="13"/>
        <v>45350.687824074077</v>
      </c>
      <c r="P26" s="329">
        <v>25</v>
      </c>
      <c r="Q26" s="284">
        <v>0</v>
      </c>
      <c r="R26" s="472">
        <v>0</v>
      </c>
      <c r="S26" s="304">
        <v>0</v>
      </c>
      <c r="T26" s="262">
        <v>0</v>
      </c>
      <c r="U26" s="291">
        <v>0</v>
      </c>
      <c r="V26" s="344">
        <v>0</v>
      </c>
      <c r="W26" s="692">
        <v>3649.2</v>
      </c>
      <c r="X26" s="676">
        <v>456.15</v>
      </c>
      <c r="Y26" s="636">
        <v>10</v>
      </c>
      <c r="Z26" s="470" t="str">
        <f>A27</f>
        <v>GD30 - spot</v>
      </c>
      <c r="AA26" s="488">
        <f>IFERROR(INT(VLOOKUP($A26,$A$60:$N$175,6,0)*$Y26/100)/(VLOOKUP($Z26,$A$60:$N$175,6,0)/100),"")</f>
        <v>9.3930041152263382</v>
      </c>
      <c r="AC26" s="235"/>
    </row>
    <row r="27" spans="1:41" ht="12.75" customHeight="1">
      <c r="A27" s="469" t="s">
        <v>16</v>
      </c>
      <c r="B27" s="342">
        <f t="shared" si="0"/>
        <v>69919</v>
      </c>
      <c r="C27" s="358">
        <f t="shared" si="1"/>
        <v>48600</v>
      </c>
      <c r="D27" s="362">
        <f t="shared" si="2"/>
        <v>48830</v>
      </c>
      <c r="E27" s="342">
        <f t="shared" si="3"/>
        <v>2134</v>
      </c>
      <c r="F27" s="250">
        <f t="shared" si="4"/>
        <v>48600</v>
      </c>
      <c r="G27" s="371">
        <f t="shared" si="5"/>
        <v>-1.3100000000000001E-2</v>
      </c>
      <c r="H27" s="256">
        <f t="shared" si="6"/>
        <v>49990</v>
      </c>
      <c r="I27" s="257">
        <f t="shared" si="7"/>
        <v>49990</v>
      </c>
      <c r="J27" s="325">
        <f t="shared" si="8"/>
        <v>48015</v>
      </c>
      <c r="K27" s="258">
        <f t="shared" si="9"/>
        <v>49250</v>
      </c>
      <c r="L27" s="280">
        <f t="shared" si="10"/>
        <v>13456498127</v>
      </c>
      <c r="M27" s="258">
        <f t="shared" si="11"/>
        <v>27608223</v>
      </c>
      <c r="N27" s="280">
        <f t="shared" si="12"/>
        <v>9575</v>
      </c>
      <c r="O27" s="316">
        <f t="shared" si="13"/>
        <v>45350.687615740739</v>
      </c>
      <c r="P27" s="328">
        <v>26</v>
      </c>
      <c r="Q27" s="481">
        <v>0</v>
      </c>
      <c r="R27" s="476">
        <v>0</v>
      </c>
      <c r="S27" s="301">
        <v>0</v>
      </c>
      <c r="T27" s="261">
        <v>0</v>
      </c>
      <c r="U27" s="292">
        <v>0</v>
      </c>
      <c r="V27" s="345">
        <v>0</v>
      </c>
      <c r="W27" s="693">
        <v>0</v>
      </c>
      <c r="X27" s="677">
        <v>0</v>
      </c>
      <c r="Y27" s="637">
        <v>9</v>
      </c>
      <c r="Z27" s="471" t="str">
        <f>A26</f>
        <v>AL30 - spot</v>
      </c>
      <c r="AA27" s="487">
        <f>IFERROR(INT(VLOOKUP($A27,$A$60:$N$175,6,0)*$Y27/100)/(VLOOKUP($Z27,$A$60:$N$175,6,0)/100),"")</f>
        <v>9.5815991237677984</v>
      </c>
    </row>
    <row r="28" spans="1:41" ht="12.75" customHeight="1">
      <c r="A28" s="783" t="s">
        <v>2</v>
      </c>
      <c r="B28" s="485">
        <f t="shared" si="0"/>
        <v>6500</v>
      </c>
      <c r="C28" s="452">
        <f t="shared" si="1"/>
        <v>46180</v>
      </c>
      <c r="D28" s="357">
        <f t="shared" si="2"/>
        <v>46200</v>
      </c>
      <c r="E28" s="483">
        <f t="shared" si="3"/>
        <v>69551</v>
      </c>
      <c r="F28" s="308">
        <f t="shared" si="4"/>
        <v>46200</v>
      </c>
      <c r="G28" s="370">
        <f t="shared" si="5"/>
        <v>7.6E-3</v>
      </c>
      <c r="H28" s="245">
        <f t="shared" si="6"/>
        <v>46010</v>
      </c>
      <c r="I28" s="236">
        <f t="shared" si="7"/>
        <v>46400</v>
      </c>
      <c r="J28" s="236">
        <f t="shared" si="8"/>
        <v>45315</v>
      </c>
      <c r="K28" s="240">
        <f t="shared" si="9"/>
        <v>45850</v>
      </c>
      <c r="L28" s="277">
        <f t="shared" si="10"/>
        <v>66965348848</v>
      </c>
      <c r="M28" s="240">
        <f t="shared" si="11"/>
        <v>146274628</v>
      </c>
      <c r="N28" s="277">
        <f t="shared" si="12"/>
        <v>28353</v>
      </c>
      <c r="O28" s="313">
        <f t="shared" si="13"/>
        <v>45350.708344907405</v>
      </c>
      <c r="P28" s="329">
        <v>27</v>
      </c>
      <c r="Q28" s="482">
        <v>0</v>
      </c>
      <c r="R28" s="474">
        <v>0</v>
      </c>
      <c r="S28" s="306">
        <v>0</v>
      </c>
      <c r="T28" s="260">
        <v>0</v>
      </c>
      <c r="U28" s="291">
        <v>0</v>
      </c>
      <c r="V28" s="344">
        <v>0</v>
      </c>
      <c r="W28" s="692">
        <v>0</v>
      </c>
      <c r="X28" s="676">
        <v>0</v>
      </c>
      <c r="Y28" s="636">
        <v>10</v>
      </c>
      <c r="Z28" s="470" t="str">
        <f>A29</f>
        <v>GD30 - 48hs</v>
      </c>
      <c r="AA28" s="489">
        <f>IFERROR(INT(VLOOKUP($A28,$A$60:$N$175,6,0)*$Y28/100)/(VLOOKUP($Z28,$A$60:$N$175,6,0)/100),"")</f>
        <v>9.3711967545638952</v>
      </c>
    </row>
    <row r="29" spans="1:41" ht="12.75" customHeight="1">
      <c r="A29" s="784" t="s">
        <v>5</v>
      </c>
      <c r="B29" s="514">
        <f t="shared" si="0"/>
        <v>234856</v>
      </c>
      <c r="C29" s="515">
        <f t="shared" si="1"/>
        <v>49300</v>
      </c>
      <c r="D29" s="516">
        <f t="shared" si="2"/>
        <v>49500</v>
      </c>
      <c r="E29" s="514">
        <f t="shared" si="3"/>
        <v>236</v>
      </c>
      <c r="F29" s="517">
        <f t="shared" si="4"/>
        <v>49300</v>
      </c>
      <c r="G29" s="518">
        <f t="shared" si="5"/>
        <v>-2.5000000000000001E-3</v>
      </c>
      <c r="H29" s="519">
        <f t="shared" si="6"/>
        <v>49980</v>
      </c>
      <c r="I29" s="520">
        <f t="shared" si="7"/>
        <v>49980</v>
      </c>
      <c r="J29" s="521">
        <f t="shared" si="8"/>
        <v>48260</v>
      </c>
      <c r="K29" s="522">
        <f t="shared" si="9"/>
        <v>49425</v>
      </c>
      <c r="L29" s="506">
        <f t="shared" si="10"/>
        <v>27523920527</v>
      </c>
      <c r="M29" s="522">
        <f t="shared" si="11"/>
        <v>56288640</v>
      </c>
      <c r="N29" s="506">
        <f t="shared" si="12"/>
        <v>7152</v>
      </c>
      <c r="O29" s="523">
        <f t="shared" si="13"/>
        <v>45350.708518518521</v>
      </c>
      <c r="P29" s="328">
        <v>28</v>
      </c>
      <c r="Q29" s="508">
        <v>0</v>
      </c>
      <c r="R29" s="524">
        <v>0</v>
      </c>
      <c r="S29" s="510">
        <v>0</v>
      </c>
      <c r="T29" s="525">
        <v>0</v>
      </c>
      <c r="U29" s="292">
        <v>0</v>
      </c>
      <c r="V29" s="691">
        <v>0</v>
      </c>
      <c r="W29" s="694">
        <v>0</v>
      </c>
      <c r="X29" s="678">
        <v>0</v>
      </c>
      <c r="Y29" s="638">
        <v>9</v>
      </c>
      <c r="Z29" s="527" t="str">
        <f>A28</f>
        <v>AL30 - 48hs</v>
      </c>
      <c r="AA29" s="528">
        <f>IFERROR(INT(VLOOKUP($A29,$A$60:$N$175,6,0)*$Y29/100)/(VLOOKUP($Z29,$A$60:$N$175,6,0)/100),"")</f>
        <v>9.603896103896103</v>
      </c>
    </row>
    <row r="30" spans="1:41" ht="12.75" customHeight="1">
      <c r="A30" s="778" t="s">
        <v>609</v>
      </c>
      <c r="B30" s="264">
        <v>100</v>
      </c>
      <c r="C30" s="357">
        <v>290</v>
      </c>
      <c r="D30" s="274">
        <v>302</v>
      </c>
      <c r="E30" s="264">
        <v>48</v>
      </c>
      <c r="F30" s="308">
        <v>302</v>
      </c>
      <c r="G30" s="370">
        <v>4.0399999999999998E-2</v>
      </c>
      <c r="H30" s="247">
        <v>290</v>
      </c>
      <c r="I30" s="239">
        <v>330</v>
      </c>
      <c r="J30" s="324">
        <v>260.01</v>
      </c>
      <c r="K30" s="243">
        <v>290.25599999999997</v>
      </c>
      <c r="L30" s="269">
        <v>132242359</v>
      </c>
      <c r="M30" s="269">
        <v>4349</v>
      </c>
      <c r="N30" s="269">
        <v>409</v>
      </c>
      <c r="O30" s="317">
        <v>45350.708136574074</v>
      </c>
      <c r="P30" s="329">
        <v>29</v>
      </c>
      <c r="Q30" s="284">
        <v>0</v>
      </c>
      <c r="R30" s="298">
        <v>0</v>
      </c>
      <c r="S30" s="304">
        <v>0</v>
      </c>
      <c r="T30" s="262">
        <v>0</v>
      </c>
      <c r="U30" s="490">
        <v>0</v>
      </c>
      <c r="V30" s="546">
        <v>0</v>
      </c>
      <c r="W30" s="794">
        <v>0</v>
      </c>
      <c r="X30" s="676">
        <v>0</v>
      </c>
      <c r="Y30" s="696"/>
      <c r="Z30" s="679"/>
      <c r="AA30" s="267"/>
    </row>
    <row r="31" spans="1:41" ht="12.75" customHeight="1">
      <c r="A31" s="779" t="s">
        <v>610</v>
      </c>
      <c r="B31" s="790">
        <v>9</v>
      </c>
      <c r="C31" s="248">
        <v>238</v>
      </c>
      <c r="D31" s="248">
        <v>245.89</v>
      </c>
      <c r="E31" s="790">
        <v>3</v>
      </c>
      <c r="F31" s="772">
        <v>245.5</v>
      </c>
      <c r="G31" s="373">
        <v>6.0400000000000002E-2</v>
      </c>
      <c r="H31" s="246">
        <v>205</v>
      </c>
      <c r="I31" s="237">
        <v>287.95</v>
      </c>
      <c r="J31" s="321">
        <v>205</v>
      </c>
      <c r="K31" s="241">
        <v>231.49799999999999</v>
      </c>
      <c r="L31" s="244">
        <v>189126936</v>
      </c>
      <c r="M31" s="244">
        <v>7599</v>
      </c>
      <c r="N31" s="244">
        <v>703</v>
      </c>
      <c r="O31" s="318">
        <v>45350.708124999997</v>
      </c>
      <c r="P31" s="328">
        <v>30</v>
      </c>
      <c r="Q31" s="281">
        <v>0</v>
      </c>
      <c r="R31" s="299">
        <v>0</v>
      </c>
      <c r="S31" s="301">
        <v>0</v>
      </c>
      <c r="T31" s="261">
        <v>0</v>
      </c>
      <c r="U31" s="292">
        <v>0</v>
      </c>
      <c r="V31" s="675">
        <v>0</v>
      </c>
      <c r="W31" s="795">
        <v>0</v>
      </c>
      <c r="X31" s="677">
        <v>0</v>
      </c>
      <c r="Y31" s="682"/>
      <c r="Z31" s="680"/>
      <c r="AA31" s="267"/>
    </row>
    <row r="32" spans="1:41" ht="12.75" customHeight="1">
      <c r="A32" s="778" t="s">
        <v>611</v>
      </c>
      <c r="B32" s="264">
        <v>56</v>
      </c>
      <c r="C32" s="357">
        <v>190</v>
      </c>
      <c r="D32" s="274">
        <v>199</v>
      </c>
      <c r="E32" s="264">
        <v>2</v>
      </c>
      <c r="F32" s="308">
        <v>193</v>
      </c>
      <c r="G32" s="370">
        <v>4.2500000000000003E-2</v>
      </c>
      <c r="H32" s="251">
        <v>175</v>
      </c>
      <c r="I32" s="238">
        <v>230</v>
      </c>
      <c r="J32" s="327">
        <v>175</v>
      </c>
      <c r="K32" s="242">
        <v>185.124</v>
      </c>
      <c r="L32" s="263">
        <v>95927954</v>
      </c>
      <c r="M32" s="263">
        <v>4731</v>
      </c>
      <c r="N32" s="263">
        <v>398</v>
      </c>
      <c r="O32" s="319">
        <v>45350.706435185188</v>
      </c>
      <c r="P32" s="329">
        <v>31</v>
      </c>
      <c r="Q32" s="282">
        <v>0</v>
      </c>
      <c r="R32" s="300">
        <v>0</v>
      </c>
      <c r="S32" s="306">
        <v>0</v>
      </c>
      <c r="T32" s="260">
        <v>0</v>
      </c>
      <c r="U32" s="291">
        <v>0</v>
      </c>
      <c r="V32" s="546">
        <v>0</v>
      </c>
      <c r="W32" s="796">
        <v>0</v>
      </c>
      <c r="X32" s="676">
        <v>0</v>
      </c>
      <c r="Y32" s="683"/>
      <c r="Z32" s="681"/>
      <c r="AA32" s="267"/>
    </row>
    <row r="33" spans="1:27" ht="12.75" customHeight="1">
      <c r="A33" s="779" t="s">
        <v>597</v>
      </c>
      <c r="B33" s="790">
        <v>3</v>
      </c>
      <c r="C33" s="248">
        <v>158</v>
      </c>
      <c r="D33" s="248">
        <v>167.46600000000001</v>
      </c>
      <c r="E33" s="790">
        <v>1</v>
      </c>
      <c r="F33" s="772">
        <v>167.46600000000001</v>
      </c>
      <c r="G33" s="373">
        <v>8.4600000000000009E-2</v>
      </c>
      <c r="H33" s="246">
        <v>140</v>
      </c>
      <c r="I33" s="237">
        <v>185.602</v>
      </c>
      <c r="J33" s="321">
        <v>135</v>
      </c>
      <c r="K33" s="241">
        <v>154.40299999999999</v>
      </c>
      <c r="L33" s="244">
        <v>26432223</v>
      </c>
      <c r="M33" s="244">
        <v>1594</v>
      </c>
      <c r="N33" s="244">
        <v>269</v>
      </c>
      <c r="O33" s="318">
        <v>45350.708240740743</v>
      </c>
      <c r="P33" s="328">
        <v>32</v>
      </c>
      <c r="Q33" s="281"/>
      <c r="R33" s="299"/>
      <c r="S33" s="301"/>
      <c r="T33" s="261"/>
      <c r="U33" s="292">
        <v>0</v>
      </c>
      <c r="V33" s="675">
        <v>0</v>
      </c>
      <c r="W33" s="795">
        <v>0</v>
      </c>
      <c r="X33" s="677">
        <v>0</v>
      </c>
      <c r="Y33" s="682"/>
      <c r="Z33" s="680"/>
      <c r="AA33" s="267"/>
    </row>
    <row r="34" spans="1:27" ht="12.75" customHeight="1">
      <c r="A34" s="778" t="s">
        <v>598</v>
      </c>
      <c r="B34" s="264">
        <v>1</v>
      </c>
      <c r="C34" s="357">
        <v>121</v>
      </c>
      <c r="D34" s="274">
        <v>129.94999999999999</v>
      </c>
      <c r="E34" s="264">
        <v>10</v>
      </c>
      <c r="F34" s="308">
        <v>123</v>
      </c>
      <c r="G34" s="370">
        <v>-2.5999999999999999E-3</v>
      </c>
      <c r="H34" s="251">
        <v>115</v>
      </c>
      <c r="I34" s="238">
        <v>150</v>
      </c>
      <c r="J34" s="327">
        <v>110</v>
      </c>
      <c r="K34" s="242">
        <v>123.331</v>
      </c>
      <c r="L34" s="263">
        <v>48406501</v>
      </c>
      <c r="M34" s="263">
        <v>3691</v>
      </c>
      <c r="N34" s="263">
        <v>543</v>
      </c>
      <c r="O34" s="319">
        <v>45350.708182870374</v>
      </c>
      <c r="P34" s="329">
        <v>33</v>
      </c>
      <c r="Q34" s="282"/>
      <c r="R34" s="300"/>
      <c r="S34" s="306"/>
      <c r="T34" s="260"/>
      <c r="U34" s="291">
        <v>0</v>
      </c>
      <c r="V34" s="546">
        <v>0</v>
      </c>
      <c r="W34" s="796">
        <v>0</v>
      </c>
      <c r="X34" s="676">
        <v>0</v>
      </c>
      <c r="Y34" s="683"/>
      <c r="Z34" s="681"/>
      <c r="AA34" s="267"/>
    </row>
    <row r="35" spans="1:27" ht="12.75" customHeight="1">
      <c r="A35" s="779" t="s">
        <v>599</v>
      </c>
      <c r="B35" s="790">
        <v>4</v>
      </c>
      <c r="C35" s="248">
        <v>92.3</v>
      </c>
      <c r="D35" s="248">
        <v>98.9</v>
      </c>
      <c r="E35" s="790">
        <v>10</v>
      </c>
      <c r="F35" s="772">
        <v>98</v>
      </c>
      <c r="G35" s="373">
        <v>2.1499999999999998E-2</v>
      </c>
      <c r="H35" s="246">
        <v>96</v>
      </c>
      <c r="I35" s="237">
        <v>119.999</v>
      </c>
      <c r="J35" s="321">
        <v>80</v>
      </c>
      <c r="K35" s="241">
        <v>95.935000000000002</v>
      </c>
      <c r="L35" s="244">
        <v>44811600</v>
      </c>
      <c r="M35" s="244">
        <v>4418</v>
      </c>
      <c r="N35" s="244">
        <v>491</v>
      </c>
      <c r="O35" s="318">
        <v>45350.708252314813</v>
      </c>
      <c r="P35" s="328">
        <v>34</v>
      </c>
      <c r="Q35" s="281"/>
      <c r="R35" s="299"/>
      <c r="S35" s="301"/>
      <c r="T35" s="261"/>
      <c r="U35" s="292">
        <v>0</v>
      </c>
      <c r="V35" s="675">
        <v>0</v>
      </c>
      <c r="W35" s="795">
        <v>0</v>
      </c>
      <c r="X35" s="677">
        <v>0</v>
      </c>
      <c r="Y35" s="677"/>
      <c r="Z35" s="677"/>
      <c r="AA35" s="267"/>
    </row>
    <row r="36" spans="1:27" ht="12.75" customHeight="1">
      <c r="A36" s="778" t="s">
        <v>600</v>
      </c>
      <c r="B36" s="264">
        <v>47</v>
      </c>
      <c r="C36" s="357">
        <v>75</v>
      </c>
      <c r="D36" s="274">
        <v>76</v>
      </c>
      <c r="E36" s="264">
        <v>2</v>
      </c>
      <c r="F36" s="308">
        <v>78</v>
      </c>
      <c r="G36" s="370">
        <v>-2.06E-2</v>
      </c>
      <c r="H36" s="251">
        <v>76</v>
      </c>
      <c r="I36" s="238">
        <v>93</v>
      </c>
      <c r="J36" s="327">
        <v>70</v>
      </c>
      <c r="K36" s="242">
        <v>79.641000000000005</v>
      </c>
      <c r="L36" s="263">
        <v>391492639</v>
      </c>
      <c r="M36" s="263">
        <v>48643</v>
      </c>
      <c r="N36" s="263">
        <v>2866</v>
      </c>
      <c r="O36" s="319">
        <v>45350.708287037036</v>
      </c>
      <c r="P36" s="329">
        <v>35</v>
      </c>
      <c r="Q36" s="282">
        <v>0</v>
      </c>
      <c r="R36" s="300">
        <v>0</v>
      </c>
      <c r="S36" s="306">
        <v>0</v>
      </c>
      <c r="T36" s="260">
        <v>0</v>
      </c>
      <c r="U36" s="291">
        <v>0</v>
      </c>
      <c r="V36" s="546">
        <v>0</v>
      </c>
      <c r="W36" s="796">
        <v>0</v>
      </c>
      <c r="X36" s="676">
        <v>0</v>
      </c>
      <c r="Y36" s="676"/>
      <c r="Z36" s="676"/>
      <c r="AA36" s="267"/>
    </row>
    <row r="37" spans="1:27" ht="12.75" customHeight="1">
      <c r="A37" s="779" t="s">
        <v>601</v>
      </c>
      <c r="B37" s="790">
        <v>1</v>
      </c>
      <c r="C37" s="248">
        <v>46</v>
      </c>
      <c r="D37" s="248">
        <v>50</v>
      </c>
      <c r="E37" s="790">
        <v>4</v>
      </c>
      <c r="F37" s="772">
        <v>47</v>
      </c>
      <c r="G37" s="373">
        <v>-0.19579999999999997</v>
      </c>
      <c r="H37" s="246">
        <v>50</v>
      </c>
      <c r="I37" s="237">
        <v>62</v>
      </c>
      <c r="J37" s="321">
        <v>45.145000000000003</v>
      </c>
      <c r="K37" s="241">
        <v>58.445</v>
      </c>
      <c r="L37" s="244">
        <v>9558592</v>
      </c>
      <c r="M37" s="244">
        <v>1845</v>
      </c>
      <c r="N37" s="244">
        <v>340</v>
      </c>
      <c r="O37" s="318">
        <v>45350.707199074073</v>
      </c>
      <c r="P37" s="328">
        <v>36</v>
      </c>
      <c r="Q37" s="281"/>
      <c r="R37" s="299"/>
      <c r="S37" s="301"/>
      <c r="T37" s="261"/>
      <c r="U37" s="292">
        <v>0</v>
      </c>
      <c r="V37" s="675">
        <v>0</v>
      </c>
      <c r="W37" s="795">
        <v>0</v>
      </c>
      <c r="X37" s="677">
        <v>0</v>
      </c>
      <c r="Y37" s="682"/>
      <c r="Z37" s="680"/>
      <c r="AA37" s="267"/>
    </row>
    <row r="38" spans="1:27" ht="12.75" customHeight="1">
      <c r="A38" s="778" t="s">
        <v>602</v>
      </c>
      <c r="B38" s="264">
        <v>5</v>
      </c>
      <c r="C38" s="357">
        <v>30.1</v>
      </c>
      <c r="D38" s="274">
        <v>38.4</v>
      </c>
      <c r="E38" s="264">
        <v>1</v>
      </c>
      <c r="F38" s="308">
        <v>32.4</v>
      </c>
      <c r="G38" s="370">
        <v>-0.17300000000000001</v>
      </c>
      <c r="H38" s="251">
        <v>39</v>
      </c>
      <c r="I38" s="238">
        <v>44.98</v>
      </c>
      <c r="J38" s="327">
        <v>28.5</v>
      </c>
      <c r="K38" s="242">
        <v>39.177999999999997</v>
      </c>
      <c r="L38" s="263">
        <v>10694812</v>
      </c>
      <c r="M38" s="263">
        <v>3077</v>
      </c>
      <c r="N38" s="263">
        <v>484</v>
      </c>
      <c r="O38" s="319">
        <v>45350.708113425928</v>
      </c>
      <c r="P38" s="329">
        <v>37</v>
      </c>
      <c r="Q38" s="282"/>
      <c r="R38" s="300"/>
      <c r="S38" s="306"/>
      <c r="T38" s="260"/>
      <c r="U38" s="291">
        <v>0</v>
      </c>
      <c r="V38" s="546">
        <v>0</v>
      </c>
      <c r="W38" s="796">
        <v>0</v>
      </c>
      <c r="X38" s="676">
        <v>0</v>
      </c>
      <c r="Y38" s="683"/>
      <c r="Z38" s="681"/>
      <c r="AA38" s="267"/>
    </row>
    <row r="39" spans="1:27" ht="12.75" customHeight="1">
      <c r="A39" s="779" t="s">
        <v>603</v>
      </c>
      <c r="B39" s="790">
        <v>3</v>
      </c>
      <c r="C39" s="248">
        <v>20</v>
      </c>
      <c r="D39" s="248">
        <v>23</v>
      </c>
      <c r="E39" s="790">
        <v>8</v>
      </c>
      <c r="F39" s="772">
        <v>23</v>
      </c>
      <c r="G39" s="373">
        <v>-0.14080000000000001</v>
      </c>
      <c r="H39" s="246">
        <v>26</v>
      </c>
      <c r="I39" s="237">
        <v>29</v>
      </c>
      <c r="J39" s="321">
        <v>19.75</v>
      </c>
      <c r="K39" s="241">
        <v>26.77</v>
      </c>
      <c r="L39" s="244">
        <v>951965</v>
      </c>
      <c r="M39" s="244">
        <v>389</v>
      </c>
      <c r="N39" s="244">
        <v>130</v>
      </c>
      <c r="O39" s="318">
        <v>45350.708182870374</v>
      </c>
      <c r="P39" s="328">
        <v>38</v>
      </c>
      <c r="Q39" s="281"/>
      <c r="R39" s="299"/>
      <c r="S39" s="301"/>
      <c r="T39" s="261"/>
      <c r="U39" s="292">
        <v>0</v>
      </c>
      <c r="V39" s="675">
        <v>0</v>
      </c>
      <c r="W39" s="795">
        <v>0</v>
      </c>
      <c r="X39" s="677">
        <v>0</v>
      </c>
      <c r="Y39" s="682"/>
      <c r="Z39" s="680"/>
      <c r="AA39" s="267"/>
    </row>
    <row r="40" spans="1:27" ht="12.75" customHeight="1">
      <c r="A40" s="778" t="s">
        <v>604</v>
      </c>
      <c r="B40" s="264">
        <v>18</v>
      </c>
      <c r="C40" s="357">
        <v>13</v>
      </c>
      <c r="D40" s="274">
        <v>17</v>
      </c>
      <c r="E40" s="264">
        <v>20</v>
      </c>
      <c r="F40" s="308">
        <v>14.499000000000001</v>
      </c>
      <c r="G40" s="370">
        <v>-0.21079999999999999</v>
      </c>
      <c r="H40" s="251">
        <v>16.100000000000001</v>
      </c>
      <c r="I40" s="238">
        <v>23</v>
      </c>
      <c r="J40" s="327">
        <v>12</v>
      </c>
      <c r="K40" s="242">
        <v>18.373000000000001</v>
      </c>
      <c r="L40" s="263">
        <v>5981972</v>
      </c>
      <c r="M40" s="263">
        <v>3617</v>
      </c>
      <c r="N40" s="263">
        <v>482</v>
      </c>
      <c r="O40" s="319">
        <v>45350.708298611113</v>
      </c>
      <c r="P40" s="329">
        <v>39</v>
      </c>
      <c r="Q40" s="282"/>
      <c r="R40" s="300"/>
      <c r="S40" s="306"/>
      <c r="T40" s="260"/>
      <c r="U40" s="291">
        <v>0</v>
      </c>
      <c r="V40" s="546">
        <v>0</v>
      </c>
      <c r="W40" s="796">
        <v>0</v>
      </c>
      <c r="X40" s="676">
        <v>0</v>
      </c>
      <c r="Y40" s="683"/>
      <c r="Z40" s="681"/>
      <c r="AA40" s="267"/>
    </row>
    <row r="41" spans="1:27" ht="12.75" customHeight="1">
      <c r="A41" s="779" t="s">
        <v>605</v>
      </c>
      <c r="B41" s="790">
        <v>11</v>
      </c>
      <c r="C41" s="248">
        <v>9</v>
      </c>
      <c r="D41" s="248">
        <v>11.989000000000001</v>
      </c>
      <c r="E41" s="790">
        <v>20</v>
      </c>
      <c r="F41" s="772">
        <v>11</v>
      </c>
      <c r="G41" s="373">
        <v>-0.2848</v>
      </c>
      <c r="H41" s="246">
        <v>18</v>
      </c>
      <c r="I41" s="237">
        <v>18</v>
      </c>
      <c r="J41" s="321">
        <v>11</v>
      </c>
      <c r="K41" s="241">
        <v>15.381</v>
      </c>
      <c r="L41" s="244">
        <v>1103810</v>
      </c>
      <c r="M41" s="244">
        <v>884</v>
      </c>
      <c r="N41" s="244">
        <v>171</v>
      </c>
      <c r="O41" s="318">
        <v>45350.706192129626</v>
      </c>
      <c r="P41" s="328">
        <v>40</v>
      </c>
      <c r="Q41" s="281"/>
      <c r="R41" s="299"/>
      <c r="S41" s="301"/>
      <c r="T41" s="261"/>
      <c r="U41" s="292">
        <v>0</v>
      </c>
      <c r="V41" s="675">
        <v>0</v>
      </c>
      <c r="W41" s="795">
        <v>0</v>
      </c>
      <c r="X41" s="677">
        <v>0</v>
      </c>
      <c r="Y41" s="714"/>
      <c r="Z41" s="715"/>
      <c r="AA41" s="267"/>
    </row>
    <row r="42" spans="1:27" ht="12.75" customHeight="1">
      <c r="A42" s="780" t="s">
        <v>606</v>
      </c>
      <c r="B42" s="264">
        <v>1</v>
      </c>
      <c r="C42" s="705">
        <v>6.25</v>
      </c>
      <c r="D42" s="705">
        <v>8.9849999999999994</v>
      </c>
      <c r="E42" s="264">
        <v>20</v>
      </c>
      <c r="F42" s="773">
        <v>8.7919999999999998</v>
      </c>
      <c r="G42" s="374">
        <v>-0.23070000000000002</v>
      </c>
      <c r="H42" s="251">
        <v>13.5</v>
      </c>
      <c r="I42" s="238">
        <v>13.5</v>
      </c>
      <c r="J42" s="327">
        <v>7.2</v>
      </c>
      <c r="K42" s="242">
        <v>11.429</v>
      </c>
      <c r="L42" s="263">
        <v>2509850</v>
      </c>
      <c r="M42" s="263">
        <v>2626</v>
      </c>
      <c r="N42" s="263">
        <v>407</v>
      </c>
      <c r="O42" s="319">
        <v>45350.707511574074</v>
      </c>
      <c r="P42" s="329">
        <v>41</v>
      </c>
      <c r="Q42" s="282">
        <v>0</v>
      </c>
      <c r="R42" s="300">
        <v>0</v>
      </c>
      <c r="S42" s="306">
        <v>0</v>
      </c>
      <c r="T42" s="260">
        <v>0</v>
      </c>
      <c r="U42" s="292">
        <v>0</v>
      </c>
      <c r="V42" s="675">
        <v>0</v>
      </c>
      <c r="W42" s="794">
        <v>0</v>
      </c>
      <c r="X42" s="707">
        <v>0</v>
      </c>
      <c r="Y42" s="707"/>
      <c r="Z42" s="707"/>
      <c r="AA42" s="267"/>
    </row>
    <row r="43" spans="1:27" ht="12.75" customHeight="1">
      <c r="A43" s="781" t="s">
        <v>607</v>
      </c>
      <c r="B43" s="790">
        <v>10</v>
      </c>
      <c r="C43" s="248">
        <v>4.3600000000000003</v>
      </c>
      <c r="D43" s="579">
        <v>7</v>
      </c>
      <c r="E43" s="790">
        <v>2</v>
      </c>
      <c r="F43" s="772">
        <v>5.5</v>
      </c>
      <c r="G43" s="373">
        <v>-0.29249999999999998</v>
      </c>
      <c r="H43" s="246">
        <v>10</v>
      </c>
      <c r="I43" s="237">
        <v>10</v>
      </c>
      <c r="J43" s="321">
        <v>5.0999999999999996</v>
      </c>
      <c r="K43" s="241">
        <v>7.774</v>
      </c>
      <c r="L43" s="244">
        <v>407625</v>
      </c>
      <c r="M43" s="244">
        <v>577</v>
      </c>
      <c r="N43" s="244">
        <v>175</v>
      </c>
      <c r="O43" s="318">
        <v>45350.708136574074</v>
      </c>
      <c r="P43" s="328">
        <v>42</v>
      </c>
      <c r="Q43" s="281">
        <v>0</v>
      </c>
      <c r="R43" s="299">
        <v>0</v>
      </c>
      <c r="S43" s="301">
        <v>0</v>
      </c>
      <c r="T43" s="261">
        <v>0</v>
      </c>
      <c r="U43" s="291">
        <v>0</v>
      </c>
      <c r="V43" s="546">
        <v>10</v>
      </c>
      <c r="W43" s="795">
        <v>4357</v>
      </c>
      <c r="X43" s="713">
        <v>435.7</v>
      </c>
      <c r="Y43" s="713"/>
      <c r="Z43" s="713"/>
      <c r="AA43" s="267"/>
    </row>
    <row r="44" spans="1:27" ht="12.75" customHeight="1">
      <c r="A44" s="782" t="s">
        <v>608</v>
      </c>
      <c r="B44" s="791">
        <v>1</v>
      </c>
      <c r="C44" s="515">
        <v>4.3</v>
      </c>
      <c r="D44" s="515">
        <v>4.9800000000000004</v>
      </c>
      <c r="E44" s="791">
        <v>5</v>
      </c>
      <c r="F44" s="774">
        <v>4.9800000000000004</v>
      </c>
      <c r="G44" s="541">
        <v>-6.0299999999999999E-2</v>
      </c>
      <c r="H44" s="519">
        <v>6.95</v>
      </c>
      <c r="I44" s="520">
        <v>6.95</v>
      </c>
      <c r="J44" s="521">
        <v>4.3</v>
      </c>
      <c r="K44" s="522">
        <v>5.3</v>
      </c>
      <c r="L44" s="506">
        <v>959605</v>
      </c>
      <c r="M44" s="506">
        <v>1758</v>
      </c>
      <c r="N44" s="506">
        <v>373</v>
      </c>
      <c r="O44" s="507">
        <v>45350.708275462966</v>
      </c>
      <c r="P44" s="329">
        <v>43</v>
      </c>
      <c r="Q44" s="508">
        <v>0</v>
      </c>
      <c r="R44" s="542">
        <v>0</v>
      </c>
      <c r="S44" s="510">
        <v>0</v>
      </c>
      <c r="T44" s="525">
        <v>0</v>
      </c>
      <c r="U44" s="292">
        <v>0</v>
      </c>
      <c r="V44" s="675">
        <v>10</v>
      </c>
      <c r="W44" s="797">
        <v>4300</v>
      </c>
      <c r="X44" s="710">
        <v>430</v>
      </c>
      <c r="Y44" s="710"/>
      <c r="Z44" s="710"/>
      <c r="AA44" s="267"/>
    </row>
    <row r="45" spans="1:27" ht="12.75" customHeight="1">
      <c r="A45" s="778" t="s">
        <v>612</v>
      </c>
      <c r="B45" s="264">
        <v>52</v>
      </c>
      <c r="C45" s="357">
        <v>0.32</v>
      </c>
      <c r="D45" s="274">
        <v>0.98</v>
      </c>
      <c r="E45" s="264">
        <v>20</v>
      </c>
      <c r="F45" s="308">
        <v>0.52</v>
      </c>
      <c r="G45" s="370">
        <v>-0.16260000000000002</v>
      </c>
      <c r="H45" s="247">
        <v>0.88</v>
      </c>
      <c r="I45" s="239">
        <v>0.88</v>
      </c>
      <c r="J45" s="324">
        <v>0.45</v>
      </c>
      <c r="K45" s="243">
        <v>0.621</v>
      </c>
      <c r="L45" s="269">
        <v>27868</v>
      </c>
      <c r="M45" s="269">
        <v>417</v>
      </c>
      <c r="N45" s="269">
        <v>97</v>
      </c>
      <c r="O45" s="317">
        <v>45350.700752314813</v>
      </c>
      <c r="P45" s="328">
        <v>44</v>
      </c>
      <c r="Q45" s="284">
        <v>0</v>
      </c>
      <c r="R45" s="298">
        <v>0</v>
      </c>
      <c r="S45" s="304">
        <v>0</v>
      </c>
      <c r="T45" s="262">
        <v>0</v>
      </c>
      <c r="U45" s="490">
        <v>0</v>
      </c>
      <c r="V45" s="546">
        <v>0</v>
      </c>
      <c r="W45" s="786">
        <v>0</v>
      </c>
      <c r="X45" s="676">
        <v>0</v>
      </c>
      <c r="Y45" s="684"/>
      <c r="Z45" s="679"/>
      <c r="AA45" s="267"/>
    </row>
    <row r="46" spans="1:27" ht="12.75" customHeight="1">
      <c r="A46" s="779" t="s">
        <v>613</v>
      </c>
      <c r="B46" s="790">
        <v>3</v>
      </c>
      <c r="C46" s="248">
        <v>0.73</v>
      </c>
      <c r="D46" s="248">
        <v>0.99</v>
      </c>
      <c r="E46" s="790">
        <v>86</v>
      </c>
      <c r="F46" s="772">
        <v>0.81100000000000005</v>
      </c>
      <c r="G46" s="373">
        <v>-0.13070000000000001</v>
      </c>
      <c r="H46" s="246">
        <v>1.25</v>
      </c>
      <c r="I46" s="237">
        <v>1.25</v>
      </c>
      <c r="J46" s="321">
        <v>0.7</v>
      </c>
      <c r="K46" s="241">
        <v>0.93300000000000005</v>
      </c>
      <c r="L46" s="244">
        <v>109486</v>
      </c>
      <c r="M46" s="244">
        <v>1303</v>
      </c>
      <c r="N46" s="244">
        <v>307</v>
      </c>
      <c r="O46" s="318">
        <v>45350.706435185188</v>
      </c>
      <c r="P46" s="329">
        <v>45</v>
      </c>
      <c r="Q46" s="281">
        <v>0</v>
      </c>
      <c r="R46" s="299">
        <v>0</v>
      </c>
      <c r="S46" s="301">
        <v>0</v>
      </c>
      <c r="T46" s="261">
        <v>0</v>
      </c>
      <c r="U46" s="292">
        <v>0</v>
      </c>
      <c r="V46" s="675">
        <v>0</v>
      </c>
      <c r="W46" s="787">
        <v>0</v>
      </c>
      <c r="X46" s="677">
        <v>0</v>
      </c>
      <c r="Y46" s="685"/>
      <c r="Z46" s="680"/>
      <c r="AA46" s="267"/>
    </row>
    <row r="47" spans="1:27" ht="12.75" customHeight="1">
      <c r="A47" s="778" t="s">
        <v>614</v>
      </c>
      <c r="B47" s="264">
        <v>25</v>
      </c>
      <c r="C47" s="357">
        <v>1.02</v>
      </c>
      <c r="D47" s="274">
        <v>2.19</v>
      </c>
      <c r="E47" s="264">
        <v>34</v>
      </c>
      <c r="F47" s="308">
        <v>1.6</v>
      </c>
      <c r="G47" s="370">
        <v>0.1371</v>
      </c>
      <c r="H47" s="251">
        <v>1.45</v>
      </c>
      <c r="I47" s="238">
        <v>2.2000000000000002</v>
      </c>
      <c r="J47" s="327">
        <v>0.9</v>
      </c>
      <c r="K47" s="242">
        <v>1.407</v>
      </c>
      <c r="L47" s="263">
        <v>106703</v>
      </c>
      <c r="M47" s="263">
        <v>686</v>
      </c>
      <c r="N47" s="263">
        <v>219</v>
      </c>
      <c r="O47" s="319">
        <v>45350.706678240742</v>
      </c>
      <c r="P47" s="328">
        <v>46</v>
      </c>
      <c r="Q47" s="282">
        <v>0</v>
      </c>
      <c r="R47" s="300">
        <v>0</v>
      </c>
      <c r="S47" s="306">
        <v>0</v>
      </c>
      <c r="T47" s="260">
        <v>0</v>
      </c>
      <c r="U47" s="291">
        <v>0</v>
      </c>
      <c r="V47" s="546">
        <v>0</v>
      </c>
      <c r="W47" s="788">
        <v>0</v>
      </c>
      <c r="X47" s="676">
        <v>0</v>
      </c>
      <c r="Y47" s="686"/>
      <c r="Z47" s="681"/>
      <c r="AA47" s="267"/>
    </row>
    <row r="48" spans="1:27" ht="12.75" customHeight="1">
      <c r="A48" s="779" t="s">
        <v>615</v>
      </c>
      <c r="B48" s="790">
        <v>7</v>
      </c>
      <c r="C48" s="248">
        <v>1.64</v>
      </c>
      <c r="D48" s="248">
        <v>2.1989999999999998</v>
      </c>
      <c r="E48" s="790">
        <v>3</v>
      </c>
      <c r="F48" s="772">
        <v>2.2000000000000002</v>
      </c>
      <c r="G48" s="373">
        <v>-1.03E-2</v>
      </c>
      <c r="H48" s="246">
        <v>2.8450000000000002</v>
      </c>
      <c r="I48" s="237">
        <v>2.8450000000000002</v>
      </c>
      <c r="J48" s="321">
        <v>1.5</v>
      </c>
      <c r="K48" s="241">
        <v>2.2229999999999999</v>
      </c>
      <c r="L48" s="244">
        <v>292155</v>
      </c>
      <c r="M48" s="244">
        <v>1496</v>
      </c>
      <c r="N48" s="244">
        <v>346</v>
      </c>
      <c r="O48" s="318">
        <v>45350.707766203705</v>
      </c>
      <c r="P48" s="329">
        <v>47</v>
      </c>
      <c r="Q48" s="281">
        <v>0</v>
      </c>
      <c r="R48" s="299">
        <v>0</v>
      </c>
      <c r="S48" s="301">
        <v>0</v>
      </c>
      <c r="T48" s="261">
        <v>0</v>
      </c>
      <c r="U48" s="292">
        <v>0</v>
      </c>
      <c r="V48" s="675">
        <v>0</v>
      </c>
      <c r="W48" s="787">
        <v>0</v>
      </c>
      <c r="X48" s="677">
        <v>0</v>
      </c>
      <c r="Y48" s="685"/>
      <c r="Z48" s="680"/>
      <c r="AA48" s="267"/>
    </row>
    <row r="49" spans="1:40" ht="12.75" customHeight="1">
      <c r="A49" s="778" t="s">
        <v>616</v>
      </c>
      <c r="B49" s="264">
        <v>89</v>
      </c>
      <c r="C49" s="357">
        <v>4.21</v>
      </c>
      <c r="D49" s="274">
        <v>7.45</v>
      </c>
      <c r="E49" s="264">
        <v>2</v>
      </c>
      <c r="F49" s="308">
        <v>4.21</v>
      </c>
      <c r="G49" s="370">
        <v>-6.7900000000000002E-2</v>
      </c>
      <c r="H49" s="251">
        <v>5</v>
      </c>
      <c r="I49" s="238">
        <v>9</v>
      </c>
      <c r="J49" s="327">
        <v>2.5009999999999999</v>
      </c>
      <c r="K49" s="242">
        <v>4.5170000000000003</v>
      </c>
      <c r="L49" s="263">
        <v>254649</v>
      </c>
      <c r="M49" s="263">
        <v>655</v>
      </c>
      <c r="N49" s="263">
        <v>208</v>
      </c>
      <c r="O49" s="319">
        <v>45350.708136574074</v>
      </c>
      <c r="P49" s="328">
        <v>48</v>
      </c>
      <c r="Q49" s="282">
        <v>0</v>
      </c>
      <c r="R49" s="300">
        <v>0</v>
      </c>
      <c r="S49" s="306">
        <v>0</v>
      </c>
      <c r="T49" s="260">
        <v>0</v>
      </c>
      <c r="U49" s="291">
        <v>0</v>
      </c>
      <c r="V49" s="546">
        <v>0</v>
      </c>
      <c r="W49" s="788">
        <v>0</v>
      </c>
      <c r="X49" s="676">
        <v>0</v>
      </c>
      <c r="Y49" s="686"/>
      <c r="Z49" s="681"/>
      <c r="AA49" s="267"/>
    </row>
    <row r="50" spans="1:40" ht="12.75" customHeight="1">
      <c r="A50" s="779" t="s">
        <v>617</v>
      </c>
      <c r="B50" s="790">
        <v>77</v>
      </c>
      <c r="C50" s="248">
        <v>9</v>
      </c>
      <c r="D50" s="248">
        <v>11.4</v>
      </c>
      <c r="E50" s="790">
        <v>1</v>
      </c>
      <c r="F50" s="772">
        <v>9</v>
      </c>
      <c r="G50" s="373">
        <v>0.24340000000000001</v>
      </c>
      <c r="H50" s="246">
        <v>8.25</v>
      </c>
      <c r="I50" s="237">
        <v>13.5</v>
      </c>
      <c r="J50" s="321">
        <v>7</v>
      </c>
      <c r="K50" s="241">
        <v>7.2380000000000004</v>
      </c>
      <c r="L50" s="244">
        <v>998854</v>
      </c>
      <c r="M50" s="244">
        <v>1191</v>
      </c>
      <c r="N50" s="244">
        <v>281</v>
      </c>
      <c r="O50" s="318">
        <v>45350.708182870374</v>
      </c>
      <c r="P50" s="329">
        <v>49</v>
      </c>
      <c r="Q50" s="281">
        <v>0</v>
      </c>
      <c r="R50" s="299">
        <v>0</v>
      </c>
      <c r="S50" s="301">
        <v>0</v>
      </c>
      <c r="T50" s="261">
        <v>0</v>
      </c>
      <c r="U50" s="292">
        <v>0</v>
      </c>
      <c r="V50" s="675">
        <v>0</v>
      </c>
      <c r="W50" s="787">
        <v>0</v>
      </c>
      <c r="X50" s="677">
        <v>0</v>
      </c>
      <c r="Y50" s="685"/>
      <c r="Z50" s="680"/>
      <c r="AA50" s="267"/>
    </row>
    <row r="51" spans="1:40" ht="12.75" customHeight="1">
      <c r="A51" s="778" t="s">
        <v>618</v>
      </c>
      <c r="B51" s="264">
        <v>1</v>
      </c>
      <c r="C51" s="357">
        <v>17.5</v>
      </c>
      <c r="D51" s="274">
        <v>18.39</v>
      </c>
      <c r="E51" s="264">
        <v>18</v>
      </c>
      <c r="F51" s="308">
        <v>18.39</v>
      </c>
      <c r="G51" s="370">
        <v>0.25370000000000004</v>
      </c>
      <c r="H51" s="251">
        <v>18</v>
      </c>
      <c r="I51" s="238">
        <v>18.399999999999999</v>
      </c>
      <c r="J51" s="327">
        <v>9.1</v>
      </c>
      <c r="K51" s="242">
        <v>14.667999999999999</v>
      </c>
      <c r="L51" s="263">
        <v>2236042</v>
      </c>
      <c r="M51" s="263">
        <v>1585</v>
      </c>
      <c r="N51" s="263">
        <v>288</v>
      </c>
      <c r="O51" s="319">
        <v>45350.70821759259</v>
      </c>
      <c r="P51" s="328">
        <v>50</v>
      </c>
      <c r="Q51" s="282">
        <v>0</v>
      </c>
      <c r="R51" s="300">
        <v>0</v>
      </c>
      <c r="S51" s="306">
        <v>0</v>
      </c>
      <c r="T51" s="260">
        <v>0</v>
      </c>
      <c r="U51" s="291">
        <v>0</v>
      </c>
      <c r="V51" s="546">
        <v>0</v>
      </c>
      <c r="W51" s="788">
        <v>0</v>
      </c>
      <c r="X51" s="676">
        <v>0</v>
      </c>
      <c r="Y51" s="686"/>
      <c r="Z51" s="681"/>
      <c r="AA51" s="267"/>
    </row>
    <row r="52" spans="1:40" ht="12.75" customHeight="1">
      <c r="A52" s="779" t="s">
        <v>619</v>
      </c>
      <c r="B52" s="790">
        <v>33</v>
      </c>
      <c r="C52" s="248">
        <v>31</v>
      </c>
      <c r="D52" s="248">
        <v>33.979999999999997</v>
      </c>
      <c r="E52" s="790">
        <v>20</v>
      </c>
      <c r="F52" s="772">
        <v>32</v>
      </c>
      <c r="G52" s="373">
        <v>0.3448</v>
      </c>
      <c r="H52" s="246">
        <v>30</v>
      </c>
      <c r="I52" s="237">
        <v>34.799999999999997</v>
      </c>
      <c r="J52" s="321">
        <v>20</v>
      </c>
      <c r="K52" s="241">
        <v>23.795000000000002</v>
      </c>
      <c r="L52" s="244">
        <v>23540418</v>
      </c>
      <c r="M52" s="244">
        <v>8783</v>
      </c>
      <c r="N52" s="244">
        <v>815</v>
      </c>
      <c r="O52" s="318">
        <v>45350.707962962966</v>
      </c>
      <c r="P52" s="329">
        <v>51</v>
      </c>
      <c r="Q52" s="281">
        <v>0</v>
      </c>
      <c r="R52" s="299">
        <v>0</v>
      </c>
      <c r="S52" s="301">
        <v>0</v>
      </c>
      <c r="T52" s="261">
        <v>0</v>
      </c>
      <c r="U52" s="292">
        <v>0</v>
      </c>
      <c r="V52" s="675">
        <v>0</v>
      </c>
      <c r="W52" s="787">
        <v>2969</v>
      </c>
      <c r="X52" s="677">
        <v>-2969</v>
      </c>
      <c r="Y52" s="677"/>
      <c r="Z52" s="677"/>
      <c r="AA52" s="267"/>
    </row>
    <row r="53" spans="1:40" ht="12.75" customHeight="1">
      <c r="A53" s="778" t="s">
        <v>620</v>
      </c>
      <c r="B53" s="264">
        <v>1</v>
      </c>
      <c r="C53" s="357">
        <v>58.500999999999998</v>
      </c>
      <c r="D53" s="274">
        <v>63.899000000000001</v>
      </c>
      <c r="E53" s="264">
        <v>1</v>
      </c>
      <c r="F53" s="308">
        <v>58.5</v>
      </c>
      <c r="G53" s="370">
        <v>0.38819999999999999</v>
      </c>
      <c r="H53" s="251">
        <v>45</v>
      </c>
      <c r="I53" s="238">
        <v>69</v>
      </c>
      <c r="J53" s="327">
        <v>40</v>
      </c>
      <c r="K53" s="242">
        <v>42.137999999999998</v>
      </c>
      <c r="L53" s="263">
        <v>43032806</v>
      </c>
      <c r="M53" s="263">
        <v>8675</v>
      </c>
      <c r="N53" s="263">
        <v>1172</v>
      </c>
      <c r="O53" s="319">
        <v>45350.708067129628</v>
      </c>
      <c r="P53" s="328">
        <v>52</v>
      </c>
      <c r="Q53" s="282">
        <v>0</v>
      </c>
      <c r="R53" s="300">
        <v>0</v>
      </c>
      <c r="S53" s="306">
        <v>0</v>
      </c>
      <c r="T53" s="260">
        <v>0</v>
      </c>
      <c r="U53" s="291">
        <v>0</v>
      </c>
      <c r="V53" s="546">
        <v>0</v>
      </c>
      <c r="W53" s="788">
        <v>0</v>
      </c>
      <c r="X53" s="676">
        <v>0</v>
      </c>
      <c r="Y53" s="686"/>
      <c r="Z53" s="681"/>
      <c r="AA53" s="267"/>
    </row>
    <row r="54" spans="1:40" ht="12.75" customHeight="1">
      <c r="A54" s="779" t="s">
        <v>621</v>
      </c>
      <c r="B54" s="790">
        <v>1</v>
      </c>
      <c r="C54" s="248">
        <v>95</v>
      </c>
      <c r="D54" s="248">
        <v>98.99</v>
      </c>
      <c r="E54" s="790">
        <v>4</v>
      </c>
      <c r="F54" s="772">
        <v>97.001000000000005</v>
      </c>
      <c r="G54" s="373">
        <v>0.35799999999999998</v>
      </c>
      <c r="H54" s="246">
        <v>80</v>
      </c>
      <c r="I54" s="237">
        <v>107</v>
      </c>
      <c r="J54" s="321">
        <v>65</v>
      </c>
      <c r="K54" s="241">
        <v>71.427000000000007</v>
      </c>
      <c r="L54" s="244">
        <v>22039129</v>
      </c>
      <c r="M54" s="244">
        <v>2628</v>
      </c>
      <c r="N54" s="244">
        <v>487</v>
      </c>
      <c r="O54" s="318">
        <v>45350.708043981482</v>
      </c>
      <c r="P54" s="329">
        <v>53</v>
      </c>
      <c r="Q54" s="281">
        <v>0</v>
      </c>
      <c r="R54" s="299">
        <v>0</v>
      </c>
      <c r="S54" s="301">
        <v>0</v>
      </c>
      <c r="T54" s="261">
        <v>0</v>
      </c>
      <c r="U54" s="292">
        <v>0</v>
      </c>
      <c r="V54" s="675">
        <v>0</v>
      </c>
      <c r="W54" s="787">
        <v>0</v>
      </c>
      <c r="X54" s="677">
        <v>0</v>
      </c>
      <c r="Y54" s="685"/>
      <c r="Z54" s="680"/>
      <c r="AA54" s="267"/>
    </row>
    <row r="55" spans="1:40" ht="12.75" customHeight="1">
      <c r="A55" s="778" t="s">
        <v>622</v>
      </c>
      <c r="B55" s="264">
        <v>3</v>
      </c>
      <c r="C55" s="357">
        <v>172</v>
      </c>
      <c r="D55" s="274">
        <v>184</v>
      </c>
      <c r="E55" s="264">
        <v>2</v>
      </c>
      <c r="F55" s="308">
        <v>189.999</v>
      </c>
      <c r="G55" s="370">
        <v>0.44299999999999995</v>
      </c>
      <c r="H55" s="251">
        <v>139</v>
      </c>
      <c r="I55" s="238">
        <v>189.999</v>
      </c>
      <c r="J55" s="327">
        <v>115</v>
      </c>
      <c r="K55" s="242">
        <v>131.667</v>
      </c>
      <c r="L55" s="263">
        <v>10418949</v>
      </c>
      <c r="M55" s="263">
        <v>718</v>
      </c>
      <c r="N55" s="263">
        <v>160</v>
      </c>
      <c r="O55" s="319">
        <v>45350.704027777778</v>
      </c>
      <c r="P55" s="328">
        <v>54</v>
      </c>
      <c r="Q55" s="282">
        <v>0</v>
      </c>
      <c r="R55" s="300">
        <v>0</v>
      </c>
      <c r="S55" s="306">
        <v>0</v>
      </c>
      <c r="T55" s="260">
        <v>0</v>
      </c>
      <c r="U55" s="291">
        <v>0</v>
      </c>
      <c r="V55" s="546">
        <v>0</v>
      </c>
      <c r="W55" s="788">
        <v>0</v>
      </c>
      <c r="X55" s="676">
        <v>0</v>
      </c>
      <c r="Y55" s="686"/>
      <c r="Z55" s="681"/>
      <c r="AA55" s="267"/>
    </row>
    <row r="56" spans="1:40" ht="12.75" customHeight="1">
      <c r="A56" s="779" t="s">
        <v>623</v>
      </c>
      <c r="B56" s="790">
        <v>10</v>
      </c>
      <c r="C56" s="248">
        <v>240</v>
      </c>
      <c r="D56" s="248">
        <v>300</v>
      </c>
      <c r="E56" s="790">
        <v>11</v>
      </c>
      <c r="F56" s="772">
        <v>268.99900000000002</v>
      </c>
      <c r="G56" s="373">
        <v>0.40090000000000003</v>
      </c>
      <c r="H56" s="246">
        <v>190</v>
      </c>
      <c r="I56" s="237">
        <v>270</v>
      </c>
      <c r="J56" s="321">
        <v>190</v>
      </c>
      <c r="K56" s="241">
        <v>192.005</v>
      </c>
      <c r="L56" s="244">
        <v>12410989</v>
      </c>
      <c r="M56" s="244">
        <v>539</v>
      </c>
      <c r="N56" s="244">
        <v>92</v>
      </c>
      <c r="O56" s="318">
        <v>45350.701168981483</v>
      </c>
      <c r="P56" s="329">
        <v>55</v>
      </c>
      <c r="Q56" s="281">
        <v>0</v>
      </c>
      <c r="R56" s="299">
        <v>0</v>
      </c>
      <c r="S56" s="301">
        <v>0</v>
      </c>
      <c r="T56" s="261">
        <v>0</v>
      </c>
      <c r="U56" s="292">
        <v>0</v>
      </c>
      <c r="V56" s="675">
        <v>0</v>
      </c>
      <c r="W56" s="787">
        <v>0</v>
      </c>
      <c r="X56" s="677">
        <v>0</v>
      </c>
      <c r="Y56" s="708"/>
      <c r="Z56" s="709"/>
      <c r="AA56" s="267"/>
    </row>
    <row r="57" spans="1:40" ht="12.75" customHeight="1">
      <c r="A57" s="780" t="s">
        <v>624</v>
      </c>
      <c r="B57" s="264">
        <v>10</v>
      </c>
      <c r="C57" s="705">
        <v>354</v>
      </c>
      <c r="D57" s="705">
        <v>389.99900000000002</v>
      </c>
      <c r="E57" s="264">
        <v>1</v>
      </c>
      <c r="F57" s="773">
        <v>355</v>
      </c>
      <c r="G57" s="374">
        <v>0.29760000000000003</v>
      </c>
      <c r="H57" s="251">
        <v>290</v>
      </c>
      <c r="I57" s="238">
        <v>355</v>
      </c>
      <c r="J57" s="327">
        <v>290</v>
      </c>
      <c r="K57" s="242">
        <v>273.57299999999998</v>
      </c>
      <c r="L57" s="263">
        <v>14677541</v>
      </c>
      <c r="M57" s="263">
        <v>459</v>
      </c>
      <c r="N57" s="263">
        <v>54</v>
      </c>
      <c r="O57" s="319">
        <v>45350.696273148147</v>
      </c>
      <c r="P57" s="328">
        <v>56</v>
      </c>
      <c r="Q57" s="282">
        <v>0</v>
      </c>
      <c r="R57" s="300">
        <v>0</v>
      </c>
      <c r="S57" s="306">
        <v>0</v>
      </c>
      <c r="T57" s="260">
        <v>0</v>
      </c>
      <c r="U57" s="292">
        <v>0</v>
      </c>
      <c r="V57" s="675">
        <v>0</v>
      </c>
      <c r="W57" s="786">
        <v>0</v>
      </c>
      <c r="X57" s="707">
        <v>0</v>
      </c>
      <c r="Y57" s="684"/>
      <c r="Z57" s="706"/>
      <c r="AA57" s="267"/>
    </row>
    <row r="58" spans="1:40" ht="12.75" customHeight="1">
      <c r="A58" s="781" t="s">
        <v>625</v>
      </c>
      <c r="B58" s="790">
        <v>50</v>
      </c>
      <c r="C58" s="248">
        <v>400</v>
      </c>
      <c r="D58" s="579">
        <v>555</v>
      </c>
      <c r="E58" s="790">
        <v>2</v>
      </c>
      <c r="F58" s="772">
        <v>599</v>
      </c>
      <c r="G58" s="373">
        <v>0.19800000000000001</v>
      </c>
      <c r="H58" s="246">
        <v>427.87299999999999</v>
      </c>
      <c r="I58" s="237">
        <v>599</v>
      </c>
      <c r="J58" s="321">
        <v>427.80099999999999</v>
      </c>
      <c r="K58" s="241">
        <v>500</v>
      </c>
      <c r="L58" s="244">
        <v>1832332</v>
      </c>
      <c r="M58" s="244">
        <v>40</v>
      </c>
      <c r="N58" s="244">
        <v>13</v>
      </c>
      <c r="O58" s="318">
        <v>45350.696273148147</v>
      </c>
      <c r="P58" s="329">
        <v>57</v>
      </c>
      <c r="Q58" s="281">
        <v>0</v>
      </c>
      <c r="R58" s="299">
        <v>0</v>
      </c>
      <c r="S58" s="301">
        <v>0</v>
      </c>
      <c r="T58" s="261">
        <v>0</v>
      </c>
      <c r="U58" s="291">
        <v>0</v>
      </c>
      <c r="V58" s="546">
        <v>0</v>
      </c>
      <c r="W58" s="787">
        <v>0</v>
      </c>
      <c r="X58" s="713">
        <v>0</v>
      </c>
      <c r="Y58" s="708"/>
      <c r="Z58" s="709"/>
      <c r="AA58" s="267"/>
    </row>
    <row r="59" spans="1:40" ht="12.75" customHeight="1">
      <c r="A59" s="782" t="s">
        <v>626</v>
      </c>
      <c r="B59" s="791">
        <v>1</v>
      </c>
      <c r="C59" s="515">
        <v>350</v>
      </c>
      <c r="D59" s="515">
        <v>700</v>
      </c>
      <c r="E59" s="791">
        <v>4</v>
      </c>
      <c r="F59" s="774">
        <v>655</v>
      </c>
      <c r="G59" s="541">
        <v>6.5000000000000002E-2</v>
      </c>
      <c r="H59" s="519">
        <v>600</v>
      </c>
      <c r="I59" s="520">
        <v>655</v>
      </c>
      <c r="J59" s="521">
        <v>533.6</v>
      </c>
      <c r="K59" s="522">
        <v>615</v>
      </c>
      <c r="L59" s="506">
        <v>1034860</v>
      </c>
      <c r="M59" s="506">
        <v>17</v>
      </c>
      <c r="N59" s="506">
        <v>14</v>
      </c>
      <c r="O59" s="507">
        <v>45350.696273148147</v>
      </c>
      <c r="P59" s="328">
        <v>58</v>
      </c>
      <c r="Q59" s="508">
        <v>0</v>
      </c>
      <c r="R59" s="542">
        <v>0</v>
      </c>
      <c r="S59" s="510">
        <v>0</v>
      </c>
      <c r="T59" s="525">
        <v>0</v>
      </c>
      <c r="U59" s="292">
        <v>0</v>
      </c>
      <c r="V59" s="675">
        <v>0</v>
      </c>
      <c r="W59" s="789">
        <v>0</v>
      </c>
      <c r="X59" s="710">
        <v>0</v>
      </c>
      <c r="Y59" s="711"/>
      <c r="Z59" s="712"/>
      <c r="AA59" s="267"/>
    </row>
    <row r="60" spans="1:40" ht="12.75" customHeight="1">
      <c r="A60" s="297" t="s">
        <v>335</v>
      </c>
      <c r="B60" s="264">
        <v>3</v>
      </c>
      <c r="C60" s="357">
        <v>2347</v>
      </c>
      <c r="D60" s="274">
        <v>2357</v>
      </c>
      <c r="E60" s="264">
        <v>52</v>
      </c>
      <c r="F60" s="308">
        <v>2351</v>
      </c>
      <c r="G60" s="370">
        <v>-2.53E-2</v>
      </c>
      <c r="H60" s="247">
        <v>2450</v>
      </c>
      <c r="I60" s="239">
        <v>2450</v>
      </c>
      <c r="J60" s="324">
        <v>2315</v>
      </c>
      <c r="K60" s="243">
        <v>2412.1999999999998</v>
      </c>
      <c r="L60" s="269">
        <v>138538433</v>
      </c>
      <c r="M60" s="243">
        <v>58778</v>
      </c>
      <c r="N60" s="269">
        <v>586</v>
      </c>
      <c r="O60" s="317">
        <v>45350.687245370369</v>
      </c>
      <c r="P60" s="329">
        <v>59</v>
      </c>
      <c r="Q60" s="284">
        <v>0</v>
      </c>
      <c r="R60" s="298">
        <v>0</v>
      </c>
      <c r="S60" s="304">
        <v>0</v>
      </c>
      <c r="T60" s="262">
        <v>0</v>
      </c>
      <c r="U60" s="291">
        <v>0</v>
      </c>
      <c r="V60" s="294">
        <v>0</v>
      </c>
      <c r="W60" s="695">
        <v>0</v>
      </c>
      <c r="X60" s="676">
        <v>0</v>
      </c>
      <c r="Y60" s="603">
        <f>IF(D60&lt;&gt;0,($C61*(1-$V$1))-$D60,0)</f>
        <v>-24</v>
      </c>
      <c r="Z60" s="588">
        <v>20.49</v>
      </c>
      <c r="AA60" s="806"/>
    </row>
    <row r="61" spans="1:40" ht="12.75" customHeight="1">
      <c r="A61" s="583" t="s">
        <v>336</v>
      </c>
      <c r="B61" s="540">
        <v>98</v>
      </c>
      <c r="C61" s="515">
        <v>2333</v>
      </c>
      <c r="D61" s="578">
        <v>2338</v>
      </c>
      <c r="E61" s="530">
        <v>2205</v>
      </c>
      <c r="F61" s="774">
        <v>2338</v>
      </c>
      <c r="G61" s="541">
        <v>-1.3000000000000001E-2</v>
      </c>
      <c r="H61" s="519">
        <v>2350</v>
      </c>
      <c r="I61" s="520">
        <v>2401.65</v>
      </c>
      <c r="J61" s="521">
        <v>2308</v>
      </c>
      <c r="K61" s="522">
        <v>2368.85</v>
      </c>
      <c r="L61" s="506">
        <v>3762765703</v>
      </c>
      <c r="M61" s="522">
        <v>1597719</v>
      </c>
      <c r="N61" s="506">
        <v>3361</v>
      </c>
      <c r="O61" s="507">
        <v>45350.708287037036</v>
      </c>
      <c r="P61" s="328">
        <v>60</v>
      </c>
      <c r="Q61" s="508">
        <v>0</v>
      </c>
      <c r="R61" s="542">
        <v>0</v>
      </c>
      <c r="S61" s="510">
        <v>0</v>
      </c>
      <c r="T61" s="525">
        <v>0</v>
      </c>
      <c r="U61" s="292">
        <v>0</v>
      </c>
      <c r="V61" s="293">
        <v>0</v>
      </c>
      <c r="W61" s="694">
        <v>0</v>
      </c>
      <c r="X61" s="678">
        <v>0</v>
      </c>
      <c r="Y61" s="604">
        <f>IFERROR(IF($Y$1&lt;&gt;"",INT($Y$1/(D60)),100),100)</f>
        <v>43</v>
      </c>
      <c r="Z61" s="597">
        <f>Z60*F61</f>
        <v>47905.619999999995</v>
      </c>
      <c r="AA61" s="807"/>
    </row>
    <row r="62" spans="1:40" ht="12.75" hidden="1" customHeight="1">
      <c r="A62" s="297" t="s">
        <v>574</v>
      </c>
      <c r="B62" s="265">
        <v>183</v>
      </c>
      <c r="C62" s="594">
        <v>1754.5</v>
      </c>
      <c r="D62" s="595">
        <v>1760</v>
      </c>
      <c r="E62" s="265">
        <v>3</v>
      </c>
      <c r="F62" s="308">
        <v>1760</v>
      </c>
      <c r="G62" s="370">
        <v>-3.6600000000000001E-2</v>
      </c>
      <c r="H62" s="247">
        <v>1830</v>
      </c>
      <c r="I62" s="239">
        <v>1832</v>
      </c>
      <c r="J62" s="324">
        <v>1749.8</v>
      </c>
      <c r="K62" s="243">
        <v>1826.95</v>
      </c>
      <c r="L62" s="269">
        <v>67346748</v>
      </c>
      <c r="M62" s="243">
        <v>37699</v>
      </c>
      <c r="N62" s="269">
        <v>838</v>
      </c>
      <c r="O62" s="317">
        <v>45350.687384259261</v>
      </c>
      <c r="P62" s="329">
        <v>61</v>
      </c>
      <c r="Q62" s="284">
        <v>0</v>
      </c>
      <c r="R62" s="298">
        <v>0</v>
      </c>
      <c r="S62" s="304">
        <v>0</v>
      </c>
      <c r="T62" s="262">
        <v>0</v>
      </c>
      <c r="U62" s="291">
        <v>0</v>
      </c>
      <c r="V62" s="294">
        <v>0</v>
      </c>
      <c r="W62" s="589">
        <v>0</v>
      </c>
      <c r="X62" s="612">
        <v>0</v>
      </c>
      <c r="Y62" s="603">
        <f>IF(D62&lt;&gt;0,($C63*(1-$V$1))-$D62,0)</f>
        <v>16</v>
      </c>
      <c r="Z62" s="588">
        <f>$F63*($AE$1*$AD$1)</f>
        <v>8.7583561643835619</v>
      </c>
      <c r="AA62" s="804" t="str">
        <f>MID($A62,1,5)</f>
        <v xml:space="preserve">PAMP </v>
      </c>
    </row>
    <row r="63" spans="1:40" ht="12.75" hidden="1" customHeight="1">
      <c r="A63" s="583" t="s">
        <v>575</v>
      </c>
      <c r="B63" s="584">
        <v>2672</v>
      </c>
      <c r="C63" s="596">
        <v>1776</v>
      </c>
      <c r="D63" s="596">
        <v>1780</v>
      </c>
      <c r="E63" s="584">
        <v>499</v>
      </c>
      <c r="F63" s="775">
        <v>1776</v>
      </c>
      <c r="G63" s="541">
        <v>-3.15E-2</v>
      </c>
      <c r="H63" s="519">
        <v>1830</v>
      </c>
      <c r="I63" s="520">
        <v>1861.1</v>
      </c>
      <c r="J63" s="521">
        <v>1760.1</v>
      </c>
      <c r="K63" s="522">
        <v>1833.95</v>
      </c>
      <c r="L63" s="506">
        <v>3087818005</v>
      </c>
      <c r="M63" s="522">
        <v>1728504</v>
      </c>
      <c r="N63" s="506">
        <v>5387</v>
      </c>
      <c r="O63" s="585">
        <v>45350.708182870374</v>
      </c>
      <c r="P63" s="328">
        <v>62</v>
      </c>
      <c r="Q63" s="508">
        <v>0</v>
      </c>
      <c r="R63" s="542">
        <v>0</v>
      </c>
      <c r="S63" s="510">
        <v>0</v>
      </c>
      <c r="T63" s="525">
        <v>0</v>
      </c>
      <c r="U63" s="491">
        <v>0</v>
      </c>
      <c r="V63" s="536">
        <v>0</v>
      </c>
      <c r="W63" s="590">
        <v>0</v>
      </c>
      <c r="X63" s="611">
        <v>0</v>
      </c>
      <c r="Y63" s="605">
        <f>IFERROR(IF($Y$1&lt;&gt;"",INT($Y$1/(D62)),100),100)</f>
        <v>58</v>
      </c>
      <c r="Z63" s="587"/>
      <c r="AA63" s="805"/>
    </row>
    <row r="64" spans="1:40" ht="12.75" customHeight="1">
      <c r="A64" s="297" t="s">
        <v>13</v>
      </c>
      <c r="B64" s="483">
        <v>2590</v>
      </c>
      <c r="C64" s="357">
        <v>45600</v>
      </c>
      <c r="D64" s="274">
        <v>45650</v>
      </c>
      <c r="E64" s="483">
        <v>44680</v>
      </c>
      <c r="F64" s="308">
        <v>45650</v>
      </c>
      <c r="G64" s="370">
        <v>-3.0000000000000001E-3</v>
      </c>
      <c r="H64" s="247">
        <v>46185</v>
      </c>
      <c r="I64" s="239">
        <v>46220</v>
      </c>
      <c r="J64" s="324">
        <v>45090</v>
      </c>
      <c r="K64" s="243">
        <v>45790</v>
      </c>
      <c r="L64" s="269">
        <v>93917874554</v>
      </c>
      <c r="M64" s="243">
        <v>206410715</v>
      </c>
      <c r="N64" s="269">
        <v>70243</v>
      </c>
      <c r="O64" s="317">
        <v>45350.687824074077</v>
      </c>
      <c r="P64" s="329">
        <v>63</v>
      </c>
      <c r="Q64" s="284">
        <v>0</v>
      </c>
      <c r="R64" s="298">
        <v>0</v>
      </c>
      <c r="S64" s="304">
        <v>0</v>
      </c>
      <c r="T64" s="262">
        <v>0</v>
      </c>
      <c r="U64" s="490">
        <v>0</v>
      </c>
      <c r="V64" s="549">
        <v>50</v>
      </c>
      <c r="W64" s="665">
        <f t="shared" ref="W64:W68" si="16">(V64*X64)</f>
        <v>22800</v>
      </c>
      <c r="X64" s="613">
        <v>456</v>
      </c>
      <c r="Y64" s="603">
        <f>IF(D64&lt;&gt;0,($C65*(1-$V$1))-$D64,0)</f>
        <v>530</v>
      </c>
      <c r="Z64" s="586"/>
      <c r="AA64" s="376"/>
      <c r="AB64" s="38"/>
      <c r="AC64" s="563">
        <v>108</v>
      </c>
      <c r="AE64" s="47">
        <v>0.41599999999999998</v>
      </c>
      <c r="AF64" s="47">
        <f>AC64*AE64</f>
        <v>44.927999999999997</v>
      </c>
      <c r="AN64" s="581"/>
    </row>
    <row r="65" spans="1:40" ht="12.75" customHeight="1">
      <c r="A65" s="576" t="s">
        <v>2</v>
      </c>
      <c r="B65" s="342">
        <v>6500</v>
      </c>
      <c r="C65" s="248">
        <v>46180</v>
      </c>
      <c r="D65" s="579">
        <v>46200</v>
      </c>
      <c r="E65" s="698">
        <v>69551</v>
      </c>
      <c r="F65" s="250">
        <v>46200</v>
      </c>
      <c r="G65" s="373">
        <v>7.6E-3</v>
      </c>
      <c r="H65" s="246">
        <v>46010</v>
      </c>
      <c r="I65" s="237">
        <v>46400</v>
      </c>
      <c r="J65" s="321">
        <v>45315</v>
      </c>
      <c r="K65" s="241">
        <v>45850</v>
      </c>
      <c r="L65" s="244">
        <v>66965348848</v>
      </c>
      <c r="M65" s="241">
        <v>146274628</v>
      </c>
      <c r="N65" s="244">
        <v>28353</v>
      </c>
      <c r="O65" s="318">
        <v>45350.708344907405</v>
      </c>
      <c r="P65" s="328">
        <v>64</v>
      </c>
      <c r="Q65" s="281">
        <v>0</v>
      </c>
      <c r="R65" s="299">
        <v>0</v>
      </c>
      <c r="S65" s="301">
        <v>0</v>
      </c>
      <c r="T65" s="261">
        <v>0</v>
      </c>
      <c r="U65" s="292">
        <v>0</v>
      </c>
      <c r="V65" s="548">
        <v>0</v>
      </c>
      <c r="W65" s="666">
        <f>V64*(F64/100)</f>
        <v>22825</v>
      </c>
      <c r="X65" s="614"/>
      <c r="Y65" s="606">
        <f>IFERROR(INT($Y$1/(F64/100)),"")</f>
        <v>223</v>
      </c>
      <c r="Z65" s="486"/>
      <c r="AA65" s="377"/>
      <c r="AB65" s="38"/>
      <c r="AC65" s="563">
        <v>111</v>
      </c>
      <c r="AE65" s="47">
        <v>0.41034999999999999</v>
      </c>
      <c r="AF65" s="47">
        <f t="shared" ref="AF65:AF67" si="17">AC65*AE65</f>
        <v>45.548850000000002</v>
      </c>
      <c r="AN65" s="581"/>
    </row>
    <row r="66" spans="1:40" ht="12.75" customHeight="1">
      <c r="A66" s="252" t="s">
        <v>15</v>
      </c>
      <c r="B66" s="483">
        <v>9515</v>
      </c>
      <c r="C66" s="357">
        <v>42.6</v>
      </c>
      <c r="D66" s="274">
        <v>43.1</v>
      </c>
      <c r="E66" s="483">
        <v>493095</v>
      </c>
      <c r="F66" s="776">
        <v>42.75</v>
      </c>
      <c r="G66" s="374">
        <v>1.78E-2</v>
      </c>
      <c r="H66" s="251">
        <v>41.832999999999998</v>
      </c>
      <c r="I66" s="238">
        <v>43.198999999999998</v>
      </c>
      <c r="J66" s="327">
        <v>41.58</v>
      </c>
      <c r="K66" s="242">
        <v>42</v>
      </c>
      <c r="L66" s="263">
        <v>20415860</v>
      </c>
      <c r="M66" s="242">
        <v>48370243</v>
      </c>
      <c r="N66" s="263">
        <v>8613</v>
      </c>
      <c r="O66" s="319">
        <v>45350.687719907408</v>
      </c>
      <c r="P66" s="329">
        <v>65</v>
      </c>
      <c r="Q66" s="282">
        <v>0</v>
      </c>
      <c r="R66" s="300">
        <v>0</v>
      </c>
      <c r="S66" s="306">
        <v>0</v>
      </c>
      <c r="T66" s="260">
        <v>0</v>
      </c>
      <c r="U66" s="291">
        <v>0</v>
      </c>
      <c r="V66" s="347">
        <v>0</v>
      </c>
      <c r="W66" s="667">
        <f t="shared" si="16"/>
        <v>0</v>
      </c>
      <c r="X66" s="615"/>
      <c r="Y66" s="607">
        <f>IF(D66&lt;&gt;0,($C67*(1-$V$1))-$D66,0)</f>
        <v>-0.60000000000000142</v>
      </c>
      <c r="Z66" s="355">
        <f>IFERROR(IF(C66&lt;&gt;"",$Y$1/(D64/100)*(C66/100),""),"")</f>
        <v>95.41107765755234</v>
      </c>
      <c r="AA66" s="448">
        <f>IFERROR($AA$1/(D66/100)*(C64/100),"")</f>
        <v>105800.46403712296</v>
      </c>
      <c r="AB66" s="38"/>
      <c r="AC66" s="564"/>
      <c r="AF66" s="47">
        <f t="shared" si="17"/>
        <v>0</v>
      </c>
      <c r="AN66" s="581"/>
    </row>
    <row r="67" spans="1:40" ht="12.75" customHeight="1">
      <c r="A67" s="331" t="s">
        <v>3</v>
      </c>
      <c r="B67" s="342">
        <v>104780</v>
      </c>
      <c r="C67" s="248">
        <v>42.5</v>
      </c>
      <c r="D67" s="579">
        <v>43.1</v>
      </c>
      <c r="E67" s="698">
        <v>31391</v>
      </c>
      <c r="F67" s="250">
        <v>43</v>
      </c>
      <c r="G67" s="373">
        <v>2.3799999999999998E-2</v>
      </c>
      <c r="H67" s="246">
        <v>42</v>
      </c>
      <c r="I67" s="237">
        <v>43.1</v>
      </c>
      <c r="J67" s="321">
        <v>41.5</v>
      </c>
      <c r="K67" s="241">
        <v>42</v>
      </c>
      <c r="L67" s="244">
        <v>1129481</v>
      </c>
      <c r="M67" s="241">
        <v>2669723</v>
      </c>
      <c r="N67" s="244">
        <v>344</v>
      </c>
      <c r="O67" s="318">
        <v>45350.702928240738</v>
      </c>
      <c r="P67" s="328">
        <v>66</v>
      </c>
      <c r="Q67" s="281">
        <v>0</v>
      </c>
      <c r="R67" s="299">
        <v>0</v>
      </c>
      <c r="S67" s="301">
        <v>0</v>
      </c>
      <c r="T67" s="261">
        <v>0</v>
      </c>
      <c r="U67" s="292">
        <v>0</v>
      </c>
      <c r="V67" s="346">
        <v>0</v>
      </c>
      <c r="W67" s="668">
        <f>V66*(F66/100)</f>
        <v>0</v>
      </c>
      <c r="X67" s="616"/>
      <c r="Y67" s="608">
        <f>IFERROR(INT($AA$1/(F66/100)),"")</f>
        <v>233</v>
      </c>
      <c r="Z67" s="354">
        <f>IFERROR(IF(C67&lt;&gt;"",$Y$1/(D65/100)*(C67/100),""),"")</f>
        <v>94.053928134645631</v>
      </c>
      <c r="AA67" s="450">
        <f>IFERROR($AA$1/(D67/100)*(C65/100),"")</f>
        <v>107146.17169373549</v>
      </c>
      <c r="AB67" s="38"/>
      <c r="AC67" s="565"/>
      <c r="AD67" s="562"/>
      <c r="AE67" s="562"/>
      <c r="AF67" s="562">
        <f t="shared" si="17"/>
        <v>0</v>
      </c>
      <c r="AN67" s="581"/>
    </row>
    <row r="68" spans="1:40" ht="12.75" customHeight="1">
      <c r="A68" s="494" t="s">
        <v>14</v>
      </c>
      <c r="B68" s="483">
        <v>1242</v>
      </c>
      <c r="C68" s="357">
        <v>44.280999999999999</v>
      </c>
      <c r="D68" s="274">
        <v>44.6</v>
      </c>
      <c r="E68" s="483">
        <v>6250</v>
      </c>
      <c r="F68" s="776">
        <v>44.6</v>
      </c>
      <c r="G68" s="374">
        <v>1.7500000000000002E-2</v>
      </c>
      <c r="H68" s="251">
        <v>43.598999999999997</v>
      </c>
      <c r="I68" s="238">
        <v>44.856999999999999</v>
      </c>
      <c r="J68" s="327">
        <v>42.81</v>
      </c>
      <c r="K68" s="242">
        <v>43.832000000000001</v>
      </c>
      <c r="L68" s="263">
        <v>52243086</v>
      </c>
      <c r="M68" s="242">
        <v>118858736</v>
      </c>
      <c r="N68" s="263">
        <v>46952</v>
      </c>
      <c r="O68" s="319">
        <v>45350.687534722223</v>
      </c>
      <c r="P68" s="329">
        <v>67</v>
      </c>
      <c r="Q68" s="282">
        <v>0</v>
      </c>
      <c r="R68" s="300">
        <v>0</v>
      </c>
      <c r="S68" s="306">
        <v>0</v>
      </c>
      <c r="T68" s="260">
        <v>0</v>
      </c>
      <c r="U68" s="291">
        <v>0</v>
      </c>
      <c r="V68" s="546">
        <v>375</v>
      </c>
      <c r="W68" s="669">
        <f t="shared" si="16"/>
        <v>164.625</v>
      </c>
      <c r="X68" s="617">
        <v>0.439</v>
      </c>
      <c r="Y68" s="609">
        <f>IF(D68&lt;&gt;0,($C69*(1-$V$1))-$D68,0)</f>
        <v>0.10999999999999943</v>
      </c>
      <c r="Z68" s="353">
        <f>IFERROR(IF(C68&lt;&gt;"",$Y$1/(D64/100)*(C68/100),""),"")</f>
        <v>99.176007740705998</v>
      </c>
      <c r="AA68" s="449">
        <f>IFERROR($Z$1/(D68/100)*(C64/100),"")</f>
        <v>102242.15246636771</v>
      </c>
      <c r="AB68" s="38"/>
      <c r="AC68" s="566">
        <f>SUM(AC64:AC67)</f>
        <v>219</v>
      </c>
      <c r="AD68" s="567"/>
      <c r="AE68" s="567"/>
      <c r="AF68" s="567">
        <f>SUM(AF64:AF67)</f>
        <v>90.476849999999999</v>
      </c>
    </row>
    <row r="69" spans="1:40" ht="12.75" customHeight="1">
      <c r="A69" s="539" t="s">
        <v>4</v>
      </c>
      <c r="B69" s="697">
        <v>40000</v>
      </c>
      <c r="C69" s="515">
        <v>44.71</v>
      </c>
      <c r="D69" s="578">
        <v>44.8</v>
      </c>
      <c r="E69" s="699">
        <v>333</v>
      </c>
      <c r="F69" s="775">
        <v>44.8</v>
      </c>
      <c r="G69" s="541">
        <v>2.98E-2</v>
      </c>
      <c r="H69" s="519">
        <v>43.2</v>
      </c>
      <c r="I69" s="520">
        <v>45</v>
      </c>
      <c r="J69" s="521">
        <v>42.52</v>
      </c>
      <c r="K69" s="522">
        <v>43.5</v>
      </c>
      <c r="L69" s="506">
        <v>10983214</v>
      </c>
      <c r="M69" s="522">
        <v>24915729</v>
      </c>
      <c r="N69" s="506">
        <v>10027</v>
      </c>
      <c r="O69" s="507">
        <v>45350.708472222221</v>
      </c>
      <c r="P69" s="328">
        <v>68</v>
      </c>
      <c r="Q69" s="508">
        <v>0</v>
      </c>
      <c r="R69" s="542">
        <v>0</v>
      </c>
      <c r="S69" s="510">
        <v>0</v>
      </c>
      <c r="T69" s="525">
        <v>0</v>
      </c>
      <c r="U69" s="491">
        <v>0</v>
      </c>
      <c r="V69" s="598">
        <v>0</v>
      </c>
      <c r="W69" s="670">
        <f>V68*(F68/100)</f>
        <v>167.25</v>
      </c>
      <c r="X69" s="618"/>
      <c r="Y69" s="610">
        <f>IFERROR(INT($Z$1/(F68/100)),"")</f>
        <v>224</v>
      </c>
      <c r="Z69" s="533">
        <f>IFERROR(IF(C69&lt;&gt;"",$Y$1/(D65/100)*(C69/100),""),"")</f>
        <v>98.944732397647201</v>
      </c>
      <c r="AA69" s="543">
        <f>IFERROR($Z$1/(D69/100)*(C65/100),"")</f>
        <v>103080.35714285716</v>
      </c>
      <c r="AB69" s="38"/>
      <c r="AC69" s="798">
        <f>AF68/AC68</f>
        <v>0.41313630136986301</v>
      </c>
      <c r="AD69" s="798"/>
      <c r="AE69" s="798"/>
      <c r="AF69" s="798"/>
    </row>
    <row r="70" spans="1:40" ht="12.75" customHeight="1">
      <c r="A70" s="297" t="s">
        <v>16</v>
      </c>
      <c r="B70" s="483">
        <v>69919</v>
      </c>
      <c r="C70" s="357">
        <v>48600</v>
      </c>
      <c r="D70" s="274">
        <v>48830</v>
      </c>
      <c r="E70" s="483">
        <v>2134</v>
      </c>
      <c r="F70" s="308">
        <v>48600</v>
      </c>
      <c r="G70" s="370">
        <v>-1.3100000000000001E-2</v>
      </c>
      <c r="H70" s="247">
        <v>49990</v>
      </c>
      <c r="I70" s="239">
        <v>49990</v>
      </c>
      <c r="J70" s="324">
        <v>48015</v>
      </c>
      <c r="K70" s="243">
        <v>49250</v>
      </c>
      <c r="L70" s="269">
        <v>13456498127</v>
      </c>
      <c r="M70" s="243">
        <v>27608223</v>
      </c>
      <c r="N70" s="269">
        <v>9575</v>
      </c>
      <c r="O70" s="317">
        <v>45350.687615740739</v>
      </c>
      <c r="P70" s="329">
        <v>69</v>
      </c>
      <c r="Q70" s="284">
        <v>0</v>
      </c>
      <c r="R70" s="298">
        <v>0</v>
      </c>
      <c r="S70" s="304">
        <v>0</v>
      </c>
      <c r="T70" s="262">
        <v>0</v>
      </c>
      <c r="U70" s="537">
        <v>0</v>
      </c>
      <c r="V70" s="344">
        <v>30</v>
      </c>
      <c r="W70" s="671">
        <f t="shared" ref="W70:W82" si="18">(V70*X70)</f>
        <v>14580</v>
      </c>
      <c r="X70" s="620">
        <v>486</v>
      </c>
      <c r="Y70" s="603">
        <f>IF(D70&lt;&gt;0,($C71*(1-$V$1))-$D70,0)</f>
        <v>470</v>
      </c>
      <c r="Z70" s="577"/>
      <c r="AA70" s="376"/>
      <c r="AB70" s="38"/>
      <c r="AC70" s="545">
        <v>506</v>
      </c>
      <c r="AE70" s="47">
        <v>0.48499999999999999</v>
      </c>
      <c r="AF70" s="47">
        <f>AC70*AE70</f>
        <v>245.41</v>
      </c>
    </row>
    <row r="71" spans="1:40" ht="12.75" customHeight="1">
      <c r="A71" s="576" t="s">
        <v>5</v>
      </c>
      <c r="B71" s="342">
        <v>234856</v>
      </c>
      <c r="C71" s="248">
        <v>49300</v>
      </c>
      <c r="D71" s="579">
        <v>49500</v>
      </c>
      <c r="E71" s="698">
        <v>236</v>
      </c>
      <c r="F71" s="250">
        <v>49300</v>
      </c>
      <c r="G71" s="373">
        <v>-2.5000000000000001E-3</v>
      </c>
      <c r="H71" s="246">
        <v>49980</v>
      </c>
      <c r="I71" s="237">
        <v>49980</v>
      </c>
      <c r="J71" s="321">
        <v>48260</v>
      </c>
      <c r="K71" s="241">
        <v>49425</v>
      </c>
      <c r="L71" s="244">
        <v>27523920527</v>
      </c>
      <c r="M71" s="241">
        <v>56288640</v>
      </c>
      <c r="N71" s="244">
        <v>7152</v>
      </c>
      <c r="O71" s="318">
        <v>45350.708518518521</v>
      </c>
      <c r="P71" s="328">
        <v>70</v>
      </c>
      <c r="Q71" s="281">
        <v>0</v>
      </c>
      <c r="R71" s="299">
        <v>0</v>
      </c>
      <c r="S71" s="301">
        <v>0</v>
      </c>
      <c r="T71" s="261">
        <v>0</v>
      </c>
      <c r="U71" s="292">
        <v>0</v>
      </c>
      <c r="V71" s="548">
        <v>0</v>
      </c>
      <c r="W71" s="666">
        <f>V70*(F70/100)</f>
        <v>14580</v>
      </c>
      <c r="X71" s="614"/>
      <c r="Y71" s="606">
        <f>IFERROR(INT($Y$1/(F70/100)),"")</f>
        <v>210</v>
      </c>
      <c r="Z71" s="486"/>
      <c r="AA71" s="377"/>
      <c r="AB71" s="38"/>
      <c r="AC71" s="545">
        <v>350</v>
      </c>
      <c r="AE71" s="47">
        <v>0.47600999999999999</v>
      </c>
      <c r="AF71" s="47">
        <f t="shared" ref="AF71:AF73" si="19">AC71*AE71</f>
        <v>166.6035</v>
      </c>
    </row>
    <row r="72" spans="1:40" ht="12.75" hidden="1" customHeight="1">
      <c r="A72" s="252" t="s">
        <v>17</v>
      </c>
      <c r="B72" s="483">
        <v>51106</v>
      </c>
      <c r="C72" s="357">
        <v>45.6</v>
      </c>
      <c r="D72" s="274">
        <v>45.8</v>
      </c>
      <c r="E72" s="483">
        <v>9348</v>
      </c>
      <c r="F72" s="776">
        <v>45.8</v>
      </c>
      <c r="G72" s="374">
        <v>1.21E-2</v>
      </c>
      <c r="H72" s="251">
        <v>44.966000000000001</v>
      </c>
      <c r="I72" s="238">
        <v>45.893999999999998</v>
      </c>
      <c r="J72" s="327">
        <v>44.628</v>
      </c>
      <c r="K72" s="242">
        <v>45.25</v>
      </c>
      <c r="L72" s="263">
        <v>1023117</v>
      </c>
      <c r="M72" s="242">
        <v>2257411</v>
      </c>
      <c r="N72" s="263">
        <v>958</v>
      </c>
      <c r="O72" s="319">
        <v>45350.683344907404</v>
      </c>
      <c r="P72" s="329">
        <v>71</v>
      </c>
      <c r="Q72" s="282">
        <v>0</v>
      </c>
      <c r="R72" s="300">
        <v>0</v>
      </c>
      <c r="S72" s="306">
        <v>0</v>
      </c>
      <c r="T72" s="260">
        <v>0</v>
      </c>
      <c r="U72" s="291">
        <v>0</v>
      </c>
      <c r="V72" s="347">
        <v>0</v>
      </c>
      <c r="W72" s="667">
        <f t="shared" ref="W72" si="20">(V72*X72)</f>
        <v>0</v>
      </c>
      <c r="X72" s="615"/>
      <c r="Y72" s="607">
        <f>IF(D72&lt;&gt;0,($C73*(1-$V$1))-$D72,0)</f>
        <v>-0.87899999999999778</v>
      </c>
      <c r="Z72" s="355">
        <f>IFERROR(IF(C72&lt;&gt;"",$Y$1/(D70/100)*(C72/100),""),"")</f>
        <v>95.479052886880353</v>
      </c>
      <c r="AA72" s="448">
        <f>IFERROR($AA$1/(D72/100)*(C70/100),"")</f>
        <v>106113.53711790394</v>
      </c>
      <c r="AB72" s="38"/>
      <c r="AC72" s="545"/>
      <c r="AF72" s="47">
        <f t="shared" si="19"/>
        <v>0</v>
      </c>
    </row>
    <row r="73" spans="1:40" ht="12.75" hidden="1" customHeight="1">
      <c r="A73" s="331" t="s">
        <v>6</v>
      </c>
      <c r="B73" s="342">
        <v>6678</v>
      </c>
      <c r="C73" s="248">
        <v>44.920999999999999</v>
      </c>
      <c r="D73" s="579">
        <v>45.841000000000001</v>
      </c>
      <c r="E73" s="698">
        <v>145475</v>
      </c>
      <c r="F73" s="250">
        <v>45.841000000000001</v>
      </c>
      <c r="G73" s="373">
        <v>1.3000000000000001E-2</v>
      </c>
      <c r="H73" s="246">
        <v>45.000999999999998</v>
      </c>
      <c r="I73" s="237">
        <v>45.841000000000001</v>
      </c>
      <c r="J73" s="321">
        <v>44.75</v>
      </c>
      <c r="K73" s="241">
        <v>45.25</v>
      </c>
      <c r="L73" s="244">
        <v>155995</v>
      </c>
      <c r="M73" s="241">
        <v>345609</v>
      </c>
      <c r="N73" s="244">
        <v>95</v>
      </c>
      <c r="O73" s="318">
        <v>45350.687604166669</v>
      </c>
      <c r="P73" s="328">
        <v>72</v>
      </c>
      <c r="Q73" s="281">
        <v>0</v>
      </c>
      <c r="R73" s="299">
        <v>0</v>
      </c>
      <c r="S73" s="301">
        <v>0</v>
      </c>
      <c r="T73" s="261">
        <v>0</v>
      </c>
      <c r="U73" s="292">
        <v>0</v>
      </c>
      <c r="V73" s="346">
        <v>0</v>
      </c>
      <c r="W73" s="668">
        <f>V72*(F72/100)</f>
        <v>0</v>
      </c>
      <c r="X73" s="616"/>
      <c r="Y73" s="608">
        <f>IFERROR(INT($AA$1/(F72/100)),"")</f>
        <v>218</v>
      </c>
      <c r="Z73" s="354">
        <f>IFERROR(IF(C73&lt;&gt;"",$Y$1/(D71/100)*(C73/100),""),"")</f>
        <v>92.784236988721304</v>
      </c>
      <c r="AA73" s="450">
        <f>IFERROR($AA$1/(D73/100)*(C71/100),"")</f>
        <v>107545.64690997143</v>
      </c>
      <c r="AB73" s="38"/>
      <c r="AC73" s="562"/>
      <c r="AD73" s="562"/>
      <c r="AE73" s="562"/>
      <c r="AF73" s="562">
        <f t="shared" si="19"/>
        <v>0</v>
      </c>
    </row>
    <row r="74" spans="1:40" ht="12.75" customHeight="1">
      <c r="A74" s="494" t="s">
        <v>18</v>
      </c>
      <c r="B74" s="483">
        <v>38000</v>
      </c>
      <c r="C74" s="357">
        <v>47.58</v>
      </c>
      <c r="D74" s="274">
        <v>47.68</v>
      </c>
      <c r="E74" s="483">
        <v>6328</v>
      </c>
      <c r="F74" s="776">
        <v>47.58</v>
      </c>
      <c r="G74" s="374">
        <v>3.7000000000000002E-3</v>
      </c>
      <c r="H74" s="251">
        <v>47.7</v>
      </c>
      <c r="I74" s="238">
        <v>47.997999999999998</v>
      </c>
      <c r="J74" s="327">
        <v>46.564</v>
      </c>
      <c r="K74" s="242">
        <v>47.4</v>
      </c>
      <c r="L74" s="263">
        <v>5213333</v>
      </c>
      <c r="M74" s="242">
        <v>11066535</v>
      </c>
      <c r="N74" s="263">
        <v>6296</v>
      </c>
      <c r="O74" s="319">
        <v>45350.687638888892</v>
      </c>
      <c r="P74" s="329">
        <v>73</v>
      </c>
      <c r="Q74" s="282">
        <v>0</v>
      </c>
      <c r="R74" s="300">
        <v>0</v>
      </c>
      <c r="S74" s="306">
        <v>0</v>
      </c>
      <c r="T74" s="260">
        <v>0</v>
      </c>
      <c r="U74" s="291">
        <v>0</v>
      </c>
      <c r="V74" s="546">
        <v>856</v>
      </c>
      <c r="W74" s="669">
        <f t="shared" si="18"/>
        <v>411.99279999999999</v>
      </c>
      <c r="X74" s="617">
        <v>0.48130000000000001</v>
      </c>
      <c r="Y74" s="609">
        <f>IF(D74&lt;&gt;0,($C75*(1-$V$1))-$D74,0)</f>
        <v>-0.17000000000000171</v>
      </c>
      <c r="Z74" s="353">
        <f>IFERROR(IF(C74&lt;&gt;"",$Y$1/(D70/100)*(C74/100),""),"")</f>
        <v>99.624853867494892</v>
      </c>
      <c r="AA74" s="449">
        <f>IFERROR($Z$1/(D74/100)*(C70/100),"")</f>
        <v>101929.53020134228</v>
      </c>
      <c r="AB74" s="38"/>
      <c r="AC74" s="566">
        <f>SUM(AC70:AC73)</f>
        <v>856</v>
      </c>
      <c r="AD74" s="567"/>
      <c r="AE74" s="567" t="s">
        <v>594</v>
      </c>
      <c r="AF74" s="567">
        <f>SUM(AF70:AF73)</f>
        <v>412.01350000000002</v>
      </c>
    </row>
    <row r="75" spans="1:40" ht="12.75" customHeight="1">
      <c r="A75" s="539" t="s">
        <v>7</v>
      </c>
      <c r="B75" s="697">
        <v>300</v>
      </c>
      <c r="C75" s="515">
        <v>47.51</v>
      </c>
      <c r="D75" s="578">
        <v>47.84</v>
      </c>
      <c r="E75" s="699">
        <v>6407</v>
      </c>
      <c r="F75" s="775">
        <v>47.84</v>
      </c>
      <c r="G75" s="541">
        <v>1.1399999999999999E-2</v>
      </c>
      <c r="H75" s="519">
        <v>47</v>
      </c>
      <c r="I75" s="520">
        <v>47.84</v>
      </c>
      <c r="J75" s="521">
        <v>46.3</v>
      </c>
      <c r="K75" s="522">
        <v>47.298999999999999</v>
      </c>
      <c r="L75" s="532">
        <v>1673459</v>
      </c>
      <c r="M75" s="522">
        <v>3539790</v>
      </c>
      <c r="N75" s="506">
        <v>1597</v>
      </c>
      <c r="O75" s="507">
        <v>45350.704525462963</v>
      </c>
      <c r="P75" s="328">
        <v>74</v>
      </c>
      <c r="Q75" s="508">
        <v>0</v>
      </c>
      <c r="R75" s="542">
        <v>0</v>
      </c>
      <c r="S75" s="510">
        <v>0</v>
      </c>
      <c r="T75" s="525">
        <v>0</v>
      </c>
      <c r="U75" s="491">
        <v>0</v>
      </c>
      <c r="V75" s="547">
        <v>0</v>
      </c>
      <c r="W75" s="670">
        <f>V74*(F74/100)</f>
        <v>407.28480000000002</v>
      </c>
      <c r="X75" s="618"/>
      <c r="Y75" s="610">
        <f>IFERROR(INT($Z$1/(F74/100)),"")</f>
        <v>210</v>
      </c>
      <c r="Z75" s="533">
        <f>IFERROR(IF(C75&lt;&gt;"",$Y$1/(D71/100)*(C75/100),""),"")</f>
        <v>98.131811387416761</v>
      </c>
      <c r="AA75" s="543">
        <f>IFERROR($Z$1/(D75/100)*(C71/100),"")</f>
        <v>103051.83946488294</v>
      </c>
      <c r="AB75" s="38"/>
      <c r="AC75" s="798">
        <f>AF74/AC74</f>
        <v>0.48132418224299067</v>
      </c>
      <c r="AD75" s="798"/>
      <c r="AE75" s="798"/>
      <c r="AF75" s="798"/>
    </row>
    <row r="76" spans="1:40" ht="12.75" customHeight="1">
      <c r="A76" s="297" t="s">
        <v>588</v>
      </c>
      <c r="B76" s="264">
        <v>210925</v>
      </c>
      <c r="C76" s="357">
        <v>162</v>
      </c>
      <c r="D76" s="274">
        <v>162.65</v>
      </c>
      <c r="E76" s="264">
        <v>4540850</v>
      </c>
      <c r="F76" s="308">
        <v>162.5</v>
      </c>
      <c r="G76" s="370">
        <v>-9.1000000000000004E-3</v>
      </c>
      <c r="H76" s="247">
        <v>164</v>
      </c>
      <c r="I76" s="239">
        <v>166.999</v>
      </c>
      <c r="J76" s="324">
        <v>162.5</v>
      </c>
      <c r="K76" s="243">
        <v>164</v>
      </c>
      <c r="L76" s="269">
        <v>9223793156</v>
      </c>
      <c r="M76" s="243">
        <v>5663039847</v>
      </c>
      <c r="N76" s="269">
        <v>2832</v>
      </c>
      <c r="O76" s="317">
        <v>45350.687835648147</v>
      </c>
      <c r="P76" s="329">
        <v>75</v>
      </c>
      <c r="Q76" s="284">
        <v>0</v>
      </c>
      <c r="R76" s="298">
        <v>0</v>
      </c>
      <c r="S76" s="304">
        <v>0</v>
      </c>
      <c r="T76" s="262">
        <v>0</v>
      </c>
      <c r="U76" s="537">
        <v>0</v>
      </c>
      <c r="V76" s="571">
        <v>0</v>
      </c>
      <c r="W76" s="671">
        <f>V76*X76</f>
        <v>0</v>
      </c>
      <c r="X76" s="620">
        <v>1.6539999999999999</v>
      </c>
      <c r="Y76" s="603">
        <f>IF(D76&lt;&gt;0,($C77*(1-$V$1))-$D76,0)</f>
        <v>0.59999999999999432</v>
      </c>
      <c r="Z76" s="577"/>
      <c r="AA76" s="376"/>
      <c r="AB76" s="38"/>
    </row>
    <row r="77" spans="1:40" ht="12.75" customHeight="1">
      <c r="A77" s="576" t="s">
        <v>589</v>
      </c>
      <c r="B77" s="249">
        <v>1874632</v>
      </c>
      <c r="C77" s="248">
        <v>163.25</v>
      </c>
      <c r="D77" s="579">
        <v>163.35</v>
      </c>
      <c r="E77" s="580">
        <v>25006</v>
      </c>
      <c r="F77" s="250">
        <v>163.25</v>
      </c>
      <c r="G77" s="373">
        <v>8.9999999999999998E-4</v>
      </c>
      <c r="H77" s="246">
        <v>164.5</v>
      </c>
      <c r="I77" s="237">
        <v>167</v>
      </c>
      <c r="J77" s="321">
        <v>161.75</v>
      </c>
      <c r="K77" s="241">
        <v>163.1</v>
      </c>
      <c r="L77" s="244">
        <v>6040822116</v>
      </c>
      <c r="M77" s="241">
        <v>3694138573</v>
      </c>
      <c r="N77" s="244">
        <v>2334</v>
      </c>
      <c r="O77" s="318">
        <v>45350.708587962959</v>
      </c>
      <c r="P77" s="328">
        <v>76</v>
      </c>
      <c r="Q77" s="281">
        <v>0</v>
      </c>
      <c r="R77" s="299">
        <v>0</v>
      </c>
      <c r="S77" s="301">
        <v>0</v>
      </c>
      <c r="T77" s="261">
        <v>0</v>
      </c>
      <c r="U77" s="292">
        <v>0</v>
      </c>
      <c r="V77" s="568">
        <v>0</v>
      </c>
      <c r="W77" s="666">
        <f>V76*(F76/100)</f>
        <v>0</v>
      </c>
      <c r="X77" s="614"/>
      <c r="Y77" s="606">
        <f>IFERROR(INT($Y$1/(F76/100)),"")</f>
        <v>62918</v>
      </c>
      <c r="Z77" s="486"/>
      <c r="AA77" s="377"/>
      <c r="AB77" s="38"/>
    </row>
    <row r="78" spans="1:40" ht="12.75" hidden="1" customHeight="1">
      <c r="A78" s="252" t="s">
        <v>590</v>
      </c>
      <c r="B78" s="264">
        <v>20000000</v>
      </c>
      <c r="C78" s="357">
        <v>0.151</v>
      </c>
      <c r="D78" s="274">
        <v>0.155</v>
      </c>
      <c r="E78" s="264">
        <v>50000000</v>
      </c>
      <c r="F78" s="776">
        <v>0.151</v>
      </c>
      <c r="G78" s="374">
        <v>6.6E-3</v>
      </c>
      <c r="H78" s="251">
        <v>0.151</v>
      </c>
      <c r="I78" s="238">
        <v>0.154</v>
      </c>
      <c r="J78" s="327">
        <v>0.15</v>
      </c>
      <c r="K78" s="242">
        <v>0.15</v>
      </c>
      <c r="L78" s="263">
        <v>4044697</v>
      </c>
      <c r="M78" s="242">
        <v>2664917796</v>
      </c>
      <c r="N78" s="263">
        <v>446</v>
      </c>
      <c r="O78" s="319">
        <v>45350.687523148146</v>
      </c>
      <c r="P78" s="329">
        <v>77</v>
      </c>
      <c r="Q78" s="282">
        <v>0</v>
      </c>
      <c r="R78" s="300">
        <v>0</v>
      </c>
      <c r="S78" s="306">
        <v>0</v>
      </c>
      <c r="T78" s="260">
        <v>0</v>
      </c>
      <c r="U78" s="291">
        <v>0</v>
      </c>
      <c r="V78" s="572">
        <v>0</v>
      </c>
      <c r="W78" s="667">
        <f t="shared" ref="W78" si="21">(V78*X78)</f>
        <v>0</v>
      </c>
      <c r="X78" s="615"/>
      <c r="Y78" s="607">
        <f>IF(D78&lt;&gt;0,($C79*(1-$V$1))-$D78,0)</f>
        <v>-5.4999999999999993E-2</v>
      </c>
      <c r="Z78" s="355">
        <f>IFERROR(IF(C78&lt;&gt;"",$Y$1/(D76/100)*(C78/100),""),"")</f>
        <v>94.918936504282357</v>
      </c>
      <c r="AA78" s="448">
        <f>IFERROR($AA$1/(D78/100)*(C76/100),"")</f>
        <v>104516.12903225808</v>
      </c>
      <c r="AB78" s="38"/>
    </row>
    <row r="79" spans="1:40" ht="12.75" hidden="1" customHeight="1">
      <c r="A79" s="331" t="s">
        <v>591</v>
      </c>
      <c r="B79" s="249">
        <v>100</v>
      </c>
      <c r="C79" s="248">
        <v>0.1</v>
      </c>
      <c r="D79" s="579"/>
      <c r="E79" s="580"/>
      <c r="F79" s="250"/>
      <c r="G79" s="373"/>
      <c r="H79" s="246"/>
      <c r="I79" s="237"/>
      <c r="J79" s="321"/>
      <c r="K79" s="241"/>
      <c r="L79" s="244"/>
      <c r="M79" s="241"/>
      <c r="N79" s="244"/>
      <c r="O79" s="318"/>
      <c r="P79" s="328">
        <v>78</v>
      </c>
      <c r="Q79" s="281">
        <v>0</v>
      </c>
      <c r="R79" s="299">
        <v>0</v>
      </c>
      <c r="S79" s="301">
        <v>0</v>
      </c>
      <c r="T79" s="261">
        <v>0</v>
      </c>
      <c r="U79" s="292">
        <v>0</v>
      </c>
      <c r="V79" s="569">
        <v>0</v>
      </c>
      <c r="W79" s="668">
        <f>V78*(F78/100)</f>
        <v>0</v>
      </c>
      <c r="X79" s="616"/>
      <c r="Y79" s="608">
        <f>IFERROR(INT($AA$1/(F78/100)),"")</f>
        <v>66225</v>
      </c>
      <c r="Z79" s="354">
        <f>IFERROR(IF(C79&lt;&gt;"",$Y$1/(D77/100)*(C79/100),""),"")</f>
        <v>62.590849382533037</v>
      </c>
      <c r="AA79" s="450" t="str">
        <f>IFERROR($AA$1/(D79/100)*(C77/100),"")</f>
        <v/>
      </c>
      <c r="AB79" s="38"/>
    </row>
    <row r="80" spans="1:40" ht="12.75" customHeight="1">
      <c r="A80" s="494" t="s">
        <v>592</v>
      </c>
      <c r="B80" s="264">
        <v>612500</v>
      </c>
      <c r="C80" s="594">
        <v>0.159</v>
      </c>
      <c r="D80" s="595">
        <v>0.161</v>
      </c>
      <c r="E80" s="264">
        <v>194976573</v>
      </c>
      <c r="F80" s="776">
        <v>0.161</v>
      </c>
      <c r="G80" s="374">
        <v>2.5399999999999999E-2</v>
      </c>
      <c r="H80" s="251">
        <v>0.156</v>
      </c>
      <c r="I80" s="238">
        <v>0.161</v>
      </c>
      <c r="J80" s="327">
        <v>0.155</v>
      </c>
      <c r="K80" s="242">
        <v>0.157</v>
      </c>
      <c r="L80" s="263">
        <v>5080572</v>
      </c>
      <c r="M80" s="242">
        <v>3215015833</v>
      </c>
      <c r="N80" s="263">
        <v>575</v>
      </c>
      <c r="O80" s="319">
        <v>45350.687754629631</v>
      </c>
      <c r="P80" s="329">
        <v>79</v>
      </c>
      <c r="Q80" s="282">
        <v>0</v>
      </c>
      <c r="R80" s="300">
        <v>0</v>
      </c>
      <c r="S80" s="306">
        <v>0</v>
      </c>
      <c r="T80" s="260">
        <v>0</v>
      </c>
      <c r="U80" s="291">
        <v>0</v>
      </c>
      <c r="V80" s="573">
        <v>0</v>
      </c>
      <c r="W80" s="669">
        <f t="shared" si="18"/>
        <v>0</v>
      </c>
      <c r="X80" s="617">
        <v>1.407E-3</v>
      </c>
      <c r="Y80" s="609">
        <f>IF(D80&lt;&gt;0,($C81*(1-$V$1))-$D80,0)</f>
        <v>-6.0000000000000053E-3</v>
      </c>
      <c r="Z80" s="353">
        <f>IFERROR(IF(C80&lt;&gt;"",$Y$1/(D76/100)*(C80/100),""),"")</f>
        <v>99.947754332323797</v>
      </c>
      <c r="AA80" s="449">
        <f>IFERROR($Z$1/(D80/100)*(C76/100),"")</f>
        <v>100621.11801242236</v>
      </c>
      <c r="AB80" s="38"/>
      <c r="AC80"/>
    </row>
    <row r="81" spans="1:29" ht="12.75" customHeight="1">
      <c r="A81" s="539" t="s">
        <v>593</v>
      </c>
      <c r="B81" s="540">
        <v>5000</v>
      </c>
      <c r="C81" s="515">
        <v>0.155</v>
      </c>
      <c r="D81" s="578"/>
      <c r="E81" s="530"/>
      <c r="F81" s="775">
        <v>0.158</v>
      </c>
      <c r="G81" s="541">
        <v>6.3E-3</v>
      </c>
      <c r="H81" s="519">
        <v>0.155</v>
      </c>
      <c r="I81" s="520">
        <v>0.159</v>
      </c>
      <c r="J81" s="521">
        <v>0.155</v>
      </c>
      <c r="K81" s="522">
        <v>0.157</v>
      </c>
      <c r="L81" s="506">
        <v>3396</v>
      </c>
      <c r="M81" s="522">
        <v>2165848</v>
      </c>
      <c r="N81" s="506">
        <v>14</v>
      </c>
      <c r="O81" s="507">
        <v>45350.643969907411</v>
      </c>
      <c r="P81" s="328">
        <v>80</v>
      </c>
      <c r="Q81" s="508">
        <v>0</v>
      </c>
      <c r="R81" s="542">
        <v>0</v>
      </c>
      <c r="S81" s="510">
        <v>0</v>
      </c>
      <c r="T81" s="525">
        <v>0</v>
      </c>
      <c r="U81" s="491">
        <v>0</v>
      </c>
      <c r="V81" s="570">
        <v>0</v>
      </c>
      <c r="W81" s="670">
        <f>V80*(F80/100)</f>
        <v>0</v>
      </c>
      <c r="X81" s="618"/>
      <c r="Y81" s="610">
        <f>IFERROR(INT($Z$1/(F80/100)),"")</f>
        <v>62111</v>
      </c>
      <c r="Z81" s="533">
        <f>IFERROR(IF(C81&lt;&gt;"",$Y$1/(D77/100)*(C81/100),""),"")</f>
        <v>97.015816542926203</v>
      </c>
      <c r="AA81" s="543" t="str">
        <f>IFERROR($Z$1/(D81/100)*(C77/100),"")</f>
        <v/>
      </c>
      <c r="AB81" s="38"/>
      <c r="AC81"/>
    </row>
    <row r="82" spans="1:29" ht="12.75" customHeight="1">
      <c r="A82" s="297" t="s">
        <v>628</v>
      </c>
      <c r="B82" s="264"/>
      <c r="C82" s="357"/>
      <c r="D82" s="274"/>
      <c r="E82" s="264"/>
      <c r="F82" s="308"/>
      <c r="G82" s="370"/>
      <c r="H82" s="247"/>
      <c r="I82" s="239"/>
      <c r="J82" s="324"/>
      <c r="K82" s="243"/>
      <c r="L82" s="269"/>
      <c r="M82" s="243"/>
      <c r="N82" s="269"/>
      <c r="O82" s="317"/>
      <c r="P82" s="329">
        <v>81</v>
      </c>
      <c r="Q82" s="284">
        <v>0</v>
      </c>
      <c r="R82" s="298">
        <v>0</v>
      </c>
      <c r="S82" s="304">
        <v>0</v>
      </c>
      <c r="T82" s="262">
        <v>0</v>
      </c>
      <c r="U82" s="537">
        <v>0</v>
      </c>
      <c r="V82" s="549"/>
      <c r="W82" s="671">
        <f t="shared" si="18"/>
        <v>0</v>
      </c>
      <c r="X82" s="620"/>
      <c r="Y82" s="603">
        <f>IF(D82&lt;&gt;0,($C83*(1-$V$1))-$D82,0)</f>
        <v>0</v>
      </c>
      <c r="Z82" s="577"/>
      <c r="AA82" s="376"/>
      <c r="AB82" s="38"/>
      <c r="AC82"/>
    </row>
    <row r="83" spans="1:29" ht="12.75" customHeight="1">
      <c r="A83" s="296" t="s">
        <v>629</v>
      </c>
      <c r="B83" s="249"/>
      <c r="C83" s="248"/>
      <c r="D83" s="579"/>
      <c r="E83" s="580"/>
      <c r="F83" s="250"/>
      <c r="G83" s="373"/>
      <c r="H83" s="246"/>
      <c r="I83" s="237"/>
      <c r="J83" s="321"/>
      <c r="K83" s="241"/>
      <c r="L83" s="244"/>
      <c r="M83" s="241"/>
      <c r="N83" s="244"/>
      <c r="O83" s="318"/>
      <c r="P83" s="328">
        <v>82</v>
      </c>
      <c r="Q83" s="281">
        <v>0</v>
      </c>
      <c r="R83" s="299">
        <v>0</v>
      </c>
      <c r="S83" s="301">
        <v>0</v>
      </c>
      <c r="T83" s="261">
        <v>0</v>
      </c>
      <c r="U83" s="292">
        <v>0</v>
      </c>
      <c r="V83" s="548">
        <v>0</v>
      </c>
      <c r="W83" s="666">
        <f>V82*(F82/100)</f>
        <v>0</v>
      </c>
      <c r="X83" s="614"/>
      <c r="Y83" s="606" t="str">
        <f>IFERROR(INT($Y$1/(F82/100)),"")</f>
        <v/>
      </c>
      <c r="Z83" s="486"/>
      <c r="AA83" s="377"/>
      <c r="AB83" s="38"/>
      <c r="AC83"/>
    </row>
    <row r="84" spans="1:29" ht="12.75" hidden="1" customHeight="1">
      <c r="A84" s="252" t="s">
        <v>630</v>
      </c>
      <c r="B84" s="264"/>
      <c r="C84" s="357"/>
      <c r="D84" s="274"/>
      <c r="E84" s="264"/>
      <c r="F84" s="776"/>
      <c r="G84" s="374"/>
      <c r="H84" s="251"/>
      <c r="I84" s="238"/>
      <c r="J84" s="327"/>
      <c r="K84" s="242"/>
      <c r="L84" s="263"/>
      <c r="M84" s="242"/>
      <c r="N84" s="263"/>
      <c r="O84" s="319"/>
      <c r="P84" s="329">
        <v>83</v>
      </c>
      <c r="Q84" s="282">
        <v>0</v>
      </c>
      <c r="R84" s="300">
        <v>0</v>
      </c>
      <c r="S84" s="306">
        <v>0</v>
      </c>
      <c r="T84" s="260">
        <v>0</v>
      </c>
      <c r="U84" s="291">
        <v>0</v>
      </c>
      <c r="V84" s="347"/>
      <c r="W84" s="667">
        <f t="shared" ref="W84" si="22">(V84*X84)</f>
        <v>0</v>
      </c>
      <c r="X84" s="615"/>
      <c r="Y84" s="607">
        <f>IF(D84&lt;&gt;0,($C85*(1-$V$1))-$D84,0)</f>
        <v>0</v>
      </c>
      <c r="Z84" s="355" t="str">
        <f>IFERROR(IF(C84&lt;&gt;"",$Y$1/(D82/100)*(C84/100),""),"")</f>
        <v/>
      </c>
      <c r="AA84" s="448" t="str">
        <f>IFERROR($AA$1/(D84/100)*(C82/100),"")</f>
        <v/>
      </c>
      <c r="AB84" s="38"/>
      <c r="AC84"/>
    </row>
    <row r="85" spans="1:29" ht="12.75" hidden="1" customHeight="1">
      <c r="A85" s="331" t="s">
        <v>631</v>
      </c>
      <c r="B85" s="249"/>
      <c r="C85" s="248"/>
      <c r="D85" s="579"/>
      <c r="E85" s="580"/>
      <c r="F85" s="250"/>
      <c r="G85" s="373"/>
      <c r="H85" s="246"/>
      <c r="I85" s="237"/>
      <c r="J85" s="321"/>
      <c r="K85" s="241"/>
      <c r="L85" s="244"/>
      <c r="M85" s="241"/>
      <c r="N85" s="244"/>
      <c r="O85" s="318"/>
      <c r="P85" s="328">
        <v>84</v>
      </c>
      <c r="Q85" s="281">
        <v>0</v>
      </c>
      <c r="R85" s="299">
        <v>0</v>
      </c>
      <c r="S85" s="301">
        <v>0</v>
      </c>
      <c r="T85" s="261">
        <v>0</v>
      </c>
      <c r="U85" s="292">
        <v>0</v>
      </c>
      <c r="V85" s="346">
        <v>0</v>
      </c>
      <c r="W85" s="668">
        <f>V84*(F84/100)</f>
        <v>0</v>
      </c>
      <c r="X85" s="616"/>
      <c r="Y85" s="608" t="str">
        <f>IFERROR(INT($AA$1/(F84/100)),"")</f>
        <v/>
      </c>
      <c r="Z85" s="354" t="str">
        <f>IFERROR(IF(C85&lt;&gt;"",$Y$1/(D83/100)*(C85/100),""),"")</f>
        <v/>
      </c>
      <c r="AA85" s="450" t="str">
        <f>IFERROR($AA$1/(D85/100)*(C83/100),"")</f>
        <v/>
      </c>
      <c r="AB85" s="38"/>
      <c r="AC85"/>
    </row>
    <row r="86" spans="1:29" ht="12.75" customHeight="1">
      <c r="A86" s="494" t="s">
        <v>632</v>
      </c>
      <c r="B86" s="264"/>
      <c r="C86" s="357"/>
      <c r="D86" s="274"/>
      <c r="E86" s="264"/>
      <c r="F86" s="776"/>
      <c r="G86" s="374"/>
      <c r="H86" s="251"/>
      <c r="I86" s="238"/>
      <c r="J86" s="327"/>
      <c r="K86" s="242"/>
      <c r="L86" s="263"/>
      <c r="M86" s="242"/>
      <c r="N86" s="263"/>
      <c r="O86" s="319"/>
      <c r="P86" s="329">
        <v>85</v>
      </c>
      <c r="Q86" s="282">
        <v>0</v>
      </c>
      <c r="R86" s="300">
        <v>0</v>
      </c>
      <c r="S86" s="306">
        <v>0</v>
      </c>
      <c r="T86" s="260">
        <v>0</v>
      </c>
      <c r="U86" s="291">
        <v>0</v>
      </c>
      <c r="V86" s="546">
        <v>0</v>
      </c>
      <c r="W86" s="669">
        <f t="shared" ref="W86" si="23">(V86*X86)</f>
        <v>0</v>
      </c>
      <c r="X86" s="617"/>
      <c r="Y86" s="609">
        <f>IF(D86&lt;&gt;0,($C87*(1-$V$1))-$D86,0)</f>
        <v>0</v>
      </c>
      <c r="Z86" s="353" t="str">
        <f>IFERROR(IF(C86&lt;&gt;"",$Y$1/(D82/100)*(C86/100),""),"")</f>
        <v/>
      </c>
      <c r="AA86" s="449" t="str">
        <f>IFERROR($Z$1/(D86/100)*(C82/100),"")</f>
        <v/>
      </c>
      <c r="AB86" s="38"/>
      <c r="AC86"/>
    </row>
    <row r="87" spans="1:29" ht="12.75" customHeight="1">
      <c r="A87" s="539" t="s">
        <v>633</v>
      </c>
      <c r="B87" s="540"/>
      <c r="C87" s="515"/>
      <c r="D87" s="578"/>
      <c r="E87" s="530"/>
      <c r="F87" s="775"/>
      <c r="G87" s="541"/>
      <c r="H87" s="519"/>
      <c r="I87" s="520"/>
      <c r="J87" s="521"/>
      <c r="K87" s="522"/>
      <c r="L87" s="506"/>
      <c r="M87" s="522"/>
      <c r="N87" s="506"/>
      <c r="O87" s="507"/>
      <c r="P87" s="328">
        <v>86</v>
      </c>
      <c r="Q87" s="508">
        <v>0</v>
      </c>
      <c r="R87" s="542">
        <v>0</v>
      </c>
      <c r="S87" s="510">
        <v>0</v>
      </c>
      <c r="T87" s="525">
        <v>0</v>
      </c>
      <c r="U87" s="491">
        <v>0</v>
      </c>
      <c r="V87" s="547">
        <v>0</v>
      </c>
      <c r="W87" s="672">
        <f>V86*(F86/100)</f>
        <v>0</v>
      </c>
      <c r="X87" s="618"/>
      <c r="Y87" s="610" t="str">
        <f>IFERROR(INT($Z$1/(F86/100)),"")</f>
        <v/>
      </c>
      <c r="Z87" s="533" t="str">
        <f>IFERROR(IF(C87&lt;&gt;"",$Y$1/(D83/100)*(C87/100),""),"")</f>
        <v/>
      </c>
      <c r="AA87" s="543" t="str">
        <f>IFERROR($Z$1/(D87/100)*(C83/100),"")</f>
        <v/>
      </c>
      <c r="AB87" s="38"/>
      <c r="AC87"/>
    </row>
    <row r="88" spans="1:29" ht="12.75" customHeight="1">
      <c r="A88" s="297" t="s">
        <v>535</v>
      </c>
      <c r="B88" s="264">
        <v>46</v>
      </c>
      <c r="C88" s="357">
        <v>45400</v>
      </c>
      <c r="D88" s="274">
        <v>46145</v>
      </c>
      <c r="E88" s="264">
        <v>586</v>
      </c>
      <c r="F88" s="308">
        <v>45690</v>
      </c>
      <c r="G88" s="370">
        <v>4.5499999999999999E-2</v>
      </c>
      <c r="H88" s="247">
        <v>46400</v>
      </c>
      <c r="I88" s="239">
        <v>47300</v>
      </c>
      <c r="J88" s="324">
        <v>44620</v>
      </c>
      <c r="K88" s="243">
        <v>43700</v>
      </c>
      <c r="L88" s="269">
        <v>234976235</v>
      </c>
      <c r="M88" s="243">
        <v>518018</v>
      </c>
      <c r="N88" s="269">
        <v>307</v>
      </c>
      <c r="O88" s="317">
        <v>45350.687824074077</v>
      </c>
      <c r="P88" s="329">
        <v>87</v>
      </c>
      <c r="Q88" s="284">
        <v>0</v>
      </c>
      <c r="R88" s="298">
        <v>0</v>
      </c>
      <c r="S88" s="304">
        <v>0</v>
      </c>
      <c r="T88" s="262">
        <v>0</v>
      </c>
      <c r="U88" s="537">
        <v>0</v>
      </c>
      <c r="V88" s="549"/>
      <c r="W88" s="671">
        <f t="shared" ref="W88" si="24">(V88*X88)</f>
        <v>0</v>
      </c>
      <c r="X88" s="620"/>
      <c r="Y88" s="603">
        <f>IF(D88&lt;&gt;0,($C89*(1-$V$1))-$D88,0)</f>
        <v>-5045</v>
      </c>
      <c r="Z88" s="577"/>
      <c r="AA88" s="376"/>
      <c r="AB88" s="38"/>
      <c r="AC88"/>
    </row>
    <row r="89" spans="1:29" ht="12.75" customHeight="1">
      <c r="A89" s="296" t="s">
        <v>536</v>
      </c>
      <c r="B89" s="249">
        <v>100</v>
      </c>
      <c r="C89" s="248">
        <v>41100</v>
      </c>
      <c r="D89" s="579">
        <v>41350</v>
      </c>
      <c r="E89" s="580">
        <v>25000</v>
      </c>
      <c r="F89" s="250">
        <v>41350</v>
      </c>
      <c r="G89" s="373">
        <v>1.04E-2</v>
      </c>
      <c r="H89" s="246">
        <v>41990</v>
      </c>
      <c r="I89" s="237">
        <v>43485</v>
      </c>
      <c r="J89" s="321">
        <v>40720</v>
      </c>
      <c r="K89" s="241">
        <v>40922.546000000002</v>
      </c>
      <c r="L89" s="244">
        <v>1860316997</v>
      </c>
      <c r="M89" s="241">
        <v>4489281</v>
      </c>
      <c r="N89" s="244">
        <v>663</v>
      </c>
      <c r="O89" s="318">
        <v>45350.708356481482</v>
      </c>
      <c r="P89" s="328">
        <v>88</v>
      </c>
      <c r="Q89" s="281">
        <v>0</v>
      </c>
      <c r="R89" s="299">
        <v>0</v>
      </c>
      <c r="S89" s="301">
        <v>0</v>
      </c>
      <c r="T89" s="261">
        <v>0</v>
      </c>
      <c r="U89" s="292">
        <v>0</v>
      </c>
      <c r="V89" s="548">
        <v>0</v>
      </c>
      <c r="W89" s="666">
        <f>V88*(F88/100)</f>
        <v>0</v>
      </c>
      <c r="X89" s="614"/>
      <c r="Y89" s="606">
        <f>IFERROR(INT($Y$1/(F88/100)),"")</f>
        <v>223</v>
      </c>
      <c r="Z89" s="486"/>
      <c r="AA89" s="377"/>
      <c r="AB89" s="38"/>
      <c r="AC89"/>
    </row>
    <row r="90" spans="1:29" ht="12.75" hidden="1" customHeight="1">
      <c r="A90" s="252" t="s">
        <v>537</v>
      </c>
      <c r="B90" s="264"/>
      <c r="C90" s="357"/>
      <c r="D90" s="274"/>
      <c r="E90" s="264"/>
      <c r="F90" s="776">
        <v>43.1</v>
      </c>
      <c r="G90" s="374">
        <v>-5.9900000000000002E-2</v>
      </c>
      <c r="H90" s="251">
        <v>43.1</v>
      </c>
      <c r="I90" s="238">
        <v>43.1</v>
      </c>
      <c r="J90" s="238">
        <v>43.1</v>
      </c>
      <c r="K90" s="279">
        <v>45.85</v>
      </c>
      <c r="L90" s="263">
        <v>4000</v>
      </c>
      <c r="M90" s="242">
        <v>9280</v>
      </c>
      <c r="N90" s="263">
        <v>1</v>
      </c>
      <c r="O90" s="319">
        <v>45350.608877314815</v>
      </c>
      <c r="P90" s="329">
        <v>89</v>
      </c>
      <c r="Q90" s="282">
        <v>0</v>
      </c>
      <c r="R90" s="300">
        <v>0</v>
      </c>
      <c r="S90" s="306">
        <v>0</v>
      </c>
      <c r="T90" s="260">
        <v>0</v>
      </c>
      <c r="U90" s="291">
        <v>0</v>
      </c>
      <c r="V90" s="347"/>
      <c r="W90" s="667">
        <f t="shared" ref="W90" si="25">(V90*X90)</f>
        <v>0</v>
      </c>
      <c r="X90" s="615"/>
      <c r="Y90" s="607">
        <f>IF(D90&lt;&gt;0,($C91*(1-$V$1))-$D90,0)</f>
        <v>0</v>
      </c>
      <c r="Z90" s="355" t="str">
        <f>IFERROR(IF(C90&lt;&gt;"",$Y$1/(D88/100)*(C90/100),""),"")</f>
        <v/>
      </c>
      <c r="AA90" s="448" t="str">
        <f>IFERROR($AA$1/(D90/100)*(C88/100),"")</f>
        <v/>
      </c>
      <c r="AB90" s="38"/>
      <c r="AC90"/>
    </row>
    <row r="91" spans="1:29" ht="12.75" hidden="1" customHeight="1">
      <c r="A91" s="331" t="s">
        <v>538</v>
      </c>
      <c r="B91" s="249"/>
      <c r="C91" s="248"/>
      <c r="D91" s="579"/>
      <c r="E91" s="580"/>
      <c r="F91" s="250"/>
      <c r="G91" s="373"/>
      <c r="H91" s="246"/>
      <c r="I91" s="237"/>
      <c r="J91" s="237"/>
      <c r="K91" s="276">
        <v>37.982999999999997</v>
      </c>
      <c r="L91" s="244"/>
      <c r="M91" s="241"/>
      <c r="N91" s="244"/>
      <c r="O91" s="318"/>
      <c r="P91" s="328">
        <v>90</v>
      </c>
      <c r="Q91" s="281">
        <v>0</v>
      </c>
      <c r="R91" s="299">
        <v>0</v>
      </c>
      <c r="S91" s="301">
        <v>0</v>
      </c>
      <c r="T91" s="261">
        <v>0</v>
      </c>
      <c r="U91" s="292">
        <v>0</v>
      </c>
      <c r="V91" s="346">
        <v>0</v>
      </c>
      <c r="W91" s="668">
        <f>V90*(F90/100)</f>
        <v>0</v>
      </c>
      <c r="X91" s="616"/>
      <c r="Y91" s="608">
        <f>IFERROR(INT($AA$1/(F90/100)),"")</f>
        <v>232</v>
      </c>
      <c r="Z91" s="354" t="str">
        <f>IFERROR(IF(C91&lt;&gt;"",$Y$1/(D89/100)*(C91/100),""),"")</f>
        <v/>
      </c>
      <c r="AA91" s="450" t="str">
        <f>IFERROR($AA$1/(D91/100)*(C89/100),"")</f>
        <v/>
      </c>
      <c r="AB91" s="38"/>
      <c r="AC91"/>
    </row>
    <row r="92" spans="1:29" ht="12.75" customHeight="1">
      <c r="A92" s="494" t="s">
        <v>539</v>
      </c>
      <c r="B92" s="264">
        <v>1983</v>
      </c>
      <c r="C92" s="357">
        <v>44</v>
      </c>
      <c r="D92" s="274">
        <v>44.1</v>
      </c>
      <c r="E92" s="264">
        <v>46038</v>
      </c>
      <c r="F92" s="776">
        <v>44.1</v>
      </c>
      <c r="G92" s="374">
        <v>2.2000000000000001E-3</v>
      </c>
      <c r="H92" s="251">
        <v>44.5</v>
      </c>
      <c r="I92" s="238">
        <v>45.8</v>
      </c>
      <c r="J92" s="238">
        <v>44</v>
      </c>
      <c r="K92" s="279">
        <v>44</v>
      </c>
      <c r="L92" s="263">
        <v>60528</v>
      </c>
      <c r="M92" s="242">
        <v>136514</v>
      </c>
      <c r="N92" s="263">
        <v>115</v>
      </c>
      <c r="O92" s="319">
        <v>45350.683912037035</v>
      </c>
      <c r="P92" s="329">
        <v>91</v>
      </c>
      <c r="Q92" s="282">
        <v>0</v>
      </c>
      <c r="R92" s="300">
        <v>0</v>
      </c>
      <c r="S92" s="306">
        <v>0</v>
      </c>
      <c r="T92" s="260">
        <v>0</v>
      </c>
      <c r="U92" s="291">
        <v>0</v>
      </c>
      <c r="V92" s="546">
        <v>0</v>
      </c>
      <c r="W92" s="669">
        <f t="shared" ref="W92" si="26">(V92*X92)</f>
        <v>0</v>
      </c>
      <c r="X92" s="617"/>
      <c r="Y92" s="609">
        <f>IF(D92&lt;&gt;0,($C93*(1-$V$1))-$D92,0)</f>
        <v>-5.0390000000000015</v>
      </c>
      <c r="Z92" s="353">
        <f>IFERROR(IF(C92&lt;&gt;"",$Y$1/(D88/100)*(C92/100),""),"")</f>
        <v>97.489537512627152</v>
      </c>
      <c r="AA92" s="449">
        <f>IFERROR($Z$1/(D92/100)*(C88/100),"")</f>
        <v>102947.84580498867</v>
      </c>
      <c r="AB92" s="38"/>
      <c r="AC92"/>
    </row>
    <row r="93" spans="1:29" ht="12.75" customHeight="1">
      <c r="A93" s="539" t="s">
        <v>540</v>
      </c>
      <c r="B93" s="540">
        <v>732</v>
      </c>
      <c r="C93" s="515">
        <v>39.061</v>
      </c>
      <c r="D93" s="578">
        <v>40.01</v>
      </c>
      <c r="E93" s="530">
        <v>500</v>
      </c>
      <c r="F93" s="775">
        <v>40</v>
      </c>
      <c r="G93" s="541">
        <v>1.6899999999999998E-2</v>
      </c>
      <c r="H93" s="519">
        <v>40.286000000000001</v>
      </c>
      <c r="I93" s="520">
        <v>40.950000000000003</v>
      </c>
      <c r="J93" s="520">
        <v>39.06</v>
      </c>
      <c r="K93" s="544">
        <v>39.332999999999998</v>
      </c>
      <c r="L93" s="506">
        <v>355529</v>
      </c>
      <c r="M93" s="522">
        <v>879922</v>
      </c>
      <c r="N93" s="506">
        <v>170</v>
      </c>
      <c r="O93" s="507">
        <v>45350.690636574072</v>
      </c>
      <c r="P93" s="328">
        <v>92</v>
      </c>
      <c r="Q93" s="508">
        <v>0</v>
      </c>
      <c r="R93" s="542">
        <v>0</v>
      </c>
      <c r="S93" s="510">
        <v>0</v>
      </c>
      <c r="T93" s="525">
        <v>0</v>
      </c>
      <c r="U93" s="491">
        <v>0</v>
      </c>
      <c r="V93" s="547">
        <v>0</v>
      </c>
      <c r="W93" s="672">
        <f>V92*(F92/100)</f>
        <v>0</v>
      </c>
      <c r="X93" s="618"/>
      <c r="Y93" s="610">
        <f>IFERROR(INT($Z$1/(F92/100)),"")</f>
        <v>226</v>
      </c>
      <c r="Z93" s="533">
        <f>IFERROR(IF(C93&lt;&gt;"",$Y$1/(D89/100)*(C93/100),""),"")</f>
        <v>96.582363179898167</v>
      </c>
      <c r="AA93" s="543">
        <f>IFERROR($Z$1/(D93/100)*(C89/100),"")</f>
        <v>102724.31892026994</v>
      </c>
      <c r="AB93" s="38"/>
      <c r="AC93"/>
    </row>
    <row r="94" spans="1:29" ht="12.75" customHeight="1">
      <c r="A94" s="297" t="s">
        <v>568</v>
      </c>
      <c r="B94" s="264">
        <v>70</v>
      </c>
      <c r="C94" s="357">
        <v>85400</v>
      </c>
      <c r="D94" s="274">
        <v>85900</v>
      </c>
      <c r="E94" s="264">
        <v>65</v>
      </c>
      <c r="F94" s="308">
        <v>85800</v>
      </c>
      <c r="G94" s="370">
        <v>-9.1000000000000004E-3</v>
      </c>
      <c r="H94" s="247">
        <v>86070</v>
      </c>
      <c r="I94" s="239">
        <v>88320</v>
      </c>
      <c r="J94" s="239">
        <v>83010</v>
      </c>
      <c r="K94" s="278">
        <v>86590</v>
      </c>
      <c r="L94" s="269">
        <v>46988478</v>
      </c>
      <c r="M94" s="243">
        <v>54867</v>
      </c>
      <c r="N94" s="269">
        <v>231</v>
      </c>
      <c r="O94" s="317">
        <v>45350.684907407405</v>
      </c>
      <c r="P94" s="329">
        <v>93</v>
      </c>
      <c r="Q94" s="284">
        <v>0</v>
      </c>
      <c r="R94" s="298">
        <v>0</v>
      </c>
      <c r="S94" s="304">
        <v>0</v>
      </c>
      <c r="T94" s="262">
        <v>0</v>
      </c>
      <c r="U94" s="537">
        <v>0</v>
      </c>
      <c r="V94" s="549">
        <v>0</v>
      </c>
      <c r="W94" s="671">
        <f t="shared" ref="W94" si="27">(V94*X94)</f>
        <v>0</v>
      </c>
      <c r="X94" s="620"/>
      <c r="Y94" s="603">
        <f>IF(D94&lt;&gt;0,($C95*(1-$V$1))-$D94,0)</f>
        <v>-100</v>
      </c>
      <c r="Z94" s="577"/>
      <c r="AA94" s="376"/>
      <c r="AB94" s="38"/>
      <c r="AC94"/>
    </row>
    <row r="95" spans="1:29" ht="12.75" customHeight="1">
      <c r="A95" s="296" t="s">
        <v>569</v>
      </c>
      <c r="B95" s="249">
        <v>570</v>
      </c>
      <c r="C95" s="248">
        <v>85800</v>
      </c>
      <c r="D95" s="579">
        <v>86000</v>
      </c>
      <c r="E95" s="580">
        <v>4651</v>
      </c>
      <c r="F95" s="250">
        <v>86000</v>
      </c>
      <c r="G95" s="373">
        <v>-6.0999999999999995E-3</v>
      </c>
      <c r="H95" s="246">
        <v>88990</v>
      </c>
      <c r="I95" s="237">
        <v>88990</v>
      </c>
      <c r="J95" s="237">
        <v>84010</v>
      </c>
      <c r="K95" s="276">
        <v>86530</v>
      </c>
      <c r="L95" s="244">
        <v>317406276</v>
      </c>
      <c r="M95" s="241">
        <v>367567</v>
      </c>
      <c r="N95" s="244">
        <v>901</v>
      </c>
      <c r="O95" s="318">
        <v>45350.70853009259</v>
      </c>
      <c r="P95" s="328">
        <v>94</v>
      </c>
      <c r="Q95" s="281">
        <v>0</v>
      </c>
      <c r="R95" s="299">
        <v>0</v>
      </c>
      <c r="S95" s="301">
        <v>0</v>
      </c>
      <c r="T95" s="261">
        <v>0</v>
      </c>
      <c r="U95" s="292">
        <v>0</v>
      </c>
      <c r="V95" s="548">
        <v>0</v>
      </c>
      <c r="W95" s="666">
        <f>V94*(F94/100)</f>
        <v>0</v>
      </c>
      <c r="X95" s="614"/>
      <c r="Y95" s="606">
        <f>IFERROR(INT($Y$1/(F94/100)),"")</f>
        <v>119</v>
      </c>
      <c r="Z95" s="486"/>
      <c r="AA95" s="377"/>
      <c r="AB95" s="38"/>
      <c r="AC95"/>
    </row>
    <row r="96" spans="1:29" ht="12.75" hidden="1" customHeight="1">
      <c r="A96" s="252" t="s">
        <v>570</v>
      </c>
      <c r="B96" s="264"/>
      <c r="C96" s="357"/>
      <c r="D96" s="274"/>
      <c r="E96" s="264"/>
      <c r="F96" s="776"/>
      <c r="G96" s="374"/>
      <c r="H96" s="251"/>
      <c r="I96" s="238"/>
      <c r="J96" s="238"/>
      <c r="K96" s="279">
        <v>80.599999999999994</v>
      </c>
      <c r="L96" s="263"/>
      <c r="M96" s="242"/>
      <c r="N96" s="263"/>
      <c r="O96" s="319"/>
      <c r="P96" s="329">
        <v>95</v>
      </c>
      <c r="Q96" s="282">
        <v>0</v>
      </c>
      <c r="R96" s="300">
        <v>0</v>
      </c>
      <c r="S96" s="306">
        <v>0</v>
      </c>
      <c r="T96" s="260">
        <v>0</v>
      </c>
      <c r="U96" s="291">
        <v>0</v>
      </c>
      <c r="V96" s="347"/>
      <c r="W96" s="667">
        <f t="shared" ref="W96" si="28">(V96*X96)</f>
        <v>0</v>
      </c>
      <c r="X96" s="615"/>
      <c r="Y96" s="607">
        <f>IF(D96&lt;&gt;0,($C97*(1-$V$1))-$D96,0)</f>
        <v>0</v>
      </c>
      <c r="Z96" s="355" t="str">
        <f>IFERROR(IF(C96&lt;&gt;"",$Y$1/(D94/100)*(C96/100),""),"")</f>
        <v/>
      </c>
      <c r="AA96" s="448" t="str">
        <f>IFERROR($AA$1/(D96/100)*(C94/100),"")</f>
        <v/>
      </c>
      <c r="AB96" s="38"/>
      <c r="AC96"/>
    </row>
    <row r="97" spans="1:29" ht="12.75" hidden="1" customHeight="1">
      <c r="A97" s="331" t="s">
        <v>571</v>
      </c>
      <c r="B97" s="249"/>
      <c r="C97" s="248"/>
      <c r="D97" s="579"/>
      <c r="E97" s="580"/>
      <c r="F97" s="250"/>
      <c r="G97" s="373"/>
      <c r="H97" s="246"/>
      <c r="I97" s="237"/>
      <c r="J97" s="237"/>
      <c r="K97" s="276"/>
      <c r="L97" s="244"/>
      <c r="M97" s="241"/>
      <c r="N97" s="244"/>
      <c r="O97" s="318"/>
      <c r="P97" s="328">
        <v>96</v>
      </c>
      <c r="Q97" s="281">
        <v>0</v>
      </c>
      <c r="R97" s="299">
        <v>0</v>
      </c>
      <c r="S97" s="301">
        <v>0</v>
      </c>
      <c r="T97" s="261">
        <v>0</v>
      </c>
      <c r="U97" s="292">
        <v>0</v>
      </c>
      <c r="V97" s="346">
        <v>0</v>
      </c>
      <c r="W97" s="668">
        <f>V96*(F96/100)</f>
        <v>0</v>
      </c>
      <c r="X97" s="616"/>
      <c r="Y97" s="608" t="str">
        <f>IFERROR(INT($AA$1/(F96/100)),"")</f>
        <v/>
      </c>
      <c r="Z97" s="354" t="str">
        <f>IFERROR(IF(C97&lt;&gt;"",$Y$1/(D95/100)*(C97/100),""),"")</f>
        <v/>
      </c>
      <c r="AA97" s="450" t="str">
        <f>IFERROR($AA$1/(D97/100)*(C95/100),"")</f>
        <v/>
      </c>
      <c r="AB97" s="38"/>
    </row>
    <row r="98" spans="1:29" ht="12.75" customHeight="1">
      <c r="A98" s="494" t="s">
        <v>572</v>
      </c>
      <c r="B98" s="264">
        <v>80</v>
      </c>
      <c r="C98" s="357">
        <v>83.4</v>
      </c>
      <c r="D98" s="274">
        <v>83.48</v>
      </c>
      <c r="E98" s="264">
        <v>988</v>
      </c>
      <c r="F98" s="776">
        <v>83.4</v>
      </c>
      <c r="G98" s="374">
        <v>-1.1000000000000001E-3</v>
      </c>
      <c r="H98" s="251">
        <v>85</v>
      </c>
      <c r="I98" s="238">
        <v>85</v>
      </c>
      <c r="J98" s="238">
        <v>82.73</v>
      </c>
      <c r="K98" s="279">
        <v>83.4</v>
      </c>
      <c r="L98" s="263">
        <v>21534</v>
      </c>
      <c r="M98" s="242">
        <v>25877</v>
      </c>
      <c r="N98" s="263">
        <v>61</v>
      </c>
      <c r="O98" s="319">
        <v>45350.683055555557</v>
      </c>
      <c r="P98" s="329">
        <v>97</v>
      </c>
      <c r="Q98" s="282">
        <v>0</v>
      </c>
      <c r="R98" s="300">
        <v>0</v>
      </c>
      <c r="S98" s="306">
        <v>0</v>
      </c>
      <c r="T98" s="260">
        <v>0</v>
      </c>
      <c r="U98" s="291">
        <v>0</v>
      </c>
      <c r="V98" s="546">
        <v>0</v>
      </c>
      <c r="W98" s="669">
        <f t="shared" ref="W98" si="29">(V98*X98)</f>
        <v>0</v>
      </c>
      <c r="X98" s="617"/>
      <c r="Y98" s="609">
        <f>IF(D98&lt;&gt;0,($C99*(1-$V$1))-$D98,0)</f>
        <v>-0.42000000000000171</v>
      </c>
      <c r="Z98" s="353">
        <f>IFERROR(IF(C98&lt;&gt;"",$Y$1/(D94/100)*(C98/100),""),"")</f>
        <v>99.266536853260391</v>
      </c>
      <c r="AA98" s="449">
        <f>IFERROR($Z$1/(D98/100)*(C94/100),"")</f>
        <v>102299.95208433158</v>
      </c>
      <c r="AB98" s="38"/>
      <c r="AC98" s="11"/>
    </row>
    <row r="99" spans="1:29" ht="12.75" customHeight="1">
      <c r="A99" s="539" t="s">
        <v>573</v>
      </c>
      <c r="B99" s="540">
        <v>25</v>
      </c>
      <c r="C99" s="515">
        <v>83.06</v>
      </c>
      <c r="D99" s="578">
        <v>83.25</v>
      </c>
      <c r="E99" s="530">
        <v>8333</v>
      </c>
      <c r="F99" s="775">
        <v>83.25</v>
      </c>
      <c r="G99" s="541">
        <v>5.9999999999999995E-4</v>
      </c>
      <c r="H99" s="519">
        <v>83.25</v>
      </c>
      <c r="I99" s="520">
        <v>84</v>
      </c>
      <c r="J99" s="520">
        <v>82.8</v>
      </c>
      <c r="K99" s="544">
        <v>83.2</v>
      </c>
      <c r="L99" s="506">
        <v>254941</v>
      </c>
      <c r="M99" s="522">
        <v>306572</v>
      </c>
      <c r="N99" s="506">
        <v>351</v>
      </c>
      <c r="O99" s="507">
        <v>45350.708344907405</v>
      </c>
      <c r="P99" s="328">
        <v>98</v>
      </c>
      <c r="Q99" s="508">
        <v>0</v>
      </c>
      <c r="R99" s="542">
        <v>0</v>
      </c>
      <c r="S99" s="510">
        <v>0</v>
      </c>
      <c r="T99" s="525">
        <v>0</v>
      </c>
      <c r="U99" s="491">
        <v>0</v>
      </c>
      <c r="V99" s="547">
        <v>0</v>
      </c>
      <c r="W99" s="672">
        <f>V98*(F98/100)</f>
        <v>0</v>
      </c>
      <c r="X99" s="618"/>
      <c r="Y99" s="610">
        <f>IFERROR(INT($Z$1/(F98/100)),"")</f>
        <v>119</v>
      </c>
      <c r="Z99" s="533">
        <f>IFERROR(IF(C99&lt;&gt;"",$Y$1/(D95/100)*(C99/100),""),"")</f>
        <v>98.746897486703517</v>
      </c>
      <c r="AA99" s="543">
        <f>IFERROR($Z$1/(D99/100)*(C95/100),"")</f>
        <v>103063.06306306306</v>
      </c>
      <c r="AB99" s="38"/>
      <c r="AC99" s="11"/>
    </row>
    <row r="100" spans="1:29" ht="12.75" customHeight="1">
      <c r="A100" s="297" t="s">
        <v>576</v>
      </c>
      <c r="B100" s="264">
        <v>2040</v>
      </c>
      <c r="C100" s="357">
        <v>24500</v>
      </c>
      <c r="D100" s="274">
        <v>25300</v>
      </c>
      <c r="E100" s="264">
        <v>585</v>
      </c>
      <c r="F100" s="308">
        <v>25005</v>
      </c>
      <c r="G100" s="370">
        <v>-4.1900000000000007E-2</v>
      </c>
      <c r="H100" s="247">
        <v>25200</v>
      </c>
      <c r="I100" s="239">
        <v>25300</v>
      </c>
      <c r="J100" s="239">
        <v>25005</v>
      </c>
      <c r="K100" s="278">
        <v>26100</v>
      </c>
      <c r="L100" s="269">
        <v>915087</v>
      </c>
      <c r="M100" s="243">
        <v>3649</v>
      </c>
      <c r="N100" s="269">
        <v>12</v>
      </c>
      <c r="O100" s="317">
        <v>45350.683761574073</v>
      </c>
      <c r="P100" s="329">
        <v>99</v>
      </c>
      <c r="Q100" s="284">
        <v>0</v>
      </c>
      <c r="R100" s="298">
        <v>0</v>
      </c>
      <c r="S100" s="304">
        <v>0</v>
      </c>
      <c r="T100" s="262">
        <v>0</v>
      </c>
      <c r="U100" s="537">
        <v>0</v>
      </c>
      <c r="V100" s="549">
        <v>0</v>
      </c>
      <c r="W100" s="671">
        <f t="shared" ref="W100" si="30">(V100*X100)</f>
        <v>0</v>
      </c>
      <c r="X100" s="620">
        <v>844</v>
      </c>
      <c r="Y100" s="603">
        <f>IF(D100&lt;&gt;0,($C101*(1-$V$1))-$D100,0)</f>
        <v>-295</v>
      </c>
      <c r="Z100" s="577"/>
      <c r="AA100" s="376"/>
      <c r="AB100" s="38"/>
      <c r="AC100" s="11"/>
    </row>
    <row r="101" spans="1:29" ht="12.75" customHeight="1">
      <c r="A101" s="296" t="s">
        <v>577</v>
      </c>
      <c r="B101" s="249">
        <v>200</v>
      </c>
      <c r="C101" s="248">
        <v>25005</v>
      </c>
      <c r="D101" s="579">
        <v>25100</v>
      </c>
      <c r="E101" s="580">
        <v>1956</v>
      </c>
      <c r="F101" s="250">
        <v>25000</v>
      </c>
      <c r="G101" s="373">
        <v>-3.8399999999999997E-2</v>
      </c>
      <c r="H101" s="246">
        <v>26400</v>
      </c>
      <c r="I101" s="237">
        <v>26400</v>
      </c>
      <c r="J101" s="237">
        <v>25000</v>
      </c>
      <c r="K101" s="276">
        <v>26000</v>
      </c>
      <c r="L101" s="244">
        <v>10469036</v>
      </c>
      <c r="M101" s="241">
        <v>41105</v>
      </c>
      <c r="N101" s="244">
        <v>73</v>
      </c>
      <c r="O101" s="318">
        <v>45350.698194444441</v>
      </c>
      <c r="P101" s="328">
        <v>100</v>
      </c>
      <c r="Q101" s="281">
        <v>0</v>
      </c>
      <c r="R101" s="299">
        <v>0</v>
      </c>
      <c r="S101" s="301">
        <v>0</v>
      </c>
      <c r="T101" s="261">
        <v>0</v>
      </c>
      <c r="U101" s="292">
        <v>0</v>
      </c>
      <c r="V101" s="548">
        <v>0</v>
      </c>
      <c r="W101" s="666">
        <f>V100*(F100/100)</f>
        <v>0</v>
      </c>
      <c r="X101" s="614"/>
      <c r="Y101" s="606">
        <f>IFERROR(INT($Y$1/(F100/100)),"")</f>
        <v>408</v>
      </c>
      <c r="Z101" s="486"/>
      <c r="AA101" s="377"/>
      <c r="AB101" s="38"/>
      <c r="AC101" s="11"/>
    </row>
    <row r="102" spans="1:29" ht="12.75" hidden="1" customHeight="1">
      <c r="A102" s="252" t="s">
        <v>578</v>
      </c>
      <c r="B102" s="264"/>
      <c r="C102" s="357"/>
      <c r="D102" s="274"/>
      <c r="E102" s="264"/>
      <c r="F102" s="776"/>
      <c r="G102" s="374"/>
      <c r="H102" s="251"/>
      <c r="I102" s="238"/>
      <c r="J102" s="238"/>
      <c r="K102" s="279">
        <v>30.7</v>
      </c>
      <c r="L102" s="263"/>
      <c r="M102" s="242"/>
      <c r="N102" s="263"/>
      <c r="O102" s="319"/>
      <c r="P102" s="329">
        <v>101</v>
      </c>
      <c r="Q102" s="282">
        <v>0</v>
      </c>
      <c r="R102" s="300">
        <v>0</v>
      </c>
      <c r="S102" s="306">
        <v>0</v>
      </c>
      <c r="T102" s="260">
        <v>0</v>
      </c>
      <c r="U102" s="291">
        <v>0</v>
      </c>
      <c r="V102" s="347"/>
      <c r="W102" s="667">
        <f t="shared" ref="W102" si="31">(V102*X102)</f>
        <v>0</v>
      </c>
      <c r="X102" s="615"/>
      <c r="Y102" s="607">
        <f>IF(D102&lt;&gt;0,($C103*(1-$V$1))-$D102,0)</f>
        <v>0</v>
      </c>
      <c r="Z102" s="355" t="str">
        <f>IFERROR(IF(C102&lt;&gt;"",$Y$1/(D100/100)*(C102/100),""),"")</f>
        <v/>
      </c>
      <c r="AA102" s="448" t="str">
        <f>IFERROR($AA$1/(D102/100)*(C100/100),"")</f>
        <v/>
      </c>
      <c r="AB102" s="38"/>
      <c r="AC102" s="11"/>
    </row>
    <row r="103" spans="1:29" ht="12.75" hidden="1" customHeight="1">
      <c r="A103" s="331" t="s">
        <v>579</v>
      </c>
      <c r="B103" s="249"/>
      <c r="C103" s="248"/>
      <c r="D103" s="579"/>
      <c r="E103" s="580"/>
      <c r="F103" s="250"/>
      <c r="G103" s="373"/>
      <c r="H103" s="246"/>
      <c r="I103" s="237"/>
      <c r="J103" s="237"/>
      <c r="K103" s="276">
        <v>31</v>
      </c>
      <c r="L103" s="244"/>
      <c r="M103" s="241"/>
      <c r="N103" s="244"/>
      <c r="O103" s="318"/>
      <c r="P103" s="328">
        <v>102</v>
      </c>
      <c r="Q103" s="281">
        <v>0</v>
      </c>
      <c r="R103" s="299">
        <v>0</v>
      </c>
      <c r="S103" s="301">
        <v>0</v>
      </c>
      <c r="T103" s="261">
        <v>0</v>
      </c>
      <c r="U103" s="292">
        <v>0</v>
      </c>
      <c r="V103" s="346">
        <v>0</v>
      </c>
      <c r="W103" s="668">
        <f>V102*(F102/100)</f>
        <v>0</v>
      </c>
      <c r="X103" s="616"/>
      <c r="Y103" s="608" t="str">
        <f>IFERROR(INT($AA$1/(F102/100)),"")</f>
        <v/>
      </c>
      <c r="Z103" s="354" t="str">
        <f>IFERROR(IF(C103&lt;&gt;"",$Y$1/(D101/100)*(C103/100),""),"")</f>
        <v/>
      </c>
      <c r="AA103" s="450" t="str">
        <f>IFERROR($AA$1/(D103/100)*(C101/100),"")</f>
        <v/>
      </c>
      <c r="AB103" s="38"/>
      <c r="AC103" s="11"/>
    </row>
    <row r="104" spans="1:29" ht="12.75" customHeight="1">
      <c r="A104" s="494" t="s">
        <v>580</v>
      </c>
      <c r="B104" s="264">
        <v>400</v>
      </c>
      <c r="C104" s="357">
        <v>24.4</v>
      </c>
      <c r="D104" s="274">
        <v>25</v>
      </c>
      <c r="E104" s="264">
        <v>2498</v>
      </c>
      <c r="F104" s="776">
        <v>25</v>
      </c>
      <c r="G104" s="374">
        <v>-3.7999999999999999E-2</v>
      </c>
      <c r="H104" s="251">
        <v>24.9</v>
      </c>
      <c r="I104" s="238">
        <v>25</v>
      </c>
      <c r="J104" s="238">
        <v>24.9</v>
      </c>
      <c r="K104" s="279">
        <v>25.99</v>
      </c>
      <c r="L104" s="263">
        <v>436</v>
      </c>
      <c r="M104" s="242">
        <v>1747</v>
      </c>
      <c r="N104" s="263">
        <v>3</v>
      </c>
      <c r="O104" s="319">
        <v>45350.641597222224</v>
      </c>
      <c r="P104" s="329">
        <v>103</v>
      </c>
      <c r="Q104" s="282">
        <v>0</v>
      </c>
      <c r="R104" s="300">
        <v>0</v>
      </c>
      <c r="S104" s="306">
        <v>0</v>
      </c>
      <c r="T104" s="260">
        <v>0</v>
      </c>
      <c r="U104" s="291">
        <v>0</v>
      </c>
      <c r="V104" s="546">
        <v>0</v>
      </c>
      <c r="W104" s="669">
        <f t="shared" ref="W104" si="32">(V104*X104)</f>
        <v>0</v>
      </c>
      <c r="X104" s="617">
        <v>0.6865</v>
      </c>
      <c r="Y104" s="609">
        <f>IF(D104&lt;&gt;0,($C105*(1-$V$1))-$D104,0)</f>
        <v>-0.5</v>
      </c>
      <c r="Z104" s="353">
        <f>IFERROR(IF(C104&lt;&gt;"",$Y$1/(D100/100)*(C104/100),""),"")</f>
        <v>98.605079848987046</v>
      </c>
      <c r="AA104" s="449">
        <f>IFERROR($Z$1/(D104/100)*(C100/100),"")</f>
        <v>98000</v>
      </c>
      <c r="AB104" s="38"/>
      <c r="AC104" s="11"/>
    </row>
    <row r="105" spans="1:29" ht="12.75" customHeight="1">
      <c r="A105" s="539" t="s">
        <v>581</v>
      </c>
      <c r="B105" s="540">
        <v>2000</v>
      </c>
      <c r="C105" s="515">
        <v>24.5</v>
      </c>
      <c r="D105" s="578">
        <v>24.8</v>
      </c>
      <c r="E105" s="530">
        <v>83</v>
      </c>
      <c r="F105" s="775">
        <v>24.8</v>
      </c>
      <c r="G105" s="541">
        <v>-2.3999999999999998E-3</v>
      </c>
      <c r="H105" s="519">
        <v>25</v>
      </c>
      <c r="I105" s="520">
        <v>25</v>
      </c>
      <c r="J105" s="520">
        <v>24.3</v>
      </c>
      <c r="K105" s="544">
        <v>24.86</v>
      </c>
      <c r="L105" s="506">
        <v>2183</v>
      </c>
      <c r="M105" s="522">
        <v>8848</v>
      </c>
      <c r="N105" s="506">
        <v>21</v>
      </c>
      <c r="O105" s="507">
        <v>45350.699687499997</v>
      </c>
      <c r="P105" s="328">
        <v>104</v>
      </c>
      <c r="Q105" s="508">
        <v>0</v>
      </c>
      <c r="R105" s="542">
        <v>0</v>
      </c>
      <c r="S105" s="510">
        <v>0</v>
      </c>
      <c r="T105" s="525">
        <v>0</v>
      </c>
      <c r="U105" s="491">
        <v>0</v>
      </c>
      <c r="V105" s="547">
        <v>0</v>
      </c>
      <c r="W105" s="672">
        <f>V104*(F104/100)</f>
        <v>0</v>
      </c>
      <c r="X105" s="618"/>
      <c r="Y105" s="610">
        <f>IFERROR(INT($Z$1/(F104/100)),"")</f>
        <v>400</v>
      </c>
      <c r="Z105" s="533">
        <f>IFERROR(IF(C105&lt;&gt;"",$Y$1/(D101/100)*(C105/100),""),"")</f>
        <v>99.798116949243379</v>
      </c>
      <c r="AA105" s="543">
        <f>IFERROR($Z$1/(D105/100)*(C101/100),"")</f>
        <v>100826.61290322582</v>
      </c>
      <c r="AB105" s="38"/>
    </row>
    <row r="106" spans="1:29" ht="12.75" customHeight="1">
      <c r="A106" s="297" t="s">
        <v>586</v>
      </c>
      <c r="B106" s="264">
        <v>49790</v>
      </c>
      <c r="C106" s="357">
        <v>67900</v>
      </c>
      <c r="D106" s="274">
        <v>68000</v>
      </c>
      <c r="E106" s="264">
        <v>5370</v>
      </c>
      <c r="F106" s="308">
        <v>68000</v>
      </c>
      <c r="G106" s="370">
        <v>-2.3599999999999999E-2</v>
      </c>
      <c r="H106" s="247">
        <v>69700</v>
      </c>
      <c r="I106" s="239">
        <v>71000</v>
      </c>
      <c r="J106" s="239">
        <v>67500</v>
      </c>
      <c r="K106" s="278">
        <v>69650</v>
      </c>
      <c r="L106" s="269">
        <v>6017722076</v>
      </c>
      <c r="M106" s="243">
        <v>8790240</v>
      </c>
      <c r="N106" s="269">
        <v>488</v>
      </c>
      <c r="O106" s="317">
        <v>45350.687511574077</v>
      </c>
      <c r="P106" s="329">
        <v>105</v>
      </c>
      <c r="Q106" s="284">
        <v>0</v>
      </c>
      <c r="R106" s="298">
        <v>0</v>
      </c>
      <c r="S106" s="304">
        <v>0</v>
      </c>
      <c r="T106" s="262">
        <v>0</v>
      </c>
      <c r="U106" s="537">
        <v>0</v>
      </c>
      <c r="V106" s="549"/>
      <c r="W106" s="671">
        <f t="shared" ref="W106" si="33">(V106*X106)</f>
        <v>0</v>
      </c>
      <c r="X106" s="620"/>
      <c r="Y106" s="603">
        <f>IF(D106&lt;&gt;0,($C107*(1-$V$1))-$D106,0)</f>
        <v>-68000</v>
      </c>
      <c r="Z106" s="577"/>
      <c r="AA106" s="376"/>
      <c r="AB106" s="38"/>
    </row>
    <row r="107" spans="1:29" ht="12.75" customHeight="1">
      <c r="A107" s="296" t="s">
        <v>587</v>
      </c>
      <c r="B107" s="249"/>
      <c r="C107" s="248"/>
      <c r="D107" s="579"/>
      <c r="E107" s="580"/>
      <c r="F107" s="250"/>
      <c r="G107" s="373"/>
      <c r="H107" s="246"/>
      <c r="I107" s="237"/>
      <c r="J107" s="237"/>
      <c r="K107" s="276"/>
      <c r="L107" s="244"/>
      <c r="M107" s="241"/>
      <c r="N107" s="244"/>
      <c r="O107" s="318"/>
      <c r="P107" s="328">
        <v>106</v>
      </c>
      <c r="Q107" s="281">
        <v>0</v>
      </c>
      <c r="R107" s="299">
        <v>0</v>
      </c>
      <c r="S107" s="301">
        <v>0</v>
      </c>
      <c r="T107" s="261">
        <v>0</v>
      </c>
      <c r="U107" s="292">
        <v>0</v>
      </c>
      <c r="V107" s="548">
        <v>0</v>
      </c>
      <c r="W107" s="666">
        <f>V106*(F106/100)</f>
        <v>0</v>
      </c>
      <c r="X107" s="614"/>
      <c r="Y107" s="606">
        <f>IFERROR(INT($Y$1/(F106/100)),"")</f>
        <v>150</v>
      </c>
      <c r="Z107" s="486"/>
      <c r="AA107" s="377"/>
      <c r="AB107" s="38"/>
    </row>
    <row r="108" spans="1:29" ht="12.75" hidden="1" customHeight="1">
      <c r="A108" s="252" t="s">
        <v>582</v>
      </c>
      <c r="B108" s="264">
        <v>106000</v>
      </c>
      <c r="C108" s="357">
        <v>63.65</v>
      </c>
      <c r="D108" s="274">
        <v>63.75</v>
      </c>
      <c r="E108" s="264">
        <v>182000</v>
      </c>
      <c r="F108" s="776">
        <v>63.75</v>
      </c>
      <c r="G108" s="374">
        <v>-5.4000000000000003E-3</v>
      </c>
      <c r="H108" s="251">
        <v>64.2</v>
      </c>
      <c r="I108" s="238">
        <v>64.2</v>
      </c>
      <c r="J108" s="238">
        <v>63.3</v>
      </c>
      <c r="K108" s="279">
        <v>64.099999999999994</v>
      </c>
      <c r="L108" s="263">
        <v>12778965</v>
      </c>
      <c r="M108" s="242">
        <v>20062970</v>
      </c>
      <c r="N108" s="263">
        <v>392</v>
      </c>
      <c r="O108" s="319">
        <v>45350.687662037039</v>
      </c>
      <c r="P108" s="329">
        <v>107</v>
      </c>
      <c r="Q108" s="282">
        <v>0</v>
      </c>
      <c r="R108" s="300">
        <v>0</v>
      </c>
      <c r="S108" s="306">
        <v>0</v>
      </c>
      <c r="T108" s="260">
        <v>0</v>
      </c>
      <c r="U108" s="291">
        <v>0</v>
      </c>
      <c r="V108" s="347"/>
      <c r="W108" s="667">
        <f t="shared" ref="W108" si="34">(V108*X108)</f>
        <v>0</v>
      </c>
      <c r="X108" s="615"/>
      <c r="Y108" s="607">
        <f>IF(D108&lt;&gt;0,($C109*(1-$V$1))-$D108,0)</f>
        <v>-63.75</v>
      </c>
      <c r="Z108" s="355">
        <f>IFERROR(IF(C108&lt;&gt;"",$Y$1/(D106/100)*(C108/100),""),"")</f>
        <v>95.701661830651531</v>
      </c>
      <c r="AA108" s="448">
        <f>IFERROR($AA$1/(D108/100)*(C106/100),"")</f>
        <v>106509.80392156863</v>
      </c>
      <c r="AB108" s="38"/>
    </row>
    <row r="109" spans="1:29" ht="12.75" hidden="1" customHeight="1">
      <c r="A109" s="331" t="s">
        <v>583</v>
      </c>
      <c r="B109" s="249"/>
      <c r="C109" s="248"/>
      <c r="D109" s="579"/>
      <c r="E109" s="580"/>
      <c r="F109" s="250"/>
      <c r="G109" s="373"/>
      <c r="H109" s="246"/>
      <c r="I109" s="237"/>
      <c r="J109" s="237"/>
      <c r="K109" s="276">
        <v>64.099999999999994</v>
      </c>
      <c r="L109" s="244"/>
      <c r="M109" s="241"/>
      <c r="N109" s="244"/>
      <c r="O109" s="318"/>
      <c r="P109" s="328">
        <v>108</v>
      </c>
      <c r="Q109" s="281">
        <v>0</v>
      </c>
      <c r="R109" s="299">
        <v>0</v>
      </c>
      <c r="S109" s="301">
        <v>0</v>
      </c>
      <c r="T109" s="261">
        <v>0</v>
      </c>
      <c r="U109" s="292">
        <v>0</v>
      </c>
      <c r="V109" s="346">
        <v>0</v>
      </c>
      <c r="W109" s="668">
        <f>V108*(F108/100)</f>
        <v>0</v>
      </c>
      <c r="X109" s="616"/>
      <c r="Y109" s="608">
        <f>IFERROR(INT($AA$1/(F108/100)),"")</f>
        <v>156</v>
      </c>
      <c r="Z109" s="354" t="str">
        <f>IFERROR(IF(C109&lt;&gt;"",$Y$1/(D107/100)*(C109/100),""),"")</f>
        <v/>
      </c>
      <c r="AA109" s="450" t="str">
        <f>IFERROR($AA$1/(D109/100)*(C107/100),"")</f>
        <v/>
      </c>
      <c r="AB109" s="38"/>
    </row>
    <row r="110" spans="1:29" ht="12.75" customHeight="1">
      <c r="A110" s="494" t="s">
        <v>584</v>
      </c>
      <c r="B110" s="264">
        <v>1000</v>
      </c>
      <c r="C110" s="357">
        <v>66.5</v>
      </c>
      <c r="D110" s="274">
        <v>66.8</v>
      </c>
      <c r="E110" s="264">
        <v>67970</v>
      </c>
      <c r="F110" s="776">
        <v>66.8</v>
      </c>
      <c r="G110" s="374">
        <v>-5.8999999999999999E-3</v>
      </c>
      <c r="H110" s="251">
        <v>66.650000000000006</v>
      </c>
      <c r="I110" s="238">
        <v>67.69</v>
      </c>
      <c r="J110" s="238">
        <v>66.2</v>
      </c>
      <c r="K110" s="279">
        <v>67.2</v>
      </c>
      <c r="L110" s="263">
        <v>1087151</v>
      </c>
      <c r="M110" s="242">
        <v>1628560</v>
      </c>
      <c r="N110" s="263">
        <v>227</v>
      </c>
      <c r="O110" s="319">
        <v>45350.687800925924</v>
      </c>
      <c r="P110" s="329">
        <v>109</v>
      </c>
      <c r="Q110" s="282">
        <v>0</v>
      </c>
      <c r="R110" s="300">
        <v>0</v>
      </c>
      <c r="S110" s="306">
        <v>0</v>
      </c>
      <c r="T110" s="260">
        <v>0</v>
      </c>
      <c r="U110" s="291">
        <v>0</v>
      </c>
      <c r="V110" s="546">
        <v>0</v>
      </c>
      <c r="W110" s="669">
        <f t="shared" ref="W110" si="35">(V110*X110)</f>
        <v>0</v>
      </c>
      <c r="X110" s="617"/>
      <c r="Y110" s="609">
        <f>IF(D110&lt;&gt;0,($C111*(1-$V$1))-$D110,0)</f>
        <v>-66.8</v>
      </c>
      <c r="Z110" s="353">
        <f>IFERROR(IF(C110&lt;&gt;"",$Y$1/(D106/100)*(C110/100),""),"")</f>
        <v>99.986810867844895</v>
      </c>
      <c r="AA110" s="449">
        <f>IFERROR($Z$1/(D110/100)*(C106/100),"")</f>
        <v>101646.70658682636</v>
      </c>
      <c r="AB110" s="38"/>
    </row>
    <row r="111" spans="1:29" ht="12.75" customHeight="1">
      <c r="A111" s="539" t="s">
        <v>585</v>
      </c>
      <c r="B111" s="540"/>
      <c r="C111" s="515"/>
      <c r="D111" s="578"/>
      <c r="E111" s="530"/>
      <c r="F111" s="775"/>
      <c r="G111" s="541"/>
      <c r="H111" s="519"/>
      <c r="I111" s="520"/>
      <c r="J111" s="520"/>
      <c r="K111" s="544">
        <v>67.2</v>
      </c>
      <c r="L111" s="506"/>
      <c r="M111" s="522"/>
      <c r="N111" s="506"/>
      <c r="O111" s="507"/>
      <c r="P111" s="328">
        <v>110</v>
      </c>
      <c r="Q111" s="508">
        <v>0</v>
      </c>
      <c r="R111" s="542">
        <v>0</v>
      </c>
      <c r="S111" s="510">
        <v>0</v>
      </c>
      <c r="T111" s="525">
        <v>0</v>
      </c>
      <c r="U111" s="491">
        <v>0</v>
      </c>
      <c r="V111" s="547">
        <v>0</v>
      </c>
      <c r="W111" s="672">
        <f>V110*(F110/100)</f>
        <v>0</v>
      </c>
      <c r="X111" s="618"/>
      <c r="Y111" s="610">
        <f>IFERROR(INT($Z$1/(F110/100)),"")</f>
        <v>149</v>
      </c>
      <c r="Z111" s="533" t="str">
        <f>IFERROR(IF(C111&lt;&gt;"",$Y$1/(D107/100)*(C111/100),""),"")</f>
        <v/>
      </c>
      <c r="AA111" s="543" t="str">
        <f>IFERROR($Z$1/(D111/100)*(C107/100),"")</f>
        <v/>
      </c>
      <c r="AB111" s="38"/>
    </row>
    <row r="112" spans="1:29" ht="12.75" customHeight="1">
      <c r="A112" s="297" t="s">
        <v>547</v>
      </c>
      <c r="B112" s="264">
        <v>247</v>
      </c>
      <c r="C112" s="357">
        <v>40555</v>
      </c>
      <c r="D112" s="274">
        <v>40750</v>
      </c>
      <c r="E112" s="264">
        <v>30</v>
      </c>
      <c r="F112" s="308">
        <v>40600</v>
      </c>
      <c r="G112" s="370">
        <v>-2.2799999999999997E-2</v>
      </c>
      <c r="H112" s="247">
        <v>42035</v>
      </c>
      <c r="I112" s="239">
        <v>42035</v>
      </c>
      <c r="J112" s="239">
        <v>39090</v>
      </c>
      <c r="K112" s="278">
        <v>41550</v>
      </c>
      <c r="L112" s="269">
        <v>260184387</v>
      </c>
      <c r="M112" s="243">
        <v>639925</v>
      </c>
      <c r="N112" s="269">
        <v>607</v>
      </c>
      <c r="O112" s="317">
        <v>45350.680162037039</v>
      </c>
      <c r="P112" s="329">
        <v>111</v>
      </c>
      <c r="Q112" s="284">
        <v>0</v>
      </c>
      <c r="R112" s="298">
        <v>0</v>
      </c>
      <c r="S112" s="304">
        <v>0</v>
      </c>
      <c r="T112" s="262">
        <v>0</v>
      </c>
      <c r="U112" s="537">
        <v>0</v>
      </c>
      <c r="V112" s="549"/>
      <c r="W112" s="671">
        <f t="shared" ref="W112" si="36">(V112*X112)</f>
        <v>0</v>
      </c>
      <c r="X112" s="620"/>
      <c r="Y112" s="603">
        <f>IF(D112&lt;&gt;0,($C113*(1-$V$1))-$D112,0)</f>
        <v>75</v>
      </c>
      <c r="Z112" s="577"/>
      <c r="AA112" s="376"/>
      <c r="AB112" s="38"/>
    </row>
    <row r="113" spans="1:28" ht="12.75" customHeight="1">
      <c r="A113" s="296" t="s">
        <v>183</v>
      </c>
      <c r="B113" s="249">
        <v>2500</v>
      </c>
      <c r="C113" s="248">
        <v>40825</v>
      </c>
      <c r="D113" s="579">
        <v>40980</v>
      </c>
      <c r="E113" s="580">
        <v>5000</v>
      </c>
      <c r="F113" s="250">
        <v>40830</v>
      </c>
      <c r="G113" s="373">
        <v>-1.2500000000000001E-2</v>
      </c>
      <c r="H113" s="246">
        <v>42065</v>
      </c>
      <c r="I113" s="237">
        <v>42300</v>
      </c>
      <c r="J113" s="237">
        <v>39995</v>
      </c>
      <c r="K113" s="276">
        <v>41350</v>
      </c>
      <c r="L113" s="244">
        <v>1287556627</v>
      </c>
      <c r="M113" s="241">
        <v>3147832</v>
      </c>
      <c r="N113" s="244">
        <v>1343</v>
      </c>
      <c r="O113" s="318">
        <v>45350.708518518521</v>
      </c>
      <c r="P113" s="328">
        <v>112</v>
      </c>
      <c r="Q113" s="281">
        <v>0</v>
      </c>
      <c r="R113" s="299">
        <v>0</v>
      </c>
      <c r="S113" s="301">
        <v>0</v>
      </c>
      <c r="T113" s="261">
        <v>0</v>
      </c>
      <c r="U113" s="292">
        <v>0</v>
      </c>
      <c r="V113" s="548">
        <v>0</v>
      </c>
      <c r="W113" s="666">
        <f>V112*(F112/100)</f>
        <v>0</v>
      </c>
      <c r="X113" s="614"/>
      <c r="Y113" s="606">
        <f>IFERROR(INT($Y$1/(F112/100)),"")</f>
        <v>251</v>
      </c>
      <c r="Z113" s="486"/>
      <c r="AA113" s="377"/>
      <c r="AB113" s="38"/>
    </row>
    <row r="114" spans="1:28" ht="12.75" hidden="1" customHeight="1">
      <c r="A114" s="252" t="s">
        <v>548</v>
      </c>
      <c r="B114" s="264"/>
      <c r="C114" s="357"/>
      <c r="D114" s="274"/>
      <c r="E114" s="264"/>
      <c r="F114" s="776"/>
      <c r="G114" s="374"/>
      <c r="H114" s="251"/>
      <c r="I114" s="238"/>
      <c r="J114" s="238"/>
      <c r="K114" s="279">
        <v>38</v>
      </c>
      <c r="L114" s="263"/>
      <c r="M114" s="242"/>
      <c r="N114" s="263"/>
      <c r="O114" s="319"/>
      <c r="P114" s="329">
        <v>113</v>
      </c>
      <c r="Q114" s="282">
        <v>0</v>
      </c>
      <c r="R114" s="300">
        <v>0</v>
      </c>
      <c r="S114" s="306">
        <v>0</v>
      </c>
      <c r="T114" s="260">
        <v>0</v>
      </c>
      <c r="U114" s="291">
        <v>0</v>
      </c>
      <c r="V114" s="347"/>
      <c r="W114" s="667">
        <f t="shared" ref="W114" si="37">(V114*X114)</f>
        <v>0</v>
      </c>
      <c r="X114" s="615"/>
      <c r="Y114" s="607">
        <f>IF(D114&lt;&gt;0,($C115*(1-$V$1))-$D114,0)</f>
        <v>0</v>
      </c>
      <c r="Z114" s="355" t="str">
        <f>IFERROR(IF(C114&lt;&gt;"",$Y$1/(D112/100)*(C114/100),""),"")</f>
        <v/>
      </c>
      <c r="AA114" s="448" t="str">
        <f>IFERROR($AA$1/(D114/100)*(C112/100),"")</f>
        <v/>
      </c>
      <c r="AB114" s="38"/>
    </row>
    <row r="115" spans="1:28" ht="12.75" hidden="1" customHeight="1">
      <c r="A115" s="331" t="s">
        <v>230</v>
      </c>
      <c r="B115" s="249"/>
      <c r="C115" s="248"/>
      <c r="D115" s="579"/>
      <c r="E115" s="580"/>
      <c r="F115" s="250"/>
      <c r="G115" s="373"/>
      <c r="H115" s="246"/>
      <c r="I115" s="237"/>
      <c r="J115" s="237"/>
      <c r="K115" s="276">
        <v>35.875</v>
      </c>
      <c r="L115" s="244"/>
      <c r="M115" s="241"/>
      <c r="N115" s="244"/>
      <c r="O115" s="318"/>
      <c r="P115" s="328">
        <v>114</v>
      </c>
      <c r="Q115" s="281">
        <v>0</v>
      </c>
      <c r="R115" s="299">
        <v>0</v>
      </c>
      <c r="S115" s="301">
        <v>0</v>
      </c>
      <c r="T115" s="261">
        <v>0</v>
      </c>
      <c r="U115" s="292">
        <v>0</v>
      </c>
      <c r="V115" s="346">
        <v>0</v>
      </c>
      <c r="W115" s="668">
        <f>V114*(F114/100)</f>
        <v>0</v>
      </c>
      <c r="X115" s="616"/>
      <c r="Y115" s="608" t="str">
        <f>IFERROR(INT($AA$1/(F114/100)),"")</f>
        <v/>
      </c>
      <c r="Z115" s="354" t="str">
        <f>IFERROR(IF(C115&lt;&gt;"",$Y$1/(D113/100)*(C115/100),""),"")</f>
        <v/>
      </c>
      <c r="AA115" s="450" t="str">
        <f>IFERROR($AA$1/(D115/100)*(C113/100),"")</f>
        <v/>
      </c>
      <c r="AB115" s="38"/>
    </row>
    <row r="116" spans="1:28" ht="12.75" customHeight="1">
      <c r="A116" s="494" t="s">
        <v>549</v>
      </c>
      <c r="B116" s="264">
        <v>1992</v>
      </c>
      <c r="C116" s="357">
        <v>39.61</v>
      </c>
      <c r="D116" s="274">
        <v>40.5</v>
      </c>
      <c r="E116" s="264">
        <v>2908</v>
      </c>
      <c r="F116" s="776">
        <v>39.600999999999999</v>
      </c>
      <c r="G116" s="374">
        <v>-1.9699999999999999E-2</v>
      </c>
      <c r="H116" s="251">
        <v>39.896999999999998</v>
      </c>
      <c r="I116" s="238">
        <v>40.5</v>
      </c>
      <c r="J116" s="238">
        <v>38.5</v>
      </c>
      <c r="K116" s="279">
        <v>40.4</v>
      </c>
      <c r="L116" s="263">
        <v>112227</v>
      </c>
      <c r="M116" s="242">
        <v>284388</v>
      </c>
      <c r="N116" s="263">
        <v>293</v>
      </c>
      <c r="O116" s="319">
        <v>45350.682349537034</v>
      </c>
      <c r="P116" s="329">
        <v>115</v>
      </c>
      <c r="Q116" s="282">
        <v>0</v>
      </c>
      <c r="R116" s="300">
        <v>0</v>
      </c>
      <c r="S116" s="306">
        <v>0</v>
      </c>
      <c r="T116" s="260">
        <v>0</v>
      </c>
      <c r="U116" s="291">
        <v>0</v>
      </c>
      <c r="V116" s="546">
        <v>0</v>
      </c>
      <c r="W116" s="669">
        <f t="shared" ref="W116" si="38">(V116*X116)</f>
        <v>0</v>
      </c>
      <c r="X116" s="617"/>
      <c r="Y116" s="609">
        <f>IF(D116&lt;&gt;0,($C117*(1-$V$1))-$D116,0)</f>
        <v>-0.88000000000000256</v>
      </c>
      <c r="Z116" s="353">
        <f>IFERROR(IF(C116&lt;&gt;"",$Y$1/(D112/100)*(C116/100),""),"")</f>
        <v>99.381881207185899</v>
      </c>
      <c r="AA116" s="449">
        <f>IFERROR($Z$1/(D116/100)*(C112/100),"")</f>
        <v>100135.8024691358</v>
      </c>
      <c r="AB116" s="38"/>
    </row>
    <row r="117" spans="1:28" ht="12.75" customHeight="1">
      <c r="A117" s="539" t="s">
        <v>231</v>
      </c>
      <c r="B117" s="540">
        <v>895</v>
      </c>
      <c r="C117" s="515">
        <v>39.619999999999997</v>
      </c>
      <c r="D117" s="578">
        <v>40.090000000000003</v>
      </c>
      <c r="E117" s="530">
        <v>1253</v>
      </c>
      <c r="F117" s="775">
        <v>39.621000000000002</v>
      </c>
      <c r="G117" s="541">
        <v>-4.4000000000000003E-3</v>
      </c>
      <c r="H117" s="519">
        <v>40.450000000000003</v>
      </c>
      <c r="I117" s="520">
        <v>40.5</v>
      </c>
      <c r="J117" s="520">
        <v>39.000999999999998</v>
      </c>
      <c r="K117" s="544">
        <v>39.799999999999997</v>
      </c>
      <c r="L117" s="506">
        <v>186656</v>
      </c>
      <c r="M117" s="522">
        <v>471338</v>
      </c>
      <c r="N117" s="506">
        <v>428</v>
      </c>
      <c r="O117" s="507">
        <v>45350.708553240744</v>
      </c>
      <c r="P117" s="328">
        <v>116</v>
      </c>
      <c r="Q117" s="508">
        <v>0</v>
      </c>
      <c r="R117" s="542">
        <v>0</v>
      </c>
      <c r="S117" s="510">
        <v>0</v>
      </c>
      <c r="T117" s="525">
        <v>0</v>
      </c>
      <c r="U117" s="491">
        <v>0</v>
      </c>
      <c r="V117" s="547">
        <v>0</v>
      </c>
      <c r="W117" s="672">
        <f>V116*(F116/100)</f>
        <v>0</v>
      </c>
      <c r="X117" s="618"/>
      <c r="Y117" s="610">
        <f>IFERROR(INT($Z$1/(F116/100)),"")</f>
        <v>252</v>
      </c>
      <c r="Z117" s="533">
        <f>IFERROR(IF(C117&lt;&gt;"",$Y$1/(D113/100)*(C117/100),""),"")</f>
        <v>98.849050285931881</v>
      </c>
      <c r="AA117" s="543">
        <f>IFERROR($Z$1/(D117/100)*(C113/100),"")</f>
        <v>101833.37490646045</v>
      </c>
      <c r="AB117" s="38"/>
    </row>
    <row r="118" spans="1:28" ht="12.75" customHeight="1">
      <c r="A118" s="297" t="s">
        <v>541</v>
      </c>
      <c r="B118" s="264">
        <v>57</v>
      </c>
      <c r="C118" s="357">
        <v>46830</v>
      </c>
      <c r="D118" s="274">
        <v>47750</v>
      </c>
      <c r="E118" s="264">
        <v>900</v>
      </c>
      <c r="F118" s="308">
        <v>46970</v>
      </c>
      <c r="G118" s="370">
        <v>-2.06E-2</v>
      </c>
      <c r="H118" s="247">
        <v>47570</v>
      </c>
      <c r="I118" s="239">
        <v>47765</v>
      </c>
      <c r="J118" s="239">
        <v>46285</v>
      </c>
      <c r="K118" s="278">
        <v>47960</v>
      </c>
      <c r="L118" s="269">
        <v>120694328</v>
      </c>
      <c r="M118" s="243">
        <v>256709</v>
      </c>
      <c r="N118" s="269">
        <v>367</v>
      </c>
      <c r="O118" s="317">
        <v>45350.683425925927</v>
      </c>
      <c r="P118" s="329">
        <v>117</v>
      </c>
      <c r="Q118" s="284">
        <v>0</v>
      </c>
      <c r="R118" s="298">
        <v>0</v>
      </c>
      <c r="S118" s="304">
        <v>0</v>
      </c>
      <c r="T118" s="262">
        <v>0</v>
      </c>
      <c r="U118" s="537">
        <v>0</v>
      </c>
      <c r="V118" s="549"/>
      <c r="W118" s="671">
        <f t="shared" ref="W118" si="39">(V118*X118)</f>
        <v>0</v>
      </c>
      <c r="X118" s="620">
        <v>520</v>
      </c>
      <c r="Y118" s="603">
        <f>IF(D118&lt;&gt;0,($C119*(1-$V$1))-$D118,0)</f>
        <v>-650</v>
      </c>
      <c r="Z118" s="577"/>
      <c r="AA118" s="376"/>
      <c r="AB118" s="38"/>
    </row>
    <row r="119" spans="1:28" ht="12.75" customHeight="1">
      <c r="A119" s="296" t="s">
        <v>186</v>
      </c>
      <c r="B119" s="249">
        <v>106</v>
      </c>
      <c r="C119" s="248">
        <v>47100</v>
      </c>
      <c r="D119" s="579">
        <v>47160</v>
      </c>
      <c r="E119" s="580">
        <v>312</v>
      </c>
      <c r="F119" s="250">
        <v>47100</v>
      </c>
      <c r="G119" s="373">
        <v>-9.1000000000000004E-3</v>
      </c>
      <c r="H119" s="246">
        <v>47535</v>
      </c>
      <c r="I119" s="237">
        <v>47800</v>
      </c>
      <c r="J119" s="237">
        <v>46125</v>
      </c>
      <c r="K119" s="276">
        <v>47535</v>
      </c>
      <c r="L119" s="244">
        <v>280925858</v>
      </c>
      <c r="M119" s="241">
        <v>595970</v>
      </c>
      <c r="N119" s="244">
        <v>936</v>
      </c>
      <c r="O119" s="318">
        <v>45350.708611111113</v>
      </c>
      <c r="P119" s="328">
        <v>118</v>
      </c>
      <c r="Q119" s="281">
        <v>0</v>
      </c>
      <c r="R119" s="299">
        <v>0</v>
      </c>
      <c r="S119" s="301">
        <v>0</v>
      </c>
      <c r="T119" s="261">
        <v>0</v>
      </c>
      <c r="U119" s="292">
        <v>0</v>
      </c>
      <c r="V119" s="548">
        <v>0</v>
      </c>
      <c r="W119" s="666">
        <f>V118*(F118/100)</f>
        <v>0</v>
      </c>
      <c r="X119" s="614"/>
      <c r="Y119" s="606">
        <f>IFERROR(INT($Y$1/(F118/100)),"")</f>
        <v>217</v>
      </c>
      <c r="Z119" s="486"/>
      <c r="AA119" s="377"/>
      <c r="AB119" s="38"/>
    </row>
    <row r="120" spans="1:28" ht="12.75" hidden="1" customHeight="1">
      <c r="A120" s="252" t="s">
        <v>542</v>
      </c>
      <c r="B120" s="264">
        <v>100000</v>
      </c>
      <c r="C120" s="357">
        <v>42</v>
      </c>
      <c r="D120" s="274"/>
      <c r="E120" s="264"/>
      <c r="F120" s="776"/>
      <c r="G120" s="374"/>
      <c r="H120" s="251"/>
      <c r="I120" s="238"/>
      <c r="J120" s="238"/>
      <c r="K120" s="279">
        <v>22</v>
      </c>
      <c r="L120" s="263"/>
      <c r="M120" s="242"/>
      <c r="N120" s="263"/>
      <c r="O120" s="319"/>
      <c r="P120" s="329">
        <v>119</v>
      </c>
      <c r="Q120" s="282">
        <v>0</v>
      </c>
      <c r="R120" s="300">
        <v>0</v>
      </c>
      <c r="S120" s="306">
        <v>0</v>
      </c>
      <c r="T120" s="260">
        <v>0</v>
      </c>
      <c r="U120" s="291">
        <v>0</v>
      </c>
      <c r="V120" s="347"/>
      <c r="W120" s="667">
        <f t="shared" ref="W120" si="40">(V120*X120)</f>
        <v>0</v>
      </c>
      <c r="X120" s="615"/>
      <c r="Y120" s="607">
        <f>IF(D120&lt;&gt;0,($C121*(1-$V$1))-$D120,0)</f>
        <v>0</v>
      </c>
      <c r="Z120" s="355">
        <f>IFERROR(IF(C120&lt;&gt;"",$Y$1/(D118/100)*(C120/100),""),"")</f>
        <v>89.93027023219777</v>
      </c>
      <c r="AA120" s="448" t="str">
        <f>IFERROR($AA$1/(D120/100)*(C118/100),"")</f>
        <v/>
      </c>
      <c r="AB120" s="38"/>
    </row>
    <row r="121" spans="1:28" ht="12.75" hidden="1" customHeight="1">
      <c r="A121" s="331" t="s">
        <v>238</v>
      </c>
      <c r="B121" s="249">
        <v>100000</v>
      </c>
      <c r="C121" s="248">
        <v>42</v>
      </c>
      <c r="D121" s="579"/>
      <c r="E121" s="580"/>
      <c r="F121" s="250"/>
      <c r="G121" s="373"/>
      <c r="H121" s="246"/>
      <c r="I121" s="237"/>
      <c r="J121" s="237"/>
      <c r="K121" s="276">
        <v>38</v>
      </c>
      <c r="L121" s="244"/>
      <c r="M121" s="241"/>
      <c r="N121" s="244"/>
      <c r="O121" s="318"/>
      <c r="P121" s="328">
        <v>120</v>
      </c>
      <c r="Q121" s="281">
        <v>0</v>
      </c>
      <c r="R121" s="299">
        <v>0</v>
      </c>
      <c r="S121" s="301">
        <v>0</v>
      </c>
      <c r="T121" s="261">
        <v>0</v>
      </c>
      <c r="U121" s="292">
        <v>0</v>
      </c>
      <c r="V121" s="346">
        <v>0</v>
      </c>
      <c r="W121" s="668">
        <f>V120*(F120/100)</f>
        <v>0</v>
      </c>
      <c r="X121" s="616"/>
      <c r="Y121" s="608" t="str">
        <f>IFERROR(INT($AA$1/(F120/100)),"")</f>
        <v/>
      </c>
      <c r="Z121" s="354">
        <f>IFERROR(IF(C121&lt;&gt;"",$Y$1/(D119/100)*(C121/100),""),"")</f>
        <v>91.055352069284211</v>
      </c>
      <c r="AA121" s="450" t="str">
        <f>IFERROR($AA$1/(D121/100)*(C119/100),"")</f>
        <v/>
      </c>
      <c r="AB121" s="38"/>
    </row>
    <row r="122" spans="1:28" ht="12.75" customHeight="1">
      <c r="A122" s="494" t="s">
        <v>543</v>
      </c>
      <c r="B122" s="264">
        <v>440</v>
      </c>
      <c r="C122" s="357">
        <v>45.4</v>
      </c>
      <c r="D122" s="274">
        <v>46.1</v>
      </c>
      <c r="E122" s="264">
        <v>2000</v>
      </c>
      <c r="F122" s="776">
        <v>45.801000000000002</v>
      </c>
      <c r="G122" s="374">
        <v>3.5999999999999999E-3</v>
      </c>
      <c r="H122" s="251">
        <v>45.100999999999999</v>
      </c>
      <c r="I122" s="238">
        <v>46</v>
      </c>
      <c r="J122" s="238">
        <v>45.1</v>
      </c>
      <c r="K122" s="279">
        <v>45.633000000000003</v>
      </c>
      <c r="L122" s="263">
        <v>23295</v>
      </c>
      <c r="M122" s="242">
        <v>51341</v>
      </c>
      <c r="N122" s="263">
        <v>103</v>
      </c>
      <c r="O122" s="319">
        <v>45350.676539351851</v>
      </c>
      <c r="P122" s="329">
        <v>121</v>
      </c>
      <c r="Q122" s="282">
        <v>0</v>
      </c>
      <c r="R122" s="300">
        <v>0</v>
      </c>
      <c r="S122" s="306">
        <v>0</v>
      </c>
      <c r="T122" s="260">
        <v>0</v>
      </c>
      <c r="U122" s="291">
        <v>0</v>
      </c>
      <c r="V122" s="546"/>
      <c r="W122" s="669">
        <f t="shared" ref="W122" si="41">(V122*X122)</f>
        <v>0</v>
      </c>
      <c r="X122" s="617">
        <v>0.41899999999999998</v>
      </c>
      <c r="Y122" s="609">
        <f>IF(D122&lt;&gt;0,($C123*(1-$V$1))-$D122,0)</f>
        <v>-0.39999999999999858</v>
      </c>
      <c r="Z122" s="353">
        <f>IFERROR(IF(C122&lt;&gt;"",$Y$1/(D118/100)*(C122/100),""),"")</f>
        <v>97.2103397271852</v>
      </c>
      <c r="AA122" s="449">
        <f>IFERROR($Z$1/(D122/100)*(C118/100),"")</f>
        <v>101583.51409978307</v>
      </c>
      <c r="AB122" s="38"/>
    </row>
    <row r="123" spans="1:28" ht="12.75" customHeight="1">
      <c r="A123" s="539" t="s">
        <v>239</v>
      </c>
      <c r="B123" s="540">
        <v>1348</v>
      </c>
      <c r="C123" s="515">
        <v>45.7</v>
      </c>
      <c r="D123" s="578">
        <v>45.99</v>
      </c>
      <c r="E123" s="530">
        <v>1655</v>
      </c>
      <c r="F123" s="775">
        <v>45.99</v>
      </c>
      <c r="G123" s="541">
        <v>1.7399999999999999E-2</v>
      </c>
      <c r="H123" s="519">
        <v>45.2</v>
      </c>
      <c r="I123" s="520">
        <v>46.1</v>
      </c>
      <c r="J123" s="520">
        <v>45.156999999999996</v>
      </c>
      <c r="K123" s="544">
        <v>45.2</v>
      </c>
      <c r="L123" s="506">
        <v>122316</v>
      </c>
      <c r="M123" s="522">
        <v>268812</v>
      </c>
      <c r="N123" s="506">
        <v>327</v>
      </c>
      <c r="O123" s="507">
        <v>45350.708356481482</v>
      </c>
      <c r="P123" s="328">
        <v>122</v>
      </c>
      <c r="Q123" s="508">
        <v>0</v>
      </c>
      <c r="R123" s="542">
        <v>0</v>
      </c>
      <c r="S123" s="510">
        <v>0</v>
      </c>
      <c r="T123" s="525">
        <v>0</v>
      </c>
      <c r="U123" s="491">
        <v>0</v>
      </c>
      <c r="V123" s="547">
        <v>0</v>
      </c>
      <c r="W123" s="673">
        <f>V122*(F122/100)</f>
        <v>0</v>
      </c>
      <c r="X123" s="618"/>
      <c r="Y123" s="610">
        <f>IFERROR(INT($Z$1/(F122/100)),"")</f>
        <v>218</v>
      </c>
      <c r="Z123" s="533">
        <f>IFERROR(IF(C123&lt;&gt;"",$Y$1/(D119/100)*(C123/100),""),"")</f>
        <v>99.076894989673548</v>
      </c>
      <c r="AA123" s="543">
        <f>IFERROR($Z$1/(D123/100)*(C119/100),"")</f>
        <v>102413.56816699282</v>
      </c>
      <c r="AB123" s="38"/>
    </row>
    <row r="124" spans="1:28" ht="12.75" customHeight="1">
      <c r="A124" s="297" t="s">
        <v>544</v>
      </c>
      <c r="B124" s="264">
        <v>1142</v>
      </c>
      <c r="C124" s="357">
        <v>38355</v>
      </c>
      <c r="D124" s="274">
        <v>40000</v>
      </c>
      <c r="E124" s="264">
        <v>3725</v>
      </c>
      <c r="F124" s="308">
        <v>38625</v>
      </c>
      <c r="G124" s="370">
        <v>-3.8E-3</v>
      </c>
      <c r="H124" s="247">
        <v>38800</v>
      </c>
      <c r="I124" s="239">
        <v>39130</v>
      </c>
      <c r="J124" s="239">
        <v>37815</v>
      </c>
      <c r="K124" s="278">
        <v>38775</v>
      </c>
      <c r="L124" s="269">
        <v>1271390032</v>
      </c>
      <c r="M124" s="243">
        <v>3311001</v>
      </c>
      <c r="N124" s="269">
        <v>363</v>
      </c>
      <c r="O124" s="317">
        <v>45350.68240740741</v>
      </c>
      <c r="P124" s="329">
        <v>123</v>
      </c>
      <c r="Q124" s="284">
        <v>0</v>
      </c>
      <c r="R124" s="298">
        <v>0</v>
      </c>
      <c r="S124" s="304">
        <v>0</v>
      </c>
      <c r="T124" s="262">
        <v>0</v>
      </c>
      <c r="U124" s="537">
        <v>0</v>
      </c>
      <c r="V124" s="549"/>
      <c r="W124" s="671">
        <f t="shared" ref="W124" si="42">(V124*X124)</f>
        <v>0</v>
      </c>
      <c r="X124" s="620"/>
      <c r="Y124" s="603">
        <f>IF(D124&lt;&gt;0,($C125*(1-$V$1))-$D124,0)</f>
        <v>-1515</v>
      </c>
      <c r="Z124" s="577"/>
      <c r="AA124" s="376"/>
      <c r="AB124" s="38"/>
    </row>
    <row r="125" spans="1:28" ht="12.75" customHeight="1">
      <c r="A125" s="296" t="s">
        <v>184</v>
      </c>
      <c r="B125" s="249">
        <v>3000</v>
      </c>
      <c r="C125" s="248">
        <v>38485</v>
      </c>
      <c r="D125" s="579">
        <v>38500</v>
      </c>
      <c r="E125" s="580">
        <v>1072</v>
      </c>
      <c r="F125" s="250">
        <v>38485</v>
      </c>
      <c r="G125" s="373">
        <v>-6.8000000000000005E-3</v>
      </c>
      <c r="H125" s="246">
        <v>38750</v>
      </c>
      <c r="I125" s="237">
        <v>39500</v>
      </c>
      <c r="J125" s="237">
        <v>37800</v>
      </c>
      <c r="K125" s="276">
        <v>38750</v>
      </c>
      <c r="L125" s="244">
        <v>690890042</v>
      </c>
      <c r="M125" s="241">
        <v>1791115</v>
      </c>
      <c r="N125" s="244">
        <v>1025</v>
      </c>
      <c r="O125" s="318">
        <v>45350.708553240744</v>
      </c>
      <c r="P125" s="328">
        <v>124</v>
      </c>
      <c r="Q125" s="281">
        <v>0</v>
      </c>
      <c r="R125" s="299">
        <v>0</v>
      </c>
      <c r="S125" s="301">
        <v>0</v>
      </c>
      <c r="T125" s="261">
        <v>0</v>
      </c>
      <c r="U125" s="292">
        <v>0</v>
      </c>
      <c r="V125" s="548">
        <v>0</v>
      </c>
      <c r="W125" s="666">
        <f>V124*(F124/100)</f>
        <v>0</v>
      </c>
      <c r="X125" s="614"/>
      <c r="Y125" s="606">
        <f>IFERROR(INT($Y$1/(F124/100)),"")</f>
        <v>264</v>
      </c>
      <c r="Z125" s="486"/>
      <c r="AA125" s="377"/>
      <c r="AB125" s="38"/>
    </row>
    <row r="126" spans="1:28" ht="12.75" hidden="1" customHeight="1">
      <c r="A126" s="252" t="s">
        <v>545</v>
      </c>
      <c r="B126" s="264">
        <v>100000</v>
      </c>
      <c r="C126" s="357">
        <v>35</v>
      </c>
      <c r="D126" s="274">
        <v>36.5</v>
      </c>
      <c r="E126" s="264">
        <v>100000</v>
      </c>
      <c r="F126" s="776"/>
      <c r="G126" s="374"/>
      <c r="H126" s="251"/>
      <c r="I126" s="238"/>
      <c r="J126" s="238"/>
      <c r="K126" s="279">
        <v>36</v>
      </c>
      <c r="L126" s="263"/>
      <c r="M126" s="242"/>
      <c r="N126" s="263"/>
      <c r="O126" s="319"/>
      <c r="P126" s="329">
        <v>125</v>
      </c>
      <c r="Q126" s="282">
        <v>0</v>
      </c>
      <c r="R126" s="300">
        <v>0</v>
      </c>
      <c r="S126" s="306">
        <v>0</v>
      </c>
      <c r="T126" s="260">
        <v>0</v>
      </c>
      <c r="U126" s="291">
        <v>0</v>
      </c>
      <c r="V126" s="347"/>
      <c r="W126" s="667">
        <f t="shared" ref="W126" si="43">(V126*X126)</f>
        <v>0</v>
      </c>
      <c r="X126" s="615"/>
      <c r="Y126" s="607">
        <f>IF(D126&lt;&gt;0,($C127*(1-$V$1))-$D126,0)</f>
        <v>-36.5</v>
      </c>
      <c r="Z126" s="355">
        <f>IFERROR(IF(C126&lt;&gt;"",$Y$1/(D124/100)*(C126/100),""),"")</f>
        <v>89.461883408071742</v>
      </c>
      <c r="AA126" s="448">
        <f>IFERROR($AA$1/(D126/100)*(C124/100),"")</f>
        <v>105082.19178082192</v>
      </c>
      <c r="AB126" s="38"/>
    </row>
    <row r="127" spans="1:28" ht="12.75" hidden="1" customHeight="1">
      <c r="A127" s="331" t="s">
        <v>240</v>
      </c>
      <c r="B127" s="249"/>
      <c r="C127" s="248"/>
      <c r="D127" s="579"/>
      <c r="E127" s="580"/>
      <c r="F127" s="250"/>
      <c r="G127" s="373"/>
      <c r="H127" s="246"/>
      <c r="I127" s="237"/>
      <c r="J127" s="237"/>
      <c r="K127" s="276">
        <v>32.188000000000002</v>
      </c>
      <c r="L127" s="244"/>
      <c r="M127" s="241"/>
      <c r="N127" s="244"/>
      <c r="O127" s="318"/>
      <c r="P127" s="328">
        <v>126</v>
      </c>
      <c r="Q127" s="281">
        <v>0</v>
      </c>
      <c r="R127" s="299">
        <v>0</v>
      </c>
      <c r="S127" s="301">
        <v>0</v>
      </c>
      <c r="T127" s="261">
        <v>0</v>
      </c>
      <c r="U127" s="292">
        <v>0</v>
      </c>
      <c r="V127" s="346">
        <v>0</v>
      </c>
      <c r="W127" s="668">
        <f>V126*(F126/100)</f>
        <v>0</v>
      </c>
      <c r="X127" s="616"/>
      <c r="Y127" s="608" t="str">
        <f>IFERROR(INT($AA$1/(F126/100)),"")</f>
        <v/>
      </c>
      <c r="Z127" s="354" t="str">
        <f>IFERROR(IF(C127&lt;&gt;"",$Y$1/(D125/100)*(C127/100),""),"")</f>
        <v/>
      </c>
      <c r="AA127" s="450" t="str">
        <f>IFERROR($AA$1/(D127/100)*(C125/100),"")</f>
        <v/>
      </c>
      <c r="AB127" s="38"/>
    </row>
    <row r="128" spans="1:28" ht="12.75" customHeight="1">
      <c r="A128" s="494" t="s">
        <v>546</v>
      </c>
      <c r="B128" s="264">
        <v>593</v>
      </c>
      <c r="C128" s="357">
        <v>37.15</v>
      </c>
      <c r="D128" s="274">
        <v>37.700000000000003</v>
      </c>
      <c r="E128" s="264">
        <v>60</v>
      </c>
      <c r="F128" s="776">
        <v>37.463999999999999</v>
      </c>
      <c r="G128" s="374">
        <v>7.6E-3</v>
      </c>
      <c r="H128" s="251">
        <v>37.200000000000003</v>
      </c>
      <c r="I128" s="238">
        <v>37.689</v>
      </c>
      <c r="J128" s="238">
        <v>36.457000000000001</v>
      </c>
      <c r="K128" s="279">
        <v>37.18</v>
      </c>
      <c r="L128" s="263">
        <v>62189</v>
      </c>
      <c r="M128" s="242">
        <v>167633</v>
      </c>
      <c r="N128" s="263">
        <v>152</v>
      </c>
      <c r="O128" s="319">
        <v>45350.679050925923</v>
      </c>
      <c r="P128" s="329">
        <v>127</v>
      </c>
      <c r="Q128" s="282">
        <v>0</v>
      </c>
      <c r="R128" s="300">
        <v>0</v>
      </c>
      <c r="S128" s="306">
        <v>0</v>
      </c>
      <c r="T128" s="260">
        <v>0</v>
      </c>
      <c r="U128" s="291">
        <v>0</v>
      </c>
      <c r="V128" s="546">
        <v>0</v>
      </c>
      <c r="W128" s="669">
        <f t="shared" ref="W128" si="44">(V128*X128)</f>
        <v>0</v>
      </c>
      <c r="X128" s="617">
        <v>0.34899999999999998</v>
      </c>
      <c r="Y128" s="609">
        <f>IF(D128&lt;&gt;0,($C129*(1-$V$1))-$D128,0)</f>
        <v>-0.15000000000000568</v>
      </c>
      <c r="Z128" s="353">
        <f>IFERROR(IF(C128&lt;&gt;"",$Y$1/(D124/100)*(C128/100),""),"")</f>
        <v>94.957399103139011</v>
      </c>
      <c r="AA128" s="449">
        <f>IFERROR($Z$1/(D128/100)*(C124/100),"")</f>
        <v>101737.40053050398</v>
      </c>
      <c r="AB128" s="38"/>
    </row>
    <row r="129" spans="1:28" ht="12.75" customHeight="1">
      <c r="A129" s="539" t="s">
        <v>241</v>
      </c>
      <c r="B129" s="540">
        <v>19973</v>
      </c>
      <c r="C129" s="515">
        <v>37.549999999999997</v>
      </c>
      <c r="D129" s="578">
        <v>37.700000000000003</v>
      </c>
      <c r="E129" s="530">
        <v>80172</v>
      </c>
      <c r="F129" s="775">
        <v>37.549999999999997</v>
      </c>
      <c r="G129" s="541">
        <v>1.21E-2</v>
      </c>
      <c r="H129" s="519">
        <v>37.1</v>
      </c>
      <c r="I129" s="520">
        <v>37.700000000000003</v>
      </c>
      <c r="J129" s="520">
        <v>36.450000000000003</v>
      </c>
      <c r="K129" s="544">
        <v>37.1</v>
      </c>
      <c r="L129" s="506">
        <v>137915</v>
      </c>
      <c r="M129" s="522">
        <v>371716</v>
      </c>
      <c r="N129" s="506">
        <v>288</v>
      </c>
      <c r="O129" s="507">
        <v>45350.708541666667</v>
      </c>
      <c r="P129" s="328">
        <v>128</v>
      </c>
      <c r="Q129" s="508">
        <v>0</v>
      </c>
      <c r="R129" s="542">
        <v>0</v>
      </c>
      <c r="S129" s="510">
        <v>0</v>
      </c>
      <c r="T129" s="525">
        <v>0</v>
      </c>
      <c r="U129" s="491">
        <v>0</v>
      </c>
      <c r="V129" s="547">
        <v>0</v>
      </c>
      <c r="W129" s="672">
        <f>V128*(F128/100)</f>
        <v>0</v>
      </c>
      <c r="X129" s="618"/>
      <c r="Y129" s="610">
        <f>IFERROR(INT($Z$1/(F128/100)),"")</f>
        <v>266</v>
      </c>
      <c r="Z129" s="533">
        <f>IFERROR(IF(C129&lt;&gt;"",$Y$1/(D125/100)*(C129/100),""),"")</f>
        <v>99.719294158756028</v>
      </c>
      <c r="AA129" s="543">
        <f>IFERROR($Z$1/(D129/100)*(C125/100),"")</f>
        <v>102082.22811671089</v>
      </c>
      <c r="AB129" s="38"/>
    </row>
    <row r="130" spans="1:28" ht="12.75" customHeight="1">
      <c r="A130" s="297" t="s">
        <v>550</v>
      </c>
      <c r="B130" s="264">
        <v>277</v>
      </c>
      <c r="C130" s="357">
        <v>36040</v>
      </c>
      <c r="D130" s="274">
        <v>37900</v>
      </c>
      <c r="E130" s="264">
        <v>2000</v>
      </c>
      <c r="F130" s="308">
        <v>37900</v>
      </c>
      <c r="G130" s="370">
        <v>1.55E-2</v>
      </c>
      <c r="H130" s="247">
        <v>37500</v>
      </c>
      <c r="I130" s="239">
        <v>37900</v>
      </c>
      <c r="J130" s="239">
        <v>35010</v>
      </c>
      <c r="K130" s="278">
        <v>37320</v>
      </c>
      <c r="L130" s="269">
        <v>106317267</v>
      </c>
      <c r="M130" s="243">
        <v>288751</v>
      </c>
      <c r="N130" s="269">
        <v>335</v>
      </c>
      <c r="O130" s="317">
        <v>45350.687708333331</v>
      </c>
      <c r="P130" s="329">
        <v>129</v>
      </c>
      <c r="Q130" s="284">
        <v>0</v>
      </c>
      <c r="R130" s="298">
        <v>0</v>
      </c>
      <c r="S130" s="304">
        <v>0</v>
      </c>
      <c r="T130" s="262">
        <v>0</v>
      </c>
      <c r="U130" s="537">
        <v>0</v>
      </c>
      <c r="V130" s="549"/>
      <c r="W130" s="671">
        <f t="shared" ref="W130" si="45">(V130*X130)</f>
        <v>0</v>
      </c>
      <c r="X130" s="620"/>
      <c r="Y130" s="603">
        <f>IF(D130&lt;&gt;0,($C131*(1-$V$1))-$D130,0)</f>
        <v>-100</v>
      </c>
      <c r="Z130" s="577"/>
      <c r="AA130" s="376"/>
      <c r="AB130" s="38"/>
    </row>
    <row r="131" spans="1:28" ht="12.75" customHeight="1">
      <c r="A131" s="296" t="s">
        <v>185</v>
      </c>
      <c r="B131" s="249">
        <v>798</v>
      </c>
      <c r="C131" s="248">
        <v>37800</v>
      </c>
      <c r="D131" s="579">
        <v>37900</v>
      </c>
      <c r="E131" s="580">
        <v>4450</v>
      </c>
      <c r="F131" s="250">
        <v>37800</v>
      </c>
      <c r="G131" s="373">
        <v>8.0000000000000002E-3</v>
      </c>
      <c r="H131" s="246">
        <v>37500</v>
      </c>
      <c r="I131" s="237">
        <v>38000</v>
      </c>
      <c r="J131" s="237">
        <v>36500</v>
      </c>
      <c r="K131" s="276">
        <v>37500</v>
      </c>
      <c r="L131" s="244">
        <v>404979204</v>
      </c>
      <c r="M131" s="241">
        <v>1091253</v>
      </c>
      <c r="N131" s="244">
        <v>870</v>
      </c>
      <c r="O131" s="318">
        <v>45350.70857638889</v>
      </c>
      <c r="P131" s="328">
        <v>130</v>
      </c>
      <c r="Q131" s="281">
        <v>0</v>
      </c>
      <c r="R131" s="299">
        <v>0</v>
      </c>
      <c r="S131" s="301">
        <v>0</v>
      </c>
      <c r="T131" s="261">
        <v>0</v>
      </c>
      <c r="U131" s="292">
        <v>0</v>
      </c>
      <c r="V131" s="548">
        <v>0</v>
      </c>
      <c r="W131" s="666">
        <f>V130*(F130/100)</f>
        <v>0</v>
      </c>
      <c r="X131" s="614"/>
      <c r="Y131" s="606">
        <f>IFERROR(INT($Y$1/(F130/100)),"")</f>
        <v>269</v>
      </c>
      <c r="Z131" s="486"/>
      <c r="AA131" s="377"/>
      <c r="AB131" s="38"/>
    </row>
    <row r="132" spans="1:28" ht="12.75" hidden="1" customHeight="1">
      <c r="A132" s="252" t="s">
        <v>551</v>
      </c>
      <c r="B132" s="264"/>
      <c r="C132" s="357"/>
      <c r="D132" s="274"/>
      <c r="E132" s="264"/>
      <c r="F132" s="776"/>
      <c r="G132" s="374"/>
      <c r="H132" s="251"/>
      <c r="I132" s="238"/>
      <c r="J132" s="238"/>
      <c r="K132" s="279">
        <v>23.22</v>
      </c>
      <c r="L132" s="263"/>
      <c r="M132" s="242"/>
      <c r="N132" s="263"/>
      <c r="O132" s="319"/>
      <c r="P132" s="329">
        <v>131</v>
      </c>
      <c r="Q132" s="282">
        <v>0</v>
      </c>
      <c r="R132" s="300">
        <v>0</v>
      </c>
      <c r="S132" s="306">
        <v>0</v>
      </c>
      <c r="T132" s="260">
        <v>0</v>
      </c>
      <c r="U132" s="291">
        <v>0</v>
      </c>
      <c r="V132" s="347"/>
      <c r="W132" s="667">
        <f t="shared" ref="W132" si="46">(V132*X132)</f>
        <v>0</v>
      </c>
      <c r="X132" s="615"/>
      <c r="Y132" s="607">
        <f>IF(D132&lt;&gt;0,($C133*(1-$V$1))-$D132,0)</f>
        <v>0</v>
      </c>
      <c r="Z132" s="355" t="str">
        <f>IFERROR(IF(C132&lt;&gt;"",$Y$1/(D130/100)*(C132/100),""),"")</f>
        <v/>
      </c>
      <c r="AA132" s="448" t="str">
        <f>IFERROR($AA$1/(D132/100)*(C130/100),"")</f>
        <v/>
      </c>
      <c r="AB132" s="38"/>
    </row>
    <row r="133" spans="1:28" ht="12.75" hidden="1" customHeight="1">
      <c r="A133" s="331" t="s">
        <v>242</v>
      </c>
      <c r="B133" s="249"/>
      <c r="C133" s="248"/>
      <c r="D133" s="579"/>
      <c r="E133" s="580"/>
      <c r="F133" s="250"/>
      <c r="G133" s="373"/>
      <c r="H133" s="246"/>
      <c r="I133" s="237"/>
      <c r="J133" s="237"/>
      <c r="K133" s="276">
        <v>26</v>
      </c>
      <c r="L133" s="244"/>
      <c r="M133" s="241"/>
      <c r="N133" s="244"/>
      <c r="O133" s="318"/>
      <c r="P133" s="328">
        <v>132</v>
      </c>
      <c r="Q133" s="281">
        <v>0</v>
      </c>
      <c r="R133" s="299">
        <v>0</v>
      </c>
      <c r="S133" s="301">
        <v>0</v>
      </c>
      <c r="T133" s="261">
        <v>0</v>
      </c>
      <c r="U133" s="292">
        <v>0</v>
      </c>
      <c r="V133" s="346">
        <v>0</v>
      </c>
      <c r="W133" s="668">
        <f>V132*(F132/100)</f>
        <v>0</v>
      </c>
      <c r="X133" s="616"/>
      <c r="Y133" s="608" t="str">
        <f>IFERROR(INT($AA$1/(F132/100)),"")</f>
        <v/>
      </c>
      <c r="Z133" s="354" t="str">
        <f>IFERROR(IF(C133&lt;&gt;"",$Y$1/(D131/100)*(C133/100),""),"")</f>
        <v/>
      </c>
      <c r="AA133" s="450" t="str">
        <f>IFERROR($AA$1/(D133/100)*(C131/100),"")</f>
        <v/>
      </c>
      <c r="AB133" s="38"/>
    </row>
    <row r="134" spans="1:28" ht="12.75" customHeight="1">
      <c r="A134" s="494" t="s">
        <v>552</v>
      </c>
      <c r="B134" s="264">
        <v>486</v>
      </c>
      <c r="C134" s="357">
        <v>36</v>
      </c>
      <c r="D134" s="274">
        <v>36.700000000000003</v>
      </c>
      <c r="E134" s="264">
        <v>4116</v>
      </c>
      <c r="F134" s="776">
        <v>37</v>
      </c>
      <c r="G134" s="374">
        <v>2.7699999999999999E-2</v>
      </c>
      <c r="H134" s="251">
        <v>35.194000000000003</v>
      </c>
      <c r="I134" s="238">
        <v>37</v>
      </c>
      <c r="J134" s="238">
        <v>35.194000000000003</v>
      </c>
      <c r="K134" s="279">
        <v>36</v>
      </c>
      <c r="L134" s="263">
        <v>61493</v>
      </c>
      <c r="M134" s="242">
        <v>170998</v>
      </c>
      <c r="N134" s="263">
        <v>209</v>
      </c>
      <c r="O134" s="319">
        <v>45350.666261574072</v>
      </c>
      <c r="P134" s="329">
        <v>133</v>
      </c>
      <c r="Q134" s="282">
        <v>0</v>
      </c>
      <c r="R134" s="300">
        <v>0</v>
      </c>
      <c r="S134" s="306">
        <v>0</v>
      </c>
      <c r="T134" s="260">
        <v>0</v>
      </c>
      <c r="U134" s="291">
        <v>0</v>
      </c>
      <c r="V134" s="546">
        <v>0</v>
      </c>
      <c r="W134" s="669">
        <f t="shared" ref="W134" si="47">(V134*X134)</f>
        <v>0</v>
      </c>
      <c r="X134" s="617"/>
      <c r="Y134" s="609">
        <f>IF(D134&lt;&gt;0,($C135*(1-$V$1))-$D134,0)</f>
        <v>-0.35000000000000142</v>
      </c>
      <c r="Z134" s="353">
        <f>IFERROR(IF(C134&lt;&gt;"",$Y$1/(D130/100)*(C134/100),""),"")</f>
        <v>97.116556432433711</v>
      </c>
      <c r="AA134" s="449">
        <f>IFERROR($Z$1/(D134/100)*(C130/100),"")</f>
        <v>98201.634877384175</v>
      </c>
      <c r="AB134" s="38"/>
    </row>
    <row r="135" spans="1:28" ht="12.75" customHeight="1">
      <c r="A135" s="539" t="s">
        <v>243</v>
      </c>
      <c r="B135" s="540">
        <v>25320</v>
      </c>
      <c r="C135" s="515">
        <v>36.35</v>
      </c>
      <c r="D135" s="578">
        <v>36.75</v>
      </c>
      <c r="E135" s="530">
        <v>200</v>
      </c>
      <c r="F135" s="775">
        <v>36.25</v>
      </c>
      <c r="G135" s="541">
        <v>1.2500000000000001E-2</v>
      </c>
      <c r="H135" s="519">
        <v>35.799999999999997</v>
      </c>
      <c r="I135" s="520">
        <v>36.590000000000003</v>
      </c>
      <c r="J135" s="520">
        <v>35.200000000000003</v>
      </c>
      <c r="K135" s="544">
        <v>35.799999999999997</v>
      </c>
      <c r="L135" s="506">
        <v>47264</v>
      </c>
      <c r="M135" s="522">
        <v>132180</v>
      </c>
      <c r="N135" s="506">
        <v>174</v>
      </c>
      <c r="O135" s="507">
        <v>45350.69494212963</v>
      </c>
      <c r="P135" s="328">
        <v>134</v>
      </c>
      <c r="Q135" s="508">
        <v>0</v>
      </c>
      <c r="R135" s="542">
        <v>0</v>
      </c>
      <c r="S135" s="510">
        <v>0</v>
      </c>
      <c r="T135" s="525">
        <v>0</v>
      </c>
      <c r="U135" s="491">
        <v>0</v>
      </c>
      <c r="V135" s="547">
        <v>0</v>
      </c>
      <c r="W135" s="672">
        <f>V134*(F134/100)</f>
        <v>0</v>
      </c>
      <c r="X135" s="618"/>
      <c r="Y135" s="610">
        <f>IFERROR(INT($Z$1/(F134/100)),"")</f>
        <v>270</v>
      </c>
      <c r="Z135" s="533">
        <f>IFERROR(IF(C135&lt;&gt;"",$Y$1/(D131/100)*(C135/100),""),"")</f>
        <v>98.060745175526819</v>
      </c>
      <c r="AA135" s="543">
        <f>IFERROR($Z$1/(D135/100)*(C131/100),"")</f>
        <v>102857.14285714287</v>
      </c>
      <c r="AB135" s="38"/>
    </row>
    <row r="136" spans="1:28" ht="12.75" customHeight="1">
      <c r="A136" s="297" t="s">
        <v>553</v>
      </c>
      <c r="B136" s="264">
        <v>1351</v>
      </c>
      <c r="C136" s="357">
        <v>48445</v>
      </c>
      <c r="D136" s="274">
        <v>49600</v>
      </c>
      <c r="E136" s="264">
        <v>78</v>
      </c>
      <c r="F136" s="308">
        <v>49600</v>
      </c>
      <c r="G136" s="370">
        <v>-2E-3</v>
      </c>
      <c r="H136" s="247">
        <v>49570</v>
      </c>
      <c r="I136" s="239">
        <v>52500</v>
      </c>
      <c r="J136" s="239">
        <v>48215</v>
      </c>
      <c r="K136" s="278">
        <v>49700</v>
      </c>
      <c r="L136" s="269">
        <v>86906148</v>
      </c>
      <c r="M136" s="243">
        <v>177057</v>
      </c>
      <c r="N136" s="269">
        <v>123</v>
      </c>
      <c r="O136" s="317">
        <v>45350.687731481485</v>
      </c>
      <c r="P136" s="329">
        <v>135</v>
      </c>
      <c r="Q136" s="284">
        <v>0</v>
      </c>
      <c r="R136" s="298">
        <v>0</v>
      </c>
      <c r="S136" s="304">
        <v>0</v>
      </c>
      <c r="T136" s="262">
        <v>0</v>
      </c>
      <c r="U136" s="537">
        <v>0</v>
      </c>
      <c r="V136" s="549"/>
      <c r="W136" s="671">
        <f t="shared" ref="W136" si="48">(V136*X136)</f>
        <v>0</v>
      </c>
      <c r="X136" s="620"/>
      <c r="Y136" s="603">
        <f>IF(D136&lt;&gt;0,($C137*(1-$V$1))-$D136,0)</f>
        <v>-400</v>
      </c>
      <c r="Z136" s="577"/>
      <c r="AA136" s="376"/>
      <c r="AB136" s="38"/>
    </row>
    <row r="137" spans="1:28" ht="12.75" customHeight="1">
      <c r="A137" s="296" t="s">
        <v>187</v>
      </c>
      <c r="B137" s="249">
        <v>4702</v>
      </c>
      <c r="C137" s="248">
        <v>49200</v>
      </c>
      <c r="D137" s="579">
        <v>49800</v>
      </c>
      <c r="E137" s="580">
        <v>1000</v>
      </c>
      <c r="F137" s="250">
        <v>49795</v>
      </c>
      <c r="G137" s="373">
        <v>-2.0999999999999999E-3</v>
      </c>
      <c r="H137" s="246">
        <v>49800</v>
      </c>
      <c r="I137" s="237">
        <v>50500</v>
      </c>
      <c r="J137" s="237">
        <v>48450</v>
      </c>
      <c r="K137" s="276">
        <v>49900</v>
      </c>
      <c r="L137" s="244">
        <v>203549351</v>
      </c>
      <c r="M137" s="241">
        <v>414717</v>
      </c>
      <c r="N137" s="244">
        <v>251</v>
      </c>
      <c r="O137" s="318">
        <v>45350.708611111113</v>
      </c>
      <c r="P137" s="328">
        <v>136</v>
      </c>
      <c r="Q137" s="281">
        <v>0</v>
      </c>
      <c r="R137" s="299">
        <v>0</v>
      </c>
      <c r="S137" s="301">
        <v>0</v>
      </c>
      <c r="T137" s="261">
        <v>0</v>
      </c>
      <c r="U137" s="292">
        <v>0</v>
      </c>
      <c r="V137" s="548">
        <v>0</v>
      </c>
      <c r="W137" s="666">
        <f>V136*(F136/100)</f>
        <v>0</v>
      </c>
      <c r="X137" s="614"/>
      <c r="Y137" s="606">
        <f>IFERROR(INT($Y$1/(F136/100)),"")</f>
        <v>206</v>
      </c>
      <c r="Z137" s="486"/>
      <c r="AA137" s="377"/>
      <c r="AB137" s="38"/>
    </row>
    <row r="138" spans="1:28" ht="12.75" hidden="1" customHeight="1">
      <c r="A138" s="252" t="s">
        <v>554</v>
      </c>
      <c r="B138" s="264"/>
      <c r="C138" s="357"/>
      <c r="D138" s="274"/>
      <c r="E138" s="264"/>
      <c r="F138" s="776"/>
      <c r="G138" s="374"/>
      <c r="H138" s="251"/>
      <c r="I138" s="238"/>
      <c r="J138" s="238"/>
      <c r="K138" s="279">
        <v>23.3</v>
      </c>
      <c r="L138" s="263"/>
      <c r="M138" s="242"/>
      <c r="N138" s="263"/>
      <c r="O138" s="319"/>
      <c r="P138" s="329">
        <v>137</v>
      </c>
      <c r="Q138" s="282">
        <v>0</v>
      </c>
      <c r="R138" s="300">
        <v>0</v>
      </c>
      <c r="S138" s="306">
        <v>0</v>
      </c>
      <c r="T138" s="260">
        <v>0</v>
      </c>
      <c r="U138" s="291">
        <v>0</v>
      </c>
      <c r="V138" s="347"/>
      <c r="W138" s="667">
        <f t="shared" ref="W138" si="49">(V138*X138)</f>
        <v>0</v>
      </c>
      <c r="X138" s="615"/>
      <c r="Y138" s="607">
        <f>IF(D138&lt;&gt;0,($C139*(1-$V$1))-$D138,0)</f>
        <v>0</v>
      </c>
      <c r="Z138" s="355" t="str">
        <f>IFERROR(IF(C138&lt;&gt;"",$Y$1/(D136/100)*(C138/100),""),"")</f>
        <v/>
      </c>
      <c r="AA138" s="448" t="str">
        <f>IFERROR($Z$1/(D138/100)*(C136/100),"")</f>
        <v/>
      </c>
      <c r="AB138" s="38"/>
    </row>
    <row r="139" spans="1:28" ht="12.75" hidden="1" customHeight="1">
      <c r="A139" s="331" t="s">
        <v>232</v>
      </c>
      <c r="B139" s="249"/>
      <c r="C139" s="248"/>
      <c r="D139" s="579"/>
      <c r="E139" s="580"/>
      <c r="F139" s="250"/>
      <c r="G139" s="373"/>
      <c r="H139" s="246"/>
      <c r="I139" s="237"/>
      <c r="J139" s="237"/>
      <c r="K139" s="276">
        <v>40</v>
      </c>
      <c r="L139" s="244"/>
      <c r="M139" s="241"/>
      <c r="N139" s="244"/>
      <c r="O139" s="318"/>
      <c r="P139" s="328">
        <v>138</v>
      </c>
      <c r="Q139" s="281">
        <v>0</v>
      </c>
      <c r="R139" s="299">
        <v>0</v>
      </c>
      <c r="S139" s="301">
        <v>0</v>
      </c>
      <c r="T139" s="261">
        <v>0</v>
      </c>
      <c r="U139" s="292">
        <v>0</v>
      </c>
      <c r="V139" s="346">
        <v>0</v>
      </c>
      <c r="W139" s="668">
        <f>V138*(F138/100)</f>
        <v>0</v>
      </c>
      <c r="X139" s="616"/>
      <c r="Y139" s="608" t="str">
        <f>IFERROR(INT($AA$1/(F138/100)),"")</f>
        <v/>
      </c>
      <c r="Z139" s="354" t="str">
        <f>IFERROR(IF(C139&lt;&gt;"",$Y$1/(D137/100)*(C139/100),""),"")</f>
        <v/>
      </c>
      <c r="AA139" s="450" t="str">
        <f>IFERROR($Z$1/(D139/100)*(C137/100),"")</f>
        <v/>
      </c>
      <c r="AB139" s="38"/>
    </row>
    <row r="140" spans="1:28" ht="12.75" customHeight="1">
      <c r="A140" s="494" t="s">
        <v>555</v>
      </c>
      <c r="B140" s="264">
        <v>318</v>
      </c>
      <c r="C140" s="357">
        <v>47.12</v>
      </c>
      <c r="D140" s="274">
        <v>49</v>
      </c>
      <c r="E140" s="264">
        <v>924</v>
      </c>
      <c r="F140" s="776">
        <v>49</v>
      </c>
      <c r="G140" s="374">
        <v>2.9300000000000003E-2</v>
      </c>
      <c r="H140" s="251">
        <v>47</v>
      </c>
      <c r="I140" s="238">
        <v>49</v>
      </c>
      <c r="J140" s="238">
        <v>46.8</v>
      </c>
      <c r="K140" s="279">
        <v>47.600999999999999</v>
      </c>
      <c r="L140" s="263">
        <v>24031</v>
      </c>
      <c r="M140" s="242">
        <v>50776</v>
      </c>
      <c r="N140" s="263">
        <v>40</v>
      </c>
      <c r="O140" s="319">
        <v>45350.662719907406</v>
      </c>
      <c r="P140" s="329">
        <v>139</v>
      </c>
      <c r="Q140" s="282">
        <v>0</v>
      </c>
      <c r="R140" s="300">
        <v>0</v>
      </c>
      <c r="S140" s="306">
        <v>0</v>
      </c>
      <c r="T140" s="260">
        <v>0</v>
      </c>
      <c r="U140" s="291">
        <v>0</v>
      </c>
      <c r="V140" s="546">
        <v>0</v>
      </c>
      <c r="W140" s="669">
        <f t="shared" ref="W140" si="50">(V140*X140)</f>
        <v>0</v>
      </c>
      <c r="X140" s="617"/>
      <c r="Y140" s="609">
        <f>IF(D140&lt;&gt;0,($C141*(1-$V$1))-$D140,0)</f>
        <v>-1.25</v>
      </c>
      <c r="Z140" s="353">
        <f>IFERROR(IF(C140&lt;&gt;"",$Y$1/(D136/100)*(C140/100),""),"")</f>
        <v>97.130044843049319</v>
      </c>
      <c r="AA140" s="449">
        <f>IFERROR($Z$1/(D140/100)*(C136/100),"")</f>
        <v>98867.346938775518</v>
      </c>
      <c r="AB140" s="38"/>
    </row>
    <row r="141" spans="1:28" ht="12.75" customHeight="1">
      <c r="A141" s="539" t="s">
        <v>233</v>
      </c>
      <c r="B141" s="540">
        <v>1000</v>
      </c>
      <c r="C141" s="515">
        <v>47.75</v>
      </c>
      <c r="D141" s="578">
        <v>48.55</v>
      </c>
      <c r="E141" s="530">
        <v>867</v>
      </c>
      <c r="F141" s="775">
        <v>47.752000000000002</v>
      </c>
      <c r="G141" s="541">
        <v>-5.1000000000000004E-3</v>
      </c>
      <c r="H141" s="519">
        <v>47.5</v>
      </c>
      <c r="I141" s="520">
        <v>48.7</v>
      </c>
      <c r="J141" s="520">
        <v>46.75</v>
      </c>
      <c r="K141" s="544">
        <v>48</v>
      </c>
      <c r="L141" s="506">
        <v>13668</v>
      </c>
      <c r="M141" s="522">
        <v>28786</v>
      </c>
      <c r="N141" s="506">
        <v>38</v>
      </c>
      <c r="O141" s="507">
        <v>45350.697222222225</v>
      </c>
      <c r="P141" s="328">
        <v>140</v>
      </c>
      <c r="Q141" s="508">
        <v>0</v>
      </c>
      <c r="R141" s="542">
        <v>0</v>
      </c>
      <c r="S141" s="510">
        <v>0</v>
      </c>
      <c r="T141" s="525">
        <v>0</v>
      </c>
      <c r="U141" s="491">
        <v>0</v>
      </c>
      <c r="V141" s="547">
        <v>0</v>
      </c>
      <c r="W141" s="672">
        <f>V140*(F140/100)</f>
        <v>0</v>
      </c>
      <c r="X141" s="618"/>
      <c r="Y141" s="610">
        <f>IFERROR(INT($Z$1/(F140/100)),"")</f>
        <v>204</v>
      </c>
      <c r="Z141" s="533">
        <f>IFERROR(IF(C141&lt;&gt;"",$Y$1/(D137/100)*(C141/100),""),"")</f>
        <v>98.03338916202928</v>
      </c>
      <c r="AA141" s="543">
        <f>IFERROR($Z$1/(D141/100)*(C137/100),"")</f>
        <v>101338.82595262617</v>
      </c>
      <c r="AB141" s="38"/>
    </row>
    <row r="142" spans="1:28" ht="12.75" customHeight="1">
      <c r="A142" s="297" t="s">
        <v>556</v>
      </c>
      <c r="B142" s="264">
        <v>37</v>
      </c>
      <c r="C142" s="357">
        <v>39585</v>
      </c>
      <c r="D142" s="274">
        <v>39900</v>
      </c>
      <c r="E142" s="264">
        <v>1</v>
      </c>
      <c r="F142" s="308">
        <v>39700</v>
      </c>
      <c r="G142" s="370">
        <v>-3.7000000000000002E-3</v>
      </c>
      <c r="H142" s="247">
        <v>40000</v>
      </c>
      <c r="I142" s="239">
        <v>40500</v>
      </c>
      <c r="J142" s="239">
        <v>37950</v>
      </c>
      <c r="K142" s="278">
        <v>39850</v>
      </c>
      <c r="L142" s="269">
        <v>284534267</v>
      </c>
      <c r="M142" s="243">
        <v>721961</v>
      </c>
      <c r="N142" s="269">
        <v>527</v>
      </c>
      <c r="O142" s="317">
        <v>45350.68482638889</v>
      </c>
      <c r="P142" s="329">
        <v>141</v>
      </c>
      <c r="Q142" s="284">
        <v>0</v>
      </c>
      <c r="R142" s="298">
        <v>0</v>
      </c>
      <c r="S142" s="304">
        <v>0</v>
      </c>
      <c r="T142" s="262">
        <v>0</v>
      </c>
      <c r="U142" s="537">
        <v>0</v>
      </c>
      <c r="V142" s="549"/>
      <c r="W142" s="671">
        <f t="shared" ref="W142" si="51">(V142*X142)</f>
        <v>0</v>
      </c>
      <c r="X142" s="620"/>
      <c r="Y142" s="603">
        <f>IF(D142&lt;&gt;0,($C143*(1-$V$1))-$D142,0)</f>
        <v>-65</v>
      </c>
      <c r="Z142" s="577"/>
      <c r="AA142" s="376"/>
      <c r="AB142" s="38"/>
    </row>
    <row r="143" spans="1:28" ht="12.75" customHeight="1">
      <c r="A143" s="296" t="s">
        <v>164</v>
      </c>
      <c r="B143" s="249">
        <v>54</v>
      </c>
      <c r="C143" s="248">
        <v>39835</v>
      </c>
      <c r="D143" s="579">
        <v>40050</v>
      </c>
      <c r="E143" s="580">
        <v>189611</v>
      </c>
      <c r="F143" s="250">
        <v>39835</v>
      </c>
      <c r="G143" s="373">
        <v>-4.0999999999999995E-3</v>
      </c>
      <c r="H143" s="246">
        <v>39950</v>
      </c>
      <c r="I143" s="237">
        <v>40995</v>
      </c>
      <c r="J143" s="237">
        <v>37505</v>
      </c>
      <c r="K143" s="276">
        <v>40000</v>
      </c>
      <c r="L143" s="244">
        <v>3645328256</v>
      </c>
      <c r="M143" s="241">
        <v>9183906</v>
      </c>
      <c r="N143" s="244">
        <v>1304</v>
      </c>
      <c r="O143" s="318">
        <v>45350.708425925928</v>
      </c>
      <c r="P143" s="328">
        <v>142</v>
      </c>
      <c r="Q143" s="281">
        <v>0</v>
      </c>
      <c r="R143" s="299">
        <v>0</v>
      </c>
      <c r="S143" s="301">
        <v>0</v>
      </c>
      <c r="T143" s="261">
        <v>0</v>
      </c>
      <c r="U143" s="292">
        <v>0</v>
      </c>
      <c r="V143" s="548">
        <v>0</v>
      </c>
      <c r="W143" s="666">
        <f>V142*(F142/100)</f>
        <v>0</v>
      </c>
      <c r="X143" s="614"/>
      <c r="Y143" s="606">
        <f>IFERROR(INT($Y$1/(F142/100)),"")</f>
        <v>257</v>
      </c>
      <c r="Z143" s="486"/>
      <c r="AA143" s="377"/>
      <c r="AB143" s="38"/>
    </row>
    <row r="144" spans="1:28" ht="12.75" hidden="1" customHeight="1">
      <c r="A144" s="252" t="s">
        <v>557</v>
      </c>
      <c r="B144" s="264"/>
      <c r="C144" s="357"/>
      <c r="D144" s="274"/>
      <c r="E144" s="264"/>
      <c r="F144" s="776"/>
      <c r="G144" s="374"/>
      <c r="H144" s="251"/>
      <c r="I144" s="238"/>
      <c r="J144" s="238"/>
      <c r="K144" s="279">
        <v>37.5</v>
      </c>
      <c r="L144" s="263"/>
      <c r="M144" s="242"/>
      <c r="N144" s="263"/>
      <c r="O144" s="319"/>
      <c r="P144" s="329">
        <v>143</v>
      </c>
      <c r="Q144" s="282">
        <v>0</v>
      </c>
      <c r="R144" s="300">
        <v>0</v>
      </c>
      <c r="S144" s="306">
        <v>0</v>
      </c>
      <c r="T144" s="260">
        <v>0</v>
      </c>
      <c r="U144" s="291">
        <v>0</v>
      </c>
      <c r="V144" s="347"/>
      <c r="W144" s="667">
        <f t="shared" ref="W144" si="52">(V144*X144)</f>
        <v>0</v>
      </c>
      <c r="X144" s="615"/>
      <c r="Y144" s="607">
        <f>IF(D144&lt;&gt;0,($C145*(1-$V$1))-$D144,0)</f>
        <v>0</v>
      </c>
      <c r="Z144" s="355" t="str">
        <f>IFERROR(IF(C144&lt;&gt;"",$Y$1/(D142/100)*(C144/100),""),"")</f>
        <v/>
      </c>
      <c r="AA144" s="448" t="str">
        <f>IFERROR($AA$1/(D144/100)*(C142/100),"")</f>
        <v/>
      </c>
      <c r="AB144" s="38"/>
    </row>
    <row r="145" spans="1:32" ht="12.75" hidden="1" customHeight="1">
      <c r="A145" s="331" t="s">
        <v>220</v>
      </c>
      <c r="B145" s="249"/>
      <c r="C145" s="248"/>
      <c r="D145" s="579"/>
      <c r="E145" s="580"/>
      <c r="F145" s="250"/>
      <c r="G145" s="373"/>
      <c r="H145" s="246"/>
      <c r="I145" s="237"/>
      <c r="J145" s="237"/>
      <c r="K145" s="276">
        <v>37.5</v>
      </c>
      <c r="L145" s="244"/>
      <c r="M145" s="241"/>
      <c r="N145" s="244"/>
      <c r="O145" s="318"/>
      <c r="P145" s="328">
        <v>144</v>
      </c>
      <c r="Q145" s="281">
        <v>0</v>
      </c>
      <c r="R145" s="299">
        <v>0</v>
      </c>
      <c r="S145" s="301">
        <v>0</v>
      </c>
      <c r="T145" s="261">
        <v>0</v>
      </c>
      <c r="U145" s="292">
        <v>0</v>
      </c>
      <c r="V145" s="346">
        <v>0</v>
      </c>
      <c r="W145" s="668">
        <f>V144*(F144/100)</f>
        <v>0</v>
      </c>
      <c r="X145" s="616"/>
      <c r="Y145" s="608" t="str">
        <f>IFERROR(INT($AA$1/(F144/100)),"")</f>
        <v/>
      </c>
      <c r="Z145" s="354" t="str">
        <f>IFERROR(IF(C145&lt;&gt;"",$Y$1/(D143/100)*(C145/100),""),"")</f>
        <v/>
      </c>
      <c r="AA145" s="450" t="str">
        <f>IFERROR($AA$1/(D145/100)*(C143/100),"")</f>
        <v/>
      </c>
      <c r="AB145" s="38"/>
    </row>
    <row r="146" spans="1:32" ht="12.75" customHeight="1">
      <c r="A146" s="494" t="s">
        <v>558</v>
      </c>
      <c r="B146" s="264">
        <v>2000</v>
      </c>
      <c r="C146" s="357">
        <v>38.299999999999997</v>
      </c>
      <c r="D146" s="274">
        <v>38.994999999999997</v>
      </c>
      <c r="E146" s="264">
        <v>3707</v>
      </c>
      <c r="F146" s="776">
        <v>38.298000000000002</v>
      </c>
      <c r="G146" s="374">
        <v>2.2000000000000001E-3</v>
      </c>
      <c r="H146" s="251">
        <v>38.499000000000002</v>
      </c>
      <c r="I146" s="238">
        <v>38.950000000000003</v>
      </c>
      <c r="J146" s="238">
        <v>37.301000000000002</v>
      </c>
      <c r="K146" s="279">
        <v>38.213000000000001</v>
      </c>
      <c r="L146" s="263">
        <v>113339</v>
      </c>
      <c r="M146" s="242">
        <v>296856</v>
      </c>
      <c r="N146" s="263">
        <v>186</v>
      </c>
      <c r="O146" s="319">
        <v>45350.678148148145</v>
      </c>
      <c r="P146" s="329">
        <v>145</v>
      </c>
      <c r="Q146" s="282">
        <v>0</v>
      </c>
      <c r="R146" s="300">
        <v>0</v>
      </c>
      <c r="S146" s="306">
        <v>0</v>
      </c>
      <c r="T146" s="260">
        <v>0</v>
      </c>
      <c r="U146" s="291">
        <v>0</v>
      </c>
      <c r="V146" s="546"/>
      <c r="W146" s="669">
        <f t="shared" ref="W146" si="53">(V146*X146)</f>
        <v>0</v>
      </c>
      <c r="X146" s="617">
        <v>0.35349999999999998</v>
      </c>
      <c r="Y146" s="609">
        <f>IF(D146&lt;&gt;0,($C147*(1-$V$1))-$D146,0)</f>
        <v>5.000000000002558E-3</v>
      </c>
      <c r="Z146" s="353">
        <f>IFERROR(IF(C146&lt;&gt;"",$Y$1/(D142/100)*(C146/100),""),"")</f>
        <v>98.142216527866751</v>
      </c>
      <c r="AA146" s="449">
        <f>IFERROR($Z$1/(D146/100)*(C142/100),"")</f>
        <v>101513.01448903706</v>
      </c>
      <c r="AB146" s="38"/>
    </row>
    <row r="147" spans="1:32" ht="12.75" customHeight="1">
      <c r="A147" s="539" t="s">
        <v>221</v>
      </c>
      <c r="B147" s="540">
        <v>2600</v>
      </c>
      <c r="C147" s="515">
        <v>39</v>
      </c>
      <c r="D147" s="578">
        <v>39.15</v>
      </c>
      <c r="E147" s="530">
        <v>767</v>
      </c>
      <c r="F147" s="775">
        <v>38.9</v>
      </c>
      <c r="G147" s="541">
        <v>2.63E-2</v>
      </c>
      <c r="H147" s="519">
        <v>38.5</v>
      </c>
      <c r="I147" s="520">
        <v>39</v>
      </c>
      <c r="J147" s="520">
        <v>37</v>
      </c>
      <c r="K147" s="544">
        <v>37.901000000000003</v>
      </c>
      <c r="L147" s="506">
        <v>359284</v>
      </c>
      <c r="M147" s="522">
        <v>939554</v>
      </c>
      <c r="N147" s="506">
        <v>466</v>
      </c>
      <c r="O147" s="507">
        <v>45350.703865740739</v>
      </c>
      <c r="P147" s="328">
        <v>146</v>
      </c>
      <c r="Q147" s="508">
        <v>0</v>
      </c>
      <c r="R147" s="542">
        <v>0</v>
      </c>
      <c r="S147" s="510">
        <v>0</v>
      </c>
      <c r="T147" s="525">
        <v>0</v>
      </c>
      <c r="U147" s="491">
        <v>0</v>
      </c>
      <c r="V147" s="547">
        <v>0</v>
      </c>
      <c r="W147" s="672">
        <f>V146*(F146/100)</f>
        <v>0</v>
      </c>
      <c r="X147" s="618"/>
      <c r="Y147" s="610">
        <f>IFERROR(INT($Z$1/(F146/100)),"")</f>
        <v>261</v>
      </c>
      <c r="Z147" s="533">
        <f>IFERROR(IF(C147&lt;&gt;"",$Y$1/(D143/100)*(C147/100),""),"")</f>
        <v>99.56164659646295</v>
      </c>
      <c r="AA147" s="543">
        <f>IFERROR($Z$1/(D147/100)*(C143/100),"")</f>
        <v>101749.68071519797</v>
      </c>
      <c r="AB147" s="38"/>
    </row>
    <row r="148" spans="1:32" ht="12.75" customHeight="1">
      <c r="A148" s="297" t="s">
        <v>562</v>
      </c>
      <c r="B148" s="264">
        <v>120</v>
      </c>
      <c r="C148" s="357">
        <v>43900</v>
      </c>
      <c r="D148" s="274">
        <v>45000</v>
      </c>
      <c r="E148" s="264">
        <v>541</v>
      </c>
      <c r="F148" s="308">
        <v>43905</v>
      </c>
      <c r="G148" s="370">
        <v>-2.4799999999999999E-2</v>
      </c>
      <c r="H148" s="247">
        <v>44225</v>
      </c>
      <c r="I148" s="239">
        <v>45865</v>
      </c>
      <c r="J148" s="239">
        <v>42360</v>
      </c>
      <c r="K148" s="278">
        <v>45025</v>
      </c>
      <c r="L148" s="269">
        <v>210169505</v>
      </c>
      <c r="M148" s="243">
        <v>478904</v>
      </c>
      <c r="N148" s="269">
        <v>1618</v>
      </c>
      <c r="O148" s="317">
        <v>45350.68440972222</v>
      </c>
      <c r="P148" s="329">
        <v>147</v>
      </c>
      <c r="Q148" s="284">
        <v>0</v>
      </c>
      <c r="R148" s="298">
        <v>0</v>
      </c>
      <c r="S148" s="304">
        <v>0</v>
      </c>
      <c r="T148" s="262">
        <v>0</v>
      </c>
      <c r="U148" s="537">
        <v>0</v>
      </c>
      <c r="V148" s="549">
        <v>0</v>
      </c>
      <c r="W148" s="671">
        <f t="shared" ref="W148" si="54">(V148*X148)</f>
        <v>0</v>
      </c>
      <c r="X148" s="620"/>
      <c r="Y148" s="603">
        <f>IF(D148&lt;&gt;0,($C149*(1-$V$1))-$D148,0)</f>
        <v>-300</v>
      </c>
      <c r="Z148" s="577"/>
      <c r="AA148" s="376"/>
      <c r="AB148" s="38"/>
    </row>
    <row r="149" spans="1:32" ht="12.75" customHeight="1">
      <c r="A149" s="296" t="s">
        <v>190</v>
      </c>
      <c r="B149" s="249">
        <v>129117</v>
      </c>
      <c r="C149" s="248">
        <v>44700</v>
      </c>
      <c r="D149" s="579">
        <v>45200</v>
      </c>
      <c r="E149" s="580">
        <v>148</v>
      </c>
      <c r="F149" s="250">
        <v>44700</v>
      </c>
      <c r="G149" s="373">
        <v>-8.8000000000000005E-3</v>
      </c>
      <c r="H149" s="246">
        <v>45200</v>
      </c>
      <c r="I149" s="237">
        <v>46790</v>
      </c>
      <c r="J149" s="237">
        <v>42605</v>
      </c>
      <c r="K149" s="276">
        <v>45100</v>
      </c>
      <c r="L149" s="244">
        <v>1077935139</v>
      </c>
      <c r="M149" s="241">
        <v>2408484</v>
      </c>
      <c r="N149" s="244">
        <v>1870</v>
      </c>
      <c r="O149" s="318">
        <v>45350.708449074074</v>
      </c>
      <c r="P149" s="328">
        <v>148</v>
      </c>
      <c r="Q149" s="281">
        <v>0</v>
      </c>
      <c r="R149" s="299">
        <v>0</v>
      </c>
      <c r="S149" s="301">
        <v>0</v>
      </c>
      <c r="T149" s="261">
        <v>0</v>
      </c>
      <c r="U149" s="292">
        <v>0</v>
      </c>
      <c r="V149" s="548">
        <v>0</v>
      </c>
      <c r="W149" s="666">
        <f>V148*(F148/100)</f>
        <v>0</v>
      </c>
      <c r="X149" s="614"/>
      <c r="Y149" s="606">
        <f>IFERROR(INT($Y$1/(F148/100)),"")</f>
        <v>232</v>
      </c>
      <c r="Z149" s="486"/>
      <c r="AA149" s="377"/>
      <c r="AB149" s="38"/>
    </row>
    <row r="150" spans="1:32" ht="12.75" hidden="1" customHeight="1">
      <c r="A150" s="252" t="s">
        <v>563</v>
      </c>
      <c r="B150" s="264"/>
      <c r="C150" s="357"/>
      <c r="D150" s="274"/>
      <c r="E150" s="264"/>
      <c r="F150" s="776"/>
      <c r="G150" s="374"/>
      <c r="H150" s="251"/>
      <c r="I150" s="238"/>
      <c r="J150" s="238"/>
      <c r="K150" s="279">
        <v>40.5</v>
      </c>
      <c r="L150" s="263"/>
      <c r="M150" s="242"/>
      <c r="N150" s="263"/>
      <c r="O150" s="319"/>
      <c r="P150" s="329">
        <v>149</v>
      </c>
      <c r="Q150" s="282">
        <v>0</v>
      </c>
      <c r="R150" s="300">
        <v>0</v>
      </c>
      <c r="S150" s="306">
        <v>0</v>
      </c>
      <c r="T150" s="260">
        <v>0</v>
      </c>
      <c r="U150" s="291">
        <v>0</v>
      </c>
      <c r="V150" s="347"/>
      <c r="W150" s="667">
        <f t="shared" ref="W150" si="55">(V150*X150)</f>
        <v>0</v>
      </c>
      <c r="X150" s="615"/>
      <c r="Y150" s="607">
        <f>IF(D150&lt;&gt;0,($C151*(1-$V$1))-$D150,0)</f>
        <v>0</v>
      </c>
      <c r="Z150" s="355" t="str">
        <f>IFERROR(IF(C150&lt;&gt;"",$Y$1/(D148/100)*(C150/100),""),"")</f>
        <v/>
      </c>
      <c r="AA150" s="448" t="str">
        <f>IFERROR($AA$1/(D150/100)*(C148/100),"")</f>
        <v/>
      </c>
      <c r="AB150" s="38"/>
    </row>
    <row r="151" spans="1:32" ht="12.75" hidden="1" customHeight="1">
      <c r="A151" s="331" t="s">
        <v>234</v>
      </c>
      <c r="B151" s="249"/>
      <c r="C151" s="248"/>
      <c r="D151" s="579"/>
      <c r="E151" s="580"/>
      <c r="F151" s="250"/>
      <c r="G151" s="373"/>
      <c r="H151" s="246"/>
      <c r="I151" s="237"/>
      <c r="J151" s="237"/>
      <c r="K151" s="276">
        <v>40.375</v>
      </c>
      <c r="L151" s="244"/>
      <c r="M151" s="241"/>
      <c r="N151" s="244"/>
      <c r="O151" s="318"/>
      <c r="P151" s="328">
        <v>150</v>
      </c>
      <c r="Q151" s="281">
        <v>0</v>
      </c>
      <c r="R151" s="299">
        <v>0</v>
      </c>
      <c r="S151" s="301">
        <v>0</v>
      </c>
      <c r="T151" s="261">
        <v>0</v>
      </c>
      <c r="U151" s="292">
        <v>0</v>
      </c>
      <c r="V151" s="346">
        <v>0</v>
      </c>
      <c r="W151" s="668">
        <f>V150*(F150/100)</f>
        <v>0</v>
      </c>
      <c r="X151" s="616"/>
      <c r="Y151" s="608" t="str">
        <f>IFERROR(INT($AA$1/(F150/100)),"")</f>
        <v/>
      </c>
      <c r="Z151" s="354" t="str">
        <f>IFERROR(IF(C151&lt;&gt;"",$Y$1/(D149/100)*(C151/100),""),"")</f>
        <v/>
      </c>
      <c r="AA151" s="450" t="str">
        <f>IFERROR($AA$1/(D151/100)*(C149/100),"")</f>
        <v/>
      </c>
      <c r="AB151" s="38"/>
    </row>
    <row r="152" spans="1:32" ht="12.75" customHeight="1">
      <c r="A152" s="494" t="s">
        <v>564</v>
      </c>
      <c r="B152" s="264">
        <v>516</v>
      </c>
      <c r="C152" s="357">
        <v>43.5</v>
      </c>
      <c r="D152" s="274">
        <v>44.2</v>
      </c>
      <c r="E152" s="264">
        <v>252</v>
      </c>
      <c r="F152" s="776">
        <v>43.5</v>
      </c>
      <c r="G152" s="374">
        <v>9.1999999999999998E-3</v>
      </c>
      <c r="H152" s="251">
        <v>43.1</v>
      </c>
      <c r="I152" s="238">
        <v>44.198999999999998</v>
      </c>
      <c r="J152" s="238">
        <v>41.503999999999998</v>
      </c>
      <c r="K152" s="279">
        <v>43.1</v>
      </c>
      <c r="L152" s="263">
        <v>9305</v>
      </c>
      <c r="M152" s="242">
        <v>21695</v>
      </c>
      <c r="N152" s="263">
        <v>108</v>
      </c>
      <c r="O152" s="319">
        <v>45350.682314814818</v>
      </c>
      <c r="P152" s="329">
        <v>151</v>
      </c>
      <c r="Q152" s="282">
        <v>0</v>
      </c>
      <c r="R152" s="300">
        <v>0</v>
      </c>
      <c r="S152" s="306">
        <v>0</v>
      </c>
      <c r="T152" s="260">
        <v>0</v>
      </c>
      <c r="U152" s="291">
        <v>0</v>
      </c>
      <c r="V152" s="546">
        <v>0</v>
      </c>
      <c r="W152" s="669">
        <f t="shared" ref="W152" si="56">(V152*X152)</f>
        <v>0</v>
      </c>
      <c r="X152" s="617"/>
      <c r="Y152" s="609">
        <f>IF(D152&lt;&gt;0,($C153*(1-$V$1))-$D152,0)</f>
        <v>-0.28000000000000114</v>
      </c>
      <c r="Z152" s="353">
        <f>IFERROR(IF(C152&lt;&gt;"",$Y$1/(D148/100)*(C152/100),""),"")</f>
        <v>98.834080717488789</v>
      </c>
      <c r="AA152" s="449">
        <f>IFERROR($Z$1/(D152/100)*(C148/100),"")</f>
        <v>99321.266968325785</v>
      </c>
      <c r="AB152" s="38"/>
    </row>
    <row r="153" spans="1:32" ht="12.75" customHeight="1">
      <c r="A153" s="539" t="s">
        <v>235</v>
      </c>
      <c r="B153" s="540">
        <v>1128</v>
      </c>
      <c r="C153" s="515">
        <v>43.92</v>
      </c>
      <c r="D153" s="578">
        <v>44</v>
      </c>
      <c r="E153" s="530">
        <v>12517</v>
      </c>
      <c r="F153" s="775">
        <v>43.92</v>
      </c>
      <c r="G153" s="541">
        <v>2.7300000000000001E-2</v>
      </c>
      <c r="H153" s="519">
        <v>43.143000000000001</v>
      </c>
      <c r="I153" s="520">
        <v>44.042999999999999</v>
      </c>
      <c r="J153" s="520">
        <v>41.505000000000003</v>
      </c>
      <c r="K153" s="544">
        <v>42.75</v>
      </c>
      <c r="L153" s="506">
        <v>15381</v>
      </c>
      <c r="M153" s="522">
        <v>35561</v>
      </c>
      <c r="N153" s="506">
        <v>66</v>
      </c>
      <c r="O153" s="507">
        <v>45350.701724537037</v>
      </c>
      <c r="P153" s="328">
        <v>152</v>
      </c>
      <c r="Q153" s="508">
        <v>0</v>
      </c>
      <c r="R153" s="542">
        <v>0</v>
      </c>
      <c r="S153" s="510">
        <v>0</v>
      </c>
      <c r="T153" s="525">
        <v>0</v>
      </c>
      <c r="U153" s="491">
        <v>0</v>
      </c>
      <c r="V153" s="547">
        <v>0</v>
      </c>
      <c r="W153" s="672">
        <f>V152*(F152/100)</f>
        <v>0</v>
      </c>
      <c r="X153" s="618"/>
      <c r="Y153" s="610">
        <f>IFERROR(INT($Z$1/(F152/100)),"")</f>
        <v>229</v>
      </c>
      <c r="Z153" s="533">
        <f>IFERROR(IF(C153&lt;&gt;"",$Y$1/(D149/100)*(C153/100),""),"")</f>
        <v>99.346799476169693</v>
      </c>
      <c r="AA153" s="543">
        <f>IFERROR($Z$1/(D153/100)*(C149/100),"")</f>
        <v>101590.90909090909</v>
      </c>
      <c r="AB153" s="38"/>
    </row>
    <row r="154" spans="1:32" ht="12.75" customHeight="1">
      <c r="A154" s="297" t="s">
        <v>559</v>
      </c>
      <c r="B154" s="264">
        <v>1192</v>
      </c>
      <c r="C154" s="357">
        <v>38600</v>
      </c>
      <c r="D154" s="274">
        <v>39500</v>
      </c>
      <c r="E154" s="264">
        <v>4451</v>
      </c>
      <c r="F154" s="308">
        <v>38795</v>
      </c>
      <c r="G154" s="370">
        <v>1E-4</v>
      </c>
      <c r="H154" s="247">
        <v>39500</v>
      </c>
      <c r="I154" s="239">
        <v>39515</v>
      </c>
      <c r="J154" s="239">
        <v>37600</v>
      </c>
      <c r="K154" s="278">
        <v>38790</v>
      </c>
      <c r="L154" s="269">
        <v>44956258</v>
      </c>
      <c r="M154" s="243">
        <v>117641</v>
      </c>
      <c r="N154" s="269">
        <v>118</v>
      </c>
      <c r="O154" s="317">
        <v>45350.679861111108</v>
      </c>
      <c r="P154" s="329">
        <v>153</v>
      </c>
      <c r="Q154" s="284">
        <v>0</v>
      </c>
      <c r="R154" s="298">
        <v>0</v>
      </c>
      <c r="S154" s="304">
        <v>0</v>
      </c>
      <c r="T154" s="262">
        <v>0</v>
      </c>
      <c r="U154" s="537">
        <v>0</v>
      </c>
      <c r="V154" s="549">
        <v>0</v>
      </c>
      <c r="W154" s="671">
        <f t="shared" ref="W154" si="57">(V154*X154)</f>
        <v>0</v>
      </c>
      <c r="X154" s="620"/>
      <c r="Y154" s="603">
        <f>IF(D154&lt;&gt;0,($C155*(1-$V$1))-$D154,0)</f>
        <v>-495</v>
      </c>
      <c r="Z154" s="577"/>
      <c r="AA154" s="376"/>
      <c r="AB154" s="38"/>
      <c r="AC154" s="545">
        <v>28</v>
      </c>
      <c r="AE154" s="47">
        <v>440</v>
      </c>
      <c r="AF154" s="47">
        <f>AC154*AE154</f>
        <v>12320</v>
      </c>
    </row>
    <row r="155" spans="1:32" ht="12.75" customHeight="1">
      <c r="A155" s="296" t="s">
        <v>188</v>
      </c>
      <c r="B155" s="249">
        <v>28930</v>
      </c>
      <c r="C155" s="248">
        <v>39005</v>
      </c>
      <c r="D155" s="579">
        <v>39080</v>
      </c>
      <c r="E155" s="580">
        <v>258</v>
      </c>
      <c r="F155" s="250">
        <v>39080</v>
      </c>
      <c r="G155" s="373">
        <v>9.7999999999999997E-3</v>
      </c>
      <c r="H155" s="246">
        <v>38720</v>
      </c>
      <c r="I155" s="237">
        <v>39605</v>
      </c>
      <c r="J155" s="237">
        <v>37700</v>
      </c>
      <c r="K155" s="276">
        <v>38700</v>
      </c>
      <c r="L155" s="244">
        <v>981854175</v>
      </c>
      <c r="M155" s="241">
        <v>2571801</v>
      </c>
      <c r="N155" s="244">
        <v>448</v>
      </c>
      <c r="O155" s="318">
        <v>45350.708391203705</v>
      </c>
      <c r="P155" s="328">
        <v>154</v>
      </c>
      <c r="Q155" s="281">
        <v>0</v>
      </c>
      <c r="R155" s="299">
        <v>0</v>
      </c>
      <c r="S155" s="301">
        <v>0</v>
      </c>
      <c r="T155" s="261">
        <v>0</v>
      </c>
      <c r="U155" s="292">
        <v>0</v>
      </c>
      <c r="V155" s="548">
        <v>0</v>
      </c>
      <c r="W155" s="666">
        <f>V154*(F154/100)</f>
        <v>0</v>
      </c>
      <c r="X155" s="614"/>
      <c r="Y155" s="606">
        <f>IFERROR(INT($Y$1/(F154/100)),"")</f>
        <v>263</v>
      </c>
      <c r="Z155" s="486"/>
      <c r="AA155" s="377"/>
      <c r="AB155" s="38"/>
      <c r="AC155" s="545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4"/>
      <c r="C156" s="357"/>
      <c r="D156" s="274"/>
      <c r="E156" s="264"/>
      <c r="F156" s="776"/>
      <c r="G156" s="374"/>
      <c r="H156" s="251"/>
      <c r="I156" s="238"/>
      <c r="J156" s="238"/>
      <c r="K156" s="279">
        <v>36</v>
      </c>
      <c r="L156" s="263"/>
      <c r="M156" s="242"/>
      <c r="N156" s="263"/>
      <c r="O156" s="319"/>
      <c r="P156" s="329">
        <v>155</v>
      </c>
      <c r="Q156" s="282">
        <v>0</v>
      </c>
      <c r="R156" s="300">
        <v>0</v>
      </c>
      <c r="S156" s="306">
        <v>0</v>
      </c>
      <c r="T156" s="260">
        <v>0</v>
      </c>
      <c r="U156" s="291">
        <v>0</v>
      </c>
      <c r="V156" s="347"/>
      <c r="W156" s="667">
        <f t="shared" ref="W156" si="59">(V156*X156)</f>
        <v>0</v>
      </c>
      <c r="X156" s="615"/>
      <c r="Y156" s="607">
        <f>IF(D156&lt;&gt;0,($C157*(1-$V$1))-$D156,0)</f>
        <v>0</v>
      </c>
      <c r="Z156" s="355" t="str">
        <f>IFERROR(IF(C156&lt;&gt;"",$Y$1/(D154/100)*(C156/100),""),"")</f>
        <v/>
      </c>
      <c r="AA156" s="448" t="str">
        <f>IFERROR($AA$1/(D156/100)*(C154/100),"")</f>
        <v/>
      </c>
      <c r="AB156" s="38"/>
      <c r="AC156" s="545"/>
      <c r="AF156" s="47">
        <f t="shared" si="58"/>
        <v>0</v>
      </c>
    </row>
    <row r="157" spans="1:32" ht="12.75" hidden="1" customHeight="1">
      <c r="A157" s="331" t="s">
        <v>236</v>
      </c>
      <c r="B157" s="249"/>
      <c r="C157" s="248"/>
      <c r="D157" s="579"/>
      <c r="E157" s="580"/>
      <c r="F157" s="250"/>
      <c r="G157" s="373"/>
      <c r="H157" s="246"/>
      <c r="I157" s="237"/>
      <c r="J157" s="237"/>
      <c r="K157" s="276">
        <v>27.25</v>
      </c>
      <c r="L157" s="244"/>
      <c r="M157" s="241"/>
      <c r="N157" s="244"/>
      <c r="O157" s="318"/>
      <c r="P157" s="328">
        <v>156</v>
      </c>
      <c r="Q157" s="281">
        <v>0</v>
      </c>
      <c r="R157" s="299">
        <v>0</v>
      </c>
      <c r="S157" s="301">
        <v>0</v>
      </c>
      <c r="T157" s="261">
        <v>0</v>
      </c>
      <c r="U157" s="292">
        <v>0</v>
      </c>
      <c r="V157" s="346">
        <v>0</v>
      </c>
      <c r="W157" s="668">
        <f>V156*(F156/100)</f>
        <v>0</v>
      </c>
      <c r="X157" s="616"/>
      <c r="Y157" s="608" t="str">
        <f>IFERROR(INT($AA$1/(F156/100)),"")</f>
        <v/>
      </c>
      <c r="Z157" s="354" t="str">
        <f>IFERROR(IF(C157&lt;&gt;"",$Y$1/(D155/100)*(C157/100),""),"")</f>
        <v/>
      </c>
      <c r="AA157" s="450" t="str">
        <f>IFERROR($AA$1/(D157/100)*(C155/100),"")</f>
        <v/>
      </c>
      <c r="AB157" s="38"/>
      <c r="AC157" s="562"/>
      <c r="AD157" s="562"/>
      <c r="AE157" s="562"/>
      <c r="AF157" s="562">
        <f t="shared" si="58"/>
        <v>0</v>
      </c>
    </row>
    <row r="158" spans="1:32" ht="12.75" customHeight="1">
      <c r="A158" s="494" t="s">
        <v>561</v>
      </c>
      <c r="B158" s="264">
        <v>3000</v>
      </c>
      <c r="C158" s="357">
        <v>37</v>
      </c>
      <c r="D158" s="274">
        <v>38</v>
      </c>
      <c r="E158" s="264">
        <v>1229</v>
      </c>
      <c r="F158" s="776">
        <v>37.6</v>
      </c>
      <c r="G158" s="374">
        <v>1.44E-2</v>
      </c>
      <c r="H158" s="251">
        <v>36.950000000000003</v>
      </c>
      <c r="I158" s="238">
        <v>37.6</v>
      </c>
      <c r="J158" s="238">
        <v>35.954999999999998</v>
      </c>
      <c r="K158" s="279">
        <v>37.064</v>
      </c>
      <c r="L158" s="263">
        <v>14279</v>
      </c>
      <c r="M158" s="242">
        <v>38600</v>
      </c>
      <c r="N158" s="263">
        <v>612</v>
      </c>
      <c r="O158" s="319">
        <v>45350.659432870372</v>
      </c>
      <c r="P158" s="329">
        <v>157</v>
      </c>
      <c r="Q158" s="282">
        <v>0</v>
      </c>
      <c r="R158" s="300">
        <v>0</v>
      </c>
      <c r="S158" s="306">
        <v>0</v>
      </c>
      <c r="T158" s="260">
        <v>0</v>
      </c>
      <c r="U158" s="291">
        <v>0</v>
      </c>
      <c r="V158" s="546">
        <v>0</v>
      </c>
      <c r="W158" s="669">
        <f t="shared" ref="W158" si="60">(V158*X158)</f>
        <v>0</v>
      </c>
      <c r="X158" s="617"/>
      <c r="Y158" s="609">
        <f>IF(D158&lt;&gt;0,($C159*(1-$V$1))-$D158,0)</f>
        <v>-0.99900000000000233</v>
      </c>
      <c r="Z158" s="353">
        <f>IFERROR(IF(C158&lt;&gt;"",$Y$1/(D154/100)*(C158/100),""),"")</f>
        <v>95.771130158369758</v>
      </c>
      <c r="AA158" s="449">
        <f>IFERROR($Z$1/(D158/100)*(C154/100),"")</f>
        <v>101578.94736842104</v>
      </c>
      <c r="AB158" s="38"/>
      <c r="AC158" s="566">
        <f>SUM(AC154:AC157)</f>
        <v>28</v>
      </c>
      <c r="AD158" s="567"/>
      <c r="AE158" s="567" t="s">
        <v>594</v>
      </c>
      <c r="AF158" s="567">
        <f>SUM(AF154:AF157)</f>
        <v>12320</v>
      </c>
    </row>
    <row r="159" spans="1:32" ht="12.75" customHeight="1">
      <c r="A159" s="539" t="s">
        <v>237</v>
      </c>
      <c r="B159" s="540">
        <v>5000</v>
      </c>
      <c r="C159" s="515">
        <v>37.000999999999998</v>
      </c>
      <c r="D159" s="578">
        <v>37.950000000000003</v>
      </c>
      <c r="E159" s="530">
        <v>1001</v>
      </c>
      <c r="F159" s="775">
        <v>37.999000000000002</v>
      </c>
      <c r="G159" s="541">
        <v>2.7000000000000003E-2</v>
      </c>
      <c r="H159" s="519">
        <v>37</v>
      </c>
      <c r="I159" s="520">
        <v>37.999000000000002</v>
      </c>
      <c r="J159" s="520">
        <v>36</v>
      </c>
      <c r="K159" s="544">
        <v>37</v>
      </c>
      <c r="L159" s="506">
        <v>25320</v>
      </c>
      <c r="M159" s="522">
        <v>68166</v>
      </c>
      <c r="N159" s="506">
        <v>307</v>
      </c>
      <c r="O159" s="507">
        <v>45350.702025462961</v>
      </c>
      <c r="P159" s="328">
        <v>158</v>
      </c>
      <c r="Q159" s="508">
        <v>0</v>
      </c>
      <c r="R159" s="542">
        <v>0</v>
      </c>
      <c r="S159" s="510">
        <v>0</v>
      </c>
      <c r="T159" s="525">
        <v>0</v>
      </c>
      <c r="U159" s="491">
        <v>0</v>
      </c>
      <c r="V159" s="547">
        <v>0</v>
      </c>
      <c r="W159" s="672">
        <f>V158*(F158/100)</f>
        <v>0</v>
      </c>
      <c r="X159" s="618"/>
      <c r="Y159" s="610">
        <f>IFERROR(INT($Z$1/(F158/100)),"")</f>
        <v>265</v>
      </c>
      <c r="Z159" s="533">
        <f>IFERROR(IF(C159&lt;&gt;"",$Y$1/(D155/100)*(C159/100),""),"")</f>
        <v>96.80301646387079</v>
      </c>
      <c r="AA159" s="543">
        <f>IFERROR($Z$1/(D159/100)*(C155/100),"")</f>
        <v>102779.97364953888</v>
      </c>
      <c r="AB159" s="38"/>
      <c r="AC159" s="798">
        <f>AF158/AC158</f>
        <v>440</v>
      </c>
      <c r="AD159" s="798"/>
      <c r="AE159" s="798"/>
      <c r="AF159" s="798"/>
    </row>
    <row r="160" spans="1:32" ht="12.75" customHeight="1">
      <c r="A160" s="297" t="s">
        <v>565</v>
      </c>
      <c r="B160" s="264">
        <v>350</v>
      </c>
      <c r="C160" s="357">
        <v>40810</v>
      </c>
      <c r="D160" s="274">
        <v>41200</v>
      </c>
      <c r="E160" s="264">
        <v>825</v>
      </c>
      <c r="F160" s="308">
        <v>41290</v>
      </c>
      <c r="G160" s="370">
        <v>-9.1999999999999998E-3</v>
      </c>
      <c r="H160" s="247">
        <v>41000</v>
      </c>
      <c r="I160" s="239">
        <v>41395</v>
      </c>
      <c r="J160" s="239">
        <v>40000</v>
      </c>
      <c r="K160" s="278">
        <v>41675</v>
      </c>
      <c r="L160" s="269">
        <v>7861098</v>
      </c>
      <c r="M160" s="243">
        <v>19261</v>
      </c>
      <c r="N160" s="269">
        <v>70</v>
      </c>
      <c r="O160" s="317">
        <v>45350.677303240744</v>
      </c>
      <c r="P160" s="329">
        <v>159</v>
      </c>
      <c r="Q160" s="284">
        <v>0</v>
      </c>
      <c r="R160" s="298">
        <v>0</v>
      </c>
      <c r="S160" s="304">
        <v>0</v>
      </c>
      <c r="T160" s="262">
        <v>0</v>
      </c>
      <c r="U160" s="537">
        <v>0</v>
      </c>
      <c r="V160" s="549"/>
      <c r="W160" s="671">
        <f t="shared" ref="W160" si="61">(V160*X160)</f>
        <v>0</v>
      </c>
      <c r="X160" s="620"/>
      <c r="Y160" s="603">
        <f>IF(D160&lt;&gt;0,($C161*(1-$V$1))-$D160,0)</f>
        <v>-100</v>
      </c>
      <c r="Z160" s="577"/>
      <c r="AA160" s="376"/>
      <c r="AB160" s="38"/>
    </row>
    <row r="161" spans="1:28" ht="12.75" customHeight="1">
      <c r="A161" s="296" t="s">
        <v>189</v>
      </c>
      <c r="B161" s="249">
        <v>100</v>
      </c>
      <c r="C161" s="248">
        <v>41100</v>
      </c>
      <c r="D161" s="579">
        <v>41200</v>
      </c>
      <c r="E161" s="580">
        <v>1</v>
      </c>
      <c r="F161" s="250">
        <v>41000</v>
      </c>
      <c r="G161" s="373">
        <v>-1.2E-2</v>
      </c>
      <c r="H161" s="246">
        <v>41700</v>
      </c>
      <c r="I161" s="237">
        <v>41700</v>
      </c>
      <c r="J161" s="237">
        <v>40850</v>
      </c>
      <c r="K161" s="276">
        <v>41500</v>
      </c>
      <c r="L161" s="244">
        <v>52722497</v>
      </c>
      <c r="M161" s="241">
        <v>128144</v>
      </c>
      <c r="N161" s="244">
        <v>240</v>
      </c>
      <c r="O161" s="318">
        <v>45350.70516203704</v>
      </c>
      <c r="P161" s="328">
        <v>160</v>
      </c>
      <c r="Q161" s="281">
        <v>0</v>
      </c>
      <c r="R161" s="299">
        <v>0</v>
      </c>
      <c r="S161" s="301">
        <v>0</v>
      </c>
      <c r="T161" s="261">
        <v>0</v>
      </c>
      <c r="U161" s="292">
        <v>0</v>
      </c>
      <c r="V161" s="548">
        <v>0</v>
      </c>
      <c r="W161" s="666">
        <f>V160*(F160/100)</f>
        <v>0</v>
      </c>
      <c r="X161" s="614"/>
      <c r="Y161" s="606">
        <f>IFERROR(INT($Y$1/(F160/100)),"")</f>
        <v>247</v>
      </c>
      <c r="Z161" s="486"/>
      <c r="AA161" s="377"/>
      <c r="AB161" s="38"/>
    </row>
    <row r="162" spans="1:28" ht="12.75" hidden="1" customHeight="1">
      <c r="A162" s="252" t="s">
        <v>566</v>
      </c>
      <c r="B162" s="264"/>
      <c r="C162" s="357"/>
      <c r="D162" s="274"/>
      <c r="E162" s="264"/>
      <c r="F162" s="776"/>
      <c r="G162" s="374"/>
      <c r="H162" s="251"/>
      <c r="I162" s="238"/>
      <c r="J162" s="238"/>
      <c r="K162" s="279">
        <v>21.007999999999999</v>
      </c>
      <c r="L162" s="263"/>
      <c r="M162" s="242"/>
      <c r="N162" s="263"/>
      <c r="O162" s="319"/>
      <c r="P162" s="329">
        <v>161</v>
      </c>
      <c r="Q162" s="282">
        <v>0</v>
      </c>
      <c r="R162" s="300">
        <v>0</v>
      </c>
      <c r="S162" s="306">
        <v>0</v>
      </c>
      <c r="T162" s="260">
        <v>0</v>
      </c>
      <c r="U162" s="291">
        <v>0</v>
      </c>
      <c r="V162" s="347"/>
      <c r="W162" s="667">
        <f t="shared" ref="W162" si="62">(V162*X162)</f>
        <v>0</v>
      </c>
      <c r="X162" s="615"/>
      <c r="Y162" s="607">
        <f>IF(D162&lt;&gt;0,($C163*(1-$V$1))-$D162,0)</f>
        <v>0</v>
      </c>
      <c r="Z162" s="355" t="str">
        <f>IFERROR(IF(C162&lt;&gt;"",$Y$1/(D160/100)*(C162/100),""),"")</f>
        <v/>
      </c>
      <c r="AA162" s="448" t="str">
        <f>IFERROR($AA$1/(D162/100)*(C160/100),"")</f>
        <v/>
      </c>
      <c r="AB162" s="38"/>
    </row>
    <row r="163" spans="1:28" ht="12.75" hidden="1" customHeight="1">
      <c r="A163" s="331" t="s">
        <v>276</v>
      </c>
      <c r="B163" s="249"/>
      <c r="C163" s="248"/>
      <c r="D163" s="579"/>
      <c r="E163" s="580"/>
      <c r="F163" s="250"/>
      <c r="G163" s="373"/>
      <c r="H163" s="246"/>
      <c r="I163" s="237"/>
      <c r="J163" s="237"/>
      <c r="K163" s="276">
        <v>25.276</v>
      </c>
      <c r="L163" s="244"/>
      <c r="M163" s="241"/>
      <c r="N163" s="244"/>
      <c r="O163" s="318"/>
      <c r="P163" s="328">
        <v>162</v>
      </c>
      <c r="Q163" s="281">
        <v>0</v>
      </c>
      <c r="R163" s="299">
        <v>0</v>
      </c>
      <c r="S163" s="301">
        <v>0</v>
      </c>
      <c r="T163" s="261">
        <v>0</v>
      </c>
      <c r="U163" s="292">
        <v>0</v>
      </c>
      <c r="V163" s="346">
        <v>0</v>
      </c>
      <c r="W163" s="668">
        <f>V162*(F162/100)</f>
        <v>0</v>
      </c>
      <c r="X163" s="616"/>
      <c r="Y163" s="608" t="str">
        <f>IFERROR(INT($AA$1/(F162/100)),"")</f>
        <v/>
      </c>
      <c r="Z163" s="354" t="str">
        <f>IFERROR(IF(C163&lt;&gt;"",$Y$1/(D161/100)*(C163/100),""),"")</f>
        <v/>
      </c>
      <c r="AA163" s="450" t="str">
        <f>IFERROR($AA$1/(D163/100)*(C161/100),"")</f>
        <v/>
      </c>
      <c r="AB163" s="38"/>
    </row>
    <row r="164" spans="1:28" ht="12.75" customHeight="1">
      <c r="A164" s="494" t="s">
        <v>567</v>
      </c>
      <c r="B164" s="264">
        <v>100</v>
      </c>
      <c r="C164" s="357">
        <v>38.950000000000003</v>
      </c>
      <c r="D164" s="274">
        <v>40</v>
      </c>
      <c r="E164" s="264">
        <v>80351</v>
      </c>
      <c r="F164" s="776">
        <v>40</v>
      </c>
      <c r="G164" s="374">
        <v>-7.6100000000000001E-2</v>
      </c>
      <c r="H164" s="251">
        <v>38.521000000000001</v>
      </c>
      <c r="I164" s="238">
        <v>40</v>
      </c>
      <c r="J164" s="238">
        <v>38.521000000000001</v>
      </c>
      <c r="K164" s="279">
        <v>43.298999999999999</v>
      </c>
      <c r="L164" s="263">
        <v>906</v>
      </c>
      <c r="M164" s="242">
        <v>2321</v>
      </c>
      <c r="N164" s="263">
        <v>6</v>
      </c>
      <c r="O164" s="319">
        <v>45350.684016203704</v>
      </c>
      <c r="P164" s="329">
        <v>163</v>
      </c>
      <c r="Q164" s="282">
        <v>0</v>
      </c>
      <c r="R164" s="300">
        <v>0</v>
      </c>
      <c r="S164" s="306">
        <v>0</v>
      </c>
      <c r="T164" s="260">
        <v>0</v>
      </c>
      <c r="U164" s="291">
        <v>0</v>
      </c>
      <c r="V164" s="546">
        <v>0</v>
      </c>
      <c r="W164" s="669">
        <f t="shared" ref="W164" si="63">(V164*X164)</f>
        <v>0</v>
      </c>
      <c r="X164" s="617"/>
      <c r="Y164" s="609">
        <f>IF(D164&lt;&gt;0,($C165*(1-$V$1))-$D164,0)</f>
        <v>-0.32999999999999829</v>
      </c>
      <c r="Z164" s="353">
        <f>IFERROR(IF(C164&lt;&gt;"",$Y$1/(D160/100)*(C164/100),""),"")</f>
        <v>96.658539770995702</v>
      </c>
      <c r="AA164" s="449">
        <f>IFERROR($Z$1/(D164/100)*(C160/100),"")</f>
        <v>102025</v>
      </c>
      <c r="AB164" s="38"/>
    </row>
    <row r="165" spans="1:28" ht="12.75" customHeight="1">
      <c r="A165" s="539" t="s">
        <v>277</v>
      </c>
      <c r="B165" s="540">
        <v>397</v>
      </c>
      <c r="C165" s="515">
        <v>39.67</v>
      </c>
      <c r="D165" s="578">
        <v>40.9</v>
      </c>
      <c r="E165" s="530">
        <v>1052</v>
      </c>
      <c r="F165" s="775">
        <v>40.799999999999997</v>
      </c>
      <c r="G165" s="541">
        <v>3.2300000000000002E-2</v>
      </c>
      <c r="H165" s="519">
        <v>39.030999999999999</v>
      </c>
      <c r="I165" s="520">
        <v>40.799999999999997</v>
      </c>
      <c r="J165" s="520">
        <v>39.030999999999999</v>
      </c>
      <c r="K165" s="544">
        <v>39.521000000000001</v>
      </c>
      <c r="L165" s="506">
        <v>5591</v>
      </c>
      <c r="M165" s="522">
        <v>14020</v>
      </c>
      <c r="N165" s="506">
        <v>37</v>
      </c>
      <c r="O165" s="507">
        <v>45350.695752314816</v>
      </c>
      <c r="P165" s="328">
        <v>164</v>
      </c>
      <c r="Q165" s="508">
        <v>0</v>
      </c>
      <c r="R165" s="542">
        <v>0</v>
      </c>
      <c r="S165" s="510">
        <v>0</v>
      </c>
      <c r="T165" s="525">
        <v>0</v>
      </c>
      <c r="U165" s="491">
        <v>0</v>
      </c>
      <c r="V165" s="547">
        <v>0</v>
      </c>
      <c r="W165" s="672">
        <f>V164*(F164/100)</f>
        <v>0</v>
      </c>
      <c r="X165" s="618"/>
      <c r="Y165" s="610">
        <f>IFERROR(INT($Z$1/(F164/100)),"")</f>
        <v>250</v>
      </c>
      <c r="Z165" s="533">
        <f>IFERROR(IF(C165&lt;&gt;"",$Y$1/(D161/100)*(C165/100),""),"")</f>
        <v>98.445295833514734</v>
      </c>
      <c r="AA165" s="543">
        <f>IFERROR($Z$1/(D165/100)*(C161/100),"")</f>
        <v>100488.99755501223</v>
      </c>
      <c r="AB165" s="38"/>
    </row>
    <row r="166" spans="1:28" ht="12.75" customHeight="1">
      <c r="A166" s="297" t="s">
        <v>565</v>
      </c>
      <c r="B166" s="264">
        <v>350</v>
      </c>
      <c r="C166" s="357">
        <v>40810</v>
      </c>
      <c r="D166" s="274">
        <v>41200</v>
      </c>
      <c r="E166" s="264">
        <v>825</v>
      </c>
      <c r="F166" s="308">
        <v>41290</v>
      </c>
      <c r="G166" s="370">
        <v>-9.1999999999999998E-3</v>
      </c>
      <c r="H166" s="247">
        <v>41000</v>
      </c>
      <c r="I166" s="239">
        <v>41395</v>
      </c>
      <c r="J166" s="239">
        <v>40000</v>
      </c>
      <c r="K166" s="278">
        <v>41675</v>
      </c>
      <c r="L166" s="269">
        <v>7861098</v>
      </c>
      <c r="M166" s="243">
        <v>19261</v>
      </c>
      <c r="N166" s="269">
        <v>70</v>
      </c>
      <c r="O166" s="317">
        <v>45350.677303240744</v>
      </c>
      <c r="P166" s="329">
        <v>165</v>
      </c>
      <c r="Q166" s="284">
        <v>0</v>
      </c>
      <c r="R166" s="298">
        <v>0</v>
      </c>
      <c r="S166" s="304">
        <v>0</v>
      </c>
      <c r="T166" s="262">
        <v>0</v>
      </c>
      <c r="U166" s="537">
        <v>0</v>
      </c>
      <c r="V166" s="549"/>
      <c r="W166" s="671">
        <f t="shared" ref="W166" si="64">(V166*X166)</f>
        <v>0</v>
      </c>
      <c r="X166" s="620"/>
      <c r="Y166" s="603">
        <f>IF(D166&lt;&gt;0,($C167*(1-$V$1))-$D166,0)</f>
        <v>-100</v>
      </c>
      <c r="Z166" s="577"/>
      <c r="AA166" s="376"/>
    </row>
    <row r="167" spans="1:28" ht="12.75" customHeight="1">
      <c r="A167" s="296" t="s">
        <v>189</v>
      </c>
      <c r="B167" s="249">
        <v>100</v>
      </c>
      <c r="C167" s="248">
        <v>41100</v>
      </c>
      <c r="D167" s="579">
        <v>41200</v>
      </c>
      <c r="E167" s="580">
        <v>1</v>
      </c>
      <c r="F167" s="250">
        <v>41000</v>
      </c>
      <c r="G167" s="373">
        <v>-1.2E-2</v>
      </c>
      <c r="H167" s="246">
        <v>41700</v>
      </c>
      <c r="I167" s="237">
        <v>41700</v>
      </c>
      <c r="J167" s="237">
        <v>40850</v>
      </c>
      <c r="K167" s="276">
        <v>41500</v>
      </c>
      <c r="L167" s="244">
        <v>52722497</v>
      </c>
      <c r="M167" s="241">
        <v>128144</v>
      </c>
      <c r="N167" s="244">
        <v>240</v>
      </c>
      <c r="O167" s="318">
        <v>45350.70516203704</v>
      </c>
      <c r="P167" s="328">
        <v>166</v>
      </c>
      <c r="Q167" s="281">
        <v>0</v>
      </c>
      <c r="R167" s="299">
        <v>0</v>
      </c>
      <c r="S167" s="301">
        <v>0</v>
      </c>
      <c r="T167" s="261">
        <v>0</v>
      </c>
      <c r="U167" s="292">
        <v>0</v>
      </c>
      <c r="V167" s="548">
        <v>0</v>
      </c>
      <c r="W167" s="666">
        <f>V166*(F166/100)</f>
        <v>0</v>
      </c>
      <c r="X167" s="614"/>
      <c r="Y167" s="606">
        <f>IFERROR(INT($Y$1/(F166/100)),"")</f>
        <v>247</v>
      </c>
      <c r="Z167" s="486"/>
      <c r="AA167" s="377"/>
    </row>
    <row r="168" spans="1:28" ht="12.75" hidden="1" customHeight="1">
      <c r="A168" s="252" t="s">
        <v>566</v>
      </c>
      <c r="B168" s="264"/>
      <c r="C168" s="357"/>
      <c r="D168" s="274"/>
      <c r="E168" s="264"/>
      <c r="F168" s="776"/>
      <c r="G168" s="374"/>
      <c r="H168" s="251"/>
      <c r="I168" s="238"/>
      <c r="J168" s="238"/>
      <c r="K168" s="279">
        <v>21.007999999999999</v>
      </c>
      <c r="L168" s="263"/>
      <c r="M168" s="242"/>
      <c r="N168" s="263"/>
      <c r="O168" s="319"/>
      <c r="P168" s="329">
        <v>167</v>
      </c>
      <c r="Q168" s="282">
        <v>0</v>
      </c>
      <c r="R168" s="300">
        <v>0</v>
      </c>
      <c r="S168" s="306">
        <v>0</v>
      </c>
      <c r="T168" s="260">
        <v>0</v>
      </c>
      <c r="U168" s="291">
        <v>0</v>
      </c>
      <c r="V168" s="347"/>
      <c r="W168" s="667">
        <f t="shared" ref="W168" si="65">(V168*X168)</f>
        <v>0</v>
      </c>
      <c r="X168" s="615"/>
      <c r="Y168" s="607">
        <f>IF(D168&lt;&gt;0,($C169*(1-$V$1))-$D168,0)</f>
        <v>0</v>
      </c>
      <c r="Z168" s="355" t="str">
        <f>IFERROR(IF(C168&lt;&gt;"",$Y$1/(D166/100)*(C168/100),""),"")</f>
        <v/>
      </c>
      <c r="AA168" s="448" t="str">
        <f>IFERROR($AA$1/(D168/100)*(C166/100),"")</f>
        <v/>
      </c>
    </row>
    <row r="169" spans="1:28" ht="12.75" hidden="1" customHeight="1">
      <c r="A169" s="331" t="s">
        <v>276</v>
      </c>
      <c r="B169" s="249"/>
      <c r="C169" s="248"/>
      <c r="D169" s="579"/>
      <c r="E169" s="580"/>
      <c r="F169" s="250"/>
      <c r="G169" s="373"/>
      <c r="H169" s="246"/>
      <c r="I169" s="237"/>
      <c r="J169" s="237"/>
      <c r="K169" s="276">
        <v>25.276</v>
      </c>
      <c r="L169" s="244"/>
      <c r="M169" s="241"/>
      <c r="N169" s="244"/>
      <c r="O169" s="318"/>
      <c r="P169" s="328">
        <v>168</v>
      </c>
      <c r="Q169" s="281">
        <v>0</v>
      </c>
      <c r="R169" s="299">
        <v>0</v>
      </c>
      <c r="S169" s="301">
        <v>0</v>
      </c>
      <c r="T169" s="261">
        <v>0</v>
      </c>
      <c r="U169" s="292">
        <v>0</v>
      </c>
      <c r="V169" s="346">
        <v>0</v>
      </c>
      <c r="W169" s="668">
        <f>V168*(F168/100)</f>
        <v>0</v>
      </c>
      <c r="X169" s="616"/>
      <c r="Y169" s="608" t="str">
        <f>IFERROR(INT($AA$1/(F168/100)),"")</f>
        <v/>
      </c>
      <c r="Z169" s="354" t="str">
        <f>IFERROR(IF(C169&lt;&gt;"",$Y$1/(D167/100)*(C169/100),""),"")</f>
        <v/>
      </c>
      <c r="AA169" s="450" t="str">
        <f>IFERROR($AA$1/(D169/100)*(C167/100),"")</f>
        <v/>
      </c>
    </row>
    <row r="170" spans="1:28" ht="12.75" customHeight="1">
      <c r="A170" s="494" t="s">
        <v>567</v>
      </c>
      <c r="B170" s="264">
        <v>100</v>
      </c>
      <c r="C170" s="357">
        <v>38.950000000000003</v>
      </c>
      <c r="D170" s="274">
        <v>40</v>
      </c>
      <c r="E170" s="264">
        <v>80351</v>
      </c>
      <c r="F170" s="776">
        <v>40</v>
      </c>
      <c r="G170" s="374">
        <v>-7.6100000000000001E-2</v>
      </c>
      <c r="H170" s="251">
        <v>38.521000000000001</v>
      </c>
      <c r="I170" s="238">
        <v>40</v>
      </c>
      <c r="J170" s="238">
        <v>38.521000000000001</v>
      </c>
      <c r="K170" s="279">
        <v>43.298999999999999</v>
      </c>
      <c r="L170" s="263">
        <v>906</v>
      </c>
      <c r="M170" s="242">
        <v>2321</v>
      </c>
      <c r="N170" s="263">
        <v>6</v>
      </c>
      <c r="O170" s="319">
        <v>45350.684016203704</v>
      </c>
      <c r="P170" s="329">
        <v>169</v>
      </c>
      <c r="Q170" s="282">
        <v>0</v>
      </c>
      <c r="R170" s="300">
        <v>0</v>
      </c>
      <c r="S170" s="306">
        <v>0</v>
      </c>
      <c r="T170" s="260">
        <v>0</v>
      </c>
      <c r="U170" s="291">
        <v>0</v>
      </c>
      <c r="V170" s="546">
        <v>0</v>
      </c>
      <c r="W170" s="669">
        <f t="shared" ref="W170" si="66">(V170*X170)</f>
        <v>0</v>
      </c>
      <c r="X170" s="617"/>
      <c r="Y170" s="609">
        <f>IF(D170&lt;&gt;0,($C171*(1-$V$1))-$D170,0)</f>
        <v>-0.32999999999999829</v>
      </c>
      <c r="Z170" s="353">
        <f>IFERROR(IF(C170&lt;&gt;"",$Y$1/(D166/100)*(C170/100),""),"")</f>
        <v>96.658539770995702</v>
      </c>
      <c r="AA170" s="449">
        <f>IFERROR($Z$1/(D170/100)*(C166/100),"")</f>
        <v>102025</v>
      </c>
    </row>
    <row r="171" spans="1:28" ht="12.75" customHeight="1">
      <c r="A171" s="558" t="s">
        <v>277</v>
      </c>
      <c r="B171" s="622">
        <v>397</v>
      </c>
      <c r="C171" s="623">
        <v>39.67</v>
      </c>
      <c r="D171" s="624">
        <v>40.9</v>
      </c>
      <c r="E171" s="625">
        <v>1052</v>
      </c>
      <c r="F171" s="777">
        <v>40.799999999999997</v>
      </c>
      <c r="G171" s="370">
        <v>3.2300000000000002E-2</v>
      </c>
      <c r="H171" s="247">
        <v>39.030999999999999</v>
      </c>
      <c r="I171" s="239">
        <v>40.799999999999997</v>
      </c>
      <c r="J171" s="239">
        <v>39.030999999999999</v>
      </c>
      <c r="K171" s="278">
        <v>39.521000000000001</v>
      </c>
      <c r="L171" s="269">
        <v>5591</v>
      </c>
      <c r="M171" s="243">
        <v>14020</v>
      </c>
      <c r="N171" s="269">
        <v>37</v>
      </c>
      <c r="O171" s="317">
        <v>45350.695752314816</v>
      </c>
      <c r="P171" s="328">
        <v>170</v>
      </c>
      <c r="Q171" s="284">
        <v>0</v>
      </c>
      <c r="R171" s="298">
        <v>0</v>
      </c>
      <c r="S171" s="304">
        <v>0</v>
      </c>
      <c r="T171" s="262">
        <v>0</v>
      </c>
      <c r="U171" s="559">
        <v>0</v>
      </c>
      <c r="V171" s="547">
        <v>0</v>
      </c>
      <c r="W171" s="674">
        <f>V170*(F170/100)</f>
        <v>0</v>
      </c>
      <c r="X171" s="621"/>
      <c r="Y171" s="619">
        <f>IFERROR(INT($Z$1/(F170/100)),"")</f>
        <v>250</v>
      </c>
      <c r="Z171" s="560">
        <f>IFERROR(IF(C171&lt;&gt;"",$Y$1/(D167/100)*(C171/100),""),"")</f>
        <v>98.445295833514734</v>
      </c>
      <c r="AA171" s="561">
        <f>IFERROR($Z$1/(D171/100)*(C167/100),"")</f>
        <v>100488.99755501223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27" priority="7919">
      <formula>V60&lt;&gt;0</formula>
    </cfRule>
  </conditionalFormatting>
  <conditionalFormatting sqref="A61">
    <cfRule type="expression" dxfId="2226" priority="7918">
      <formula>V61&lt;&gt;0</formula>
    </cfRule>
  </conditionalFormatting>
  <conditionalFormatting sqref="A62">
    <cfRule type="expression" dxfId="2225" priority="7917">
      <formula>V62&lt;&gt;0</formula>
    </cfRule>
  </conditionalFormatting>
  <conditionalFormatting sqref="A63">
    <cfRule type="expression" dxfId="2224" priority="7916">
      <formula>V63&lt;&gt;0</formula>
    </cfRule>
  </conditionalFormatting>
  <conditionalFormatting sqref="A64:A65">
    <cfRule type="expression" dxfId="2223" priority="7706">
      <formula>V64&lt;&gt;0</formula>
    </cfRule>
  </conditionalFormatting>
  <conditionalFormatting sqref="A66:A67">
    <cfRule type="expression" dxfId="2222" priority="12862">
      <formula>V66&lt;&gt;0</formula>
    </cfRule>
  </conditionalFormatting>
  <conditionalFormatting sqref="A68:A69">
    <cfRule type="expression" dxfId="2221" priority="12861">
      <formula>V68&lt;&gt;0</formula>
    </cfRule>
  </conditionalFormatting>
  <conditionalFormatting sqref="B64">
    <cfRule type="cellIs" dxfId="2220" priority="13550" operator="greaterThan">
      <formula>E64</formula>
    </cfRule>
  </conditionalFormatting>
  <conditionalFormatting sqref="G70:G159 G60:G63 G2:G29">
    <cfRule type="cellIs" dxfId="2219" priority="12123" operator="lessThan">
      <formula>0</formula>
    </cfRule>
  </conditionalFormatting>
  <conditionalFormatting sqref="Q60:T159 Q2:T41">
    <cfRule type="cellIs" dxfId="2218" priority="11632" operator="equal">
      <formula>0</formula>
    </cfRule>
  </conditionalFormatting>
  <conditionalFormatting sqref="V60:V81 V2:V41">
    <cfRule type="cellIs" dxfId="2217" priority="12125" operator="lessThan">
      <formula>0</formula>
    </cfRule>
    <cfRule type="cellIs" dxfId="2216" priority="12126" operator="equal">
      <formula>0</formula>
    </cfRule>
  </conditionalFormatting>
  <conditionalFormatting sqref="Y66 Y68">
    <cfRule type="cellIs" dxfId="2215" priority="7728" operator="lessThanOrEqual">
      <formula>0</formula>
    </cfRule>
  </conditionalFormatting>
  <conditionalFormatting sqref="Z30:Z34 W62:X63 W2:X25 Z37:Z41">
    <cfRule type="cellIs" dxfId="2214" priority="12375" operator="equal">
      <formula>0</formula>
    </cfRule>
  </conditionalFormatting>
  <conditionalFormatting sqref="W65">
    <cfRule type="cellIs" dxfId="2213" priority="7682" operator="equal">
      <formula>0</formula>
    </cfRule>
  </conditionalFormatting>
  <conditionalFormatting sqref="W64">
    <cfRule type="cellIs" dxfId="2212" priority="2792" operator="equal">
      <formula>0</formula>
    </cfRule>
    <cfRule type="cellIs" dxfId="2211" priority="2794" operator="lessThan">
      <formula>W65</formula>
    </cfRule>
    <cfRule type="cellIs" dxfId="2210" priority="7681" operator="lessThan">
      <formula>0</formula>
    </cfRule>
  </conditionalFormatting>
  <conditionalFormatting sqref="W67">
    <cfRule type="cellIs" dxfId="2209" priority="7680" operator="equal">
      <formula>0</formula>
    </cfRule>
  </conditionalFormatting>
  <conditionalFormatting sqref="W66">
    <cfRule type="cellIs" dxfId="2208" priority="2790" operator="equal">
      <formula>0</formula>
    </cfRule>
    <cfRule type="cellIs" dxfId="2207" priority="2791" operator="lessThan">
      <formula>W67</formula>
    </cfRule>
    <cfRule type="cellIs" dxfId="2206" priority="7679" operator="lessThan">
      <formula>0</formula>
    </cfRule>
  </conditionalFormatting>
  <conditionalFormatting sqref="W68">
    <cfRule type="cellIs" dxfId="2205" priority="2789" operator="equal">
      <formula>0</formula>
    </cfRule>
    <cfRule type="cellIs" dxfId="2204" priority="2795" operator="lessThan">
      <formula>W69</formula>
    </cfRule>
  </conditionalFormatting>
  <conditionalFormatting sqref="W11 W15">
    <cfRule type="cellIs" dxfId="2203" priority="7582" operator="lessThan">
      <formula>0</formula>
    </cfRule>
  </conditionalFormatting>
  <conditionalFormatting sqref="W10 W14">
    <cfRule type="cellIs" dxfId="2202" priority="7581" operator="lessThan">
      <formula>0</formula>
    </cfRule>
  </conditionalFormatting>
  <conditionalFormatting sqref="W13 W17:W25">
    <cfRule type="cellIs" dxfId="2201" priority="7580" operator="lessThan">
      <formula>0</formula>
    </cfRule>
  </conditionalFormatting>
  <conditionalFormatting sqref="W12 W16">
    <cfRule type="cellIs" dxfId="2200" priority="7579" operator="lessThan">
      <formula>0</formula>
    </cfRule>
  </conditionalFormatting>
  <conditionalFormatting sqref="Z2 Z6 Z10 Z14">
    <cfRule type="cellIs" dxfId="2199" priority="7349" operator="equal">
      <formula>0</formula>
    </cfRule>
  </conditionalFormatting>
  <conditionalFormatting sqref="Z3 Z7 Z11 Z15">
    <cfRule type="cellIs" dxfId="2198" priority="7348" operator="equal">
      <formula>0</formula>
    </cfRule>
  </conditionalFormatting>
  <conditionalFormatting sqref="Z4 Z8 Z12 Z16">
    <cfRule type="cellIs" dxfId="2197" priority="7347" operator="equal">
      <formula>0</formula>
    </cfRule>
  </conditionalFormatting>
  <conditionalFormatting sqref="Z5 Z9 Z13 Z17:Z25">
    <cfRule type="cellIs" dxfId="2196" priority="7346" operator="equal">
      <formula>0</formula>
    </cfRule>
  </conditionalFormatting>
  <conditionalFormatting sqref="A70:A71">
    <cfRule type="expression" dxfId="2195" priority="7299">
      <formula>V70&lt;&gt;0</formula>
    </cfRule>
  </conditionalFormatting>
  <conditionalFormatting sqref="A72:A73">
    <cfRule type="expression" dxfId="2194" priority="7301">
      <formula>V72&lt;&gt;0</formula>
    </cfRule>
  </conditionalFormatting>
  <conditionalFormatting sqref="A76:A77">
    <cfRule type="expression" dxfId="2193" priority="7296">
      <formula>V76&lt;&gt;0</formula>
    </cfRule>
  </conditionalFormatting>
  <conditionalFormatting sqref="A78:A79">
    <cfRule type="expression" dxfId="2192" priority="7298">
      <formula>V78&lt;&gt;0</formula>
    </cfRule>
  </conditionalFormatting>
  <conditionalFormatting sqref="A82:A83">
    <cfRule type="expression" dxfId="2191" priority="7293">
      <formula>V82&lt;&gt;0</formula>
    </cfRule>
  </conditionalFormatting>
  <conditionalFormatting sqref="A84:A85">
    <cfRule type="expression" dxfId="2190" priority="7295">
      <formula>V84&lt;&gt;0</formula>
    </cfRule>
  </conditionalFormatting>
  <conditionalFormatting sqref="A88:A89">
    <cfRule type="expression" dxfId="2189" priority="7290">
      <formula>V88&lt;&gt;0</formula>
    </cfRule>
  </conditionalFormatting>
  <conditionalFormatting sqref="A90:A91">
    <cfRule type="expression" dxfId="2188" priority="7292">
      <formula>V90&lt;&gt;0</formula>
    </cfRule>
  </conditionalFormatting>
  <conditionalFormatting sqref="A94:A95">
    <cfRule type="expression" dxfId="2187" priority="7287">
      <formula>V94&lt;&gt;0</formula>
    </cfRule>
  </conditionalFormatting>
  <conditionalFormatting sqref="A96:A97">
    <cfRule type="expression" dxfId="2186" priority="7289">
      <formula>V96&lt;&gt;0</formula>
    </cfRule>
  </conditionalFormatting>
  <conditionalFormatting sqref="A100:A101">
    <cfRule type="expression" dxfId="2185" priority="7284">
      <formula>V100&lt;&gt;0</formula>
    </cfRule>
  </conditionalFormatting>
  <conditionalFormatting sqref="A102:A103">
    <cfRule type="expression" dxfId="2184" priority="7286">
      <formula>V102&lt;&gt;0</formula>
    </cfRule>
  </conditionalFormatting>
  <conditionalFormatting sqref="A106:A107">
    <cfRule type="expression" dxfId="2183" priority="7281">
      <formula>V106&lt;&gt;0</formula>
    </cfRule>
  </conditionalFormatting>
  <conditionalFormatting sqref="A108:A109">
    <cfRule type="expression" dxfId="2182" priority="7283">
      <formula>V108&lt;&gt;0</formula>
    </cfRule>
  </conditionalFormatting>
  <conditionalFormatting sqref="A112:A113">
    <cfRule type="expression" dxfId="2181" priority="7278">
      <formula>V112&lt;&gt;0</formula>
    </cfRule>
  </conditionalFormatting>
  <conditionalFormatting sqref="A114:A115">
    <cfRule type="expression" dxfId="2180" priority="7280">
      <formula>V114&lt;&gt;0</formula>
    </cfRule>
  </conditionalFormatting>
  <conditionalFormatting sqref="A118:A119">
    <cfRule type="expression" dxfId="2179" priority="7275">
      <formula>V118&lt;&gt;0</formula>
    </cfRule>
  </conditionalFormatting>
  <conditionalFormatting sqref="A120:A121">
    <cfRule type="expression" dxfId="2178" priority="7277">
      <formula>V120&lt;&gt;0</formula>
    </cfRule>
  </conditionalFormatting>
  <conditionalFormatting sqref="A124:A125">
    <cfRule type="expression" dxfId="2177" priority="7272">
      <formula>V124&lt;&gt;0</formula>
    </cfRule>
  </conditionalFormatting>
  <conditionalFormatting sqref="A126:A127">
    <cfRule type="expression" dxfId="2176" priority="7274">
      <formula>V126&lt;&gt;0</formula>
    </cfRule>
  </conditionalFormatting>
  <conditionalFormatting sqref="A130:A131">
    <cfRule type="expression" dxfId="2175" priority="7269">
      <formula>V130&lt;&gt;0</formula>
    </cfRule>
  </conditionalFormatting>
  <conditionalFormatting sqref="A132:A133">
    <cfRule type="expression" dxfId="2174" priority="7271">
      <formula>V132&lt;&gt;0</formula>
    </cfRule>
  </conditionalFormatting>
  <conditionalFormatting sqref="A136:A137">
    <cfRule type="expression" dxfId="2173" priority="7266">
      <formula>V136&lt;&gt;0</formula>
    </cfRule>
  </conditionalFormatting>
  <conditionalFormatting sqref="A138:A139">
    <cfRule type="expression" dxfId="2172" priority="7268">
      <formula>V138&lt;&gt;0</formula>
    </cfRule>
  </conditionalFormatting>
  <conditionalFormatting sqref="A142:A143">
    <cfRule type="expression" dxfId="2171" priority="7263">
      <formula>V142&lt;&gt;0</formula>
    </cfRule>
  </conditionalFormatting>
  <conditionalFormatting sqref="A144:A145">
    <cfRule type="expression" dxfId="2170" priority="7265">
      <formula>V144&lt;&gt;0</formula>
    </cfRule>
  </conditionalFormatting>
  <conditionalFormatting sqref="A148:A149">
    <cfRule type="expression" dxfId="2169" priority="7260">
      <formula>V148&lt;&gt;0</formula>
    </cfRule>
  </conditionalFormatting>
  <conditionalFormatting sqref="A150:A151">
    <cfRule type="expression" dxfId="2168" priority="7262">
      <formula>V150&lt;&gt;0</formula>
    </cfRule>
  </conditionalFormatting>
  <conditionalFormatting sqref="A154:A155">
    <cfRule type="expression" dxfId="2167" priority="7257">
      <formula>V154&lt;&gt;0</formula>
    </cfRule>
  </conditionalFormatting>
  <conditionalFormatting sqref="A156:A157">
    <cfRule type="expression" dxfId="2166" priority="7259">
      <formula>V156&lt;&gt;0</formula>
    </cfRule>
  </conditionalFormatting>
  <conditionalFormatting sqref="G64:G69">
    <cfRule type="cellIs" dxfId="2165" priority="6481" operator="lessThan">
      <formula>0</formula>
    </cfRule>
  </conditionalFormatting>
  <conditionalFormatting sqref="G18">
    <cfRule type="cellIs" dxfId="2164" priority="6480" operator="equal">
      <formula>0</formula>
    </cfRule>
  </conditionalFormatting>
  <conditionalFormatting sqref="G19">
    <cfRule type="cellIs" dxfId="2163" priority="6479" operator="equal">
      <formula>0</formula>
    </cfRule>
  </conditionalFormatting>
  <conditionalFormatting sqref="G20">
    <cfRule type="cellIs" dxfId="2162" priority="6478" operator="equal">
      <formula>0</formula>
    </cfRule>
  </conditionalFormatting>
  <conditionalFormatting sqref="G21">
    <cfRule type="cellIs" dxfId="2161" priority="6477" operator="equal">
      <formula>0</formula>
    </cfRule>
  </conditionalFormatting>
  <conditionalFormatting sqref="G22">
    <cfRule type="cellIs" dxfId="2160" priority="6476" operator="equal">
      <formula>0</formula>
    </cfRule>
  </conditionalFormatting>
  <conditionalFormatting sqref="G23">
    <cfRule type="cellIs" dxfId="2159" priority="6475" operator="equal">
      <formula>0</formula>
    </cfRule>
  </conditionalFormatting>
  <conditionalFormatting sqref="G24">
    <cfRule type="cellIs" dxfId="2158" priority="6474" operator="equal">
      <formula>0</formula>
    </cfRule>
  </conditionalFormatting>
  <conditionalFormatting sqref="G25">
    <cfRule type="cellIs" dxfId="2157" priority="6473" operator="equal">
      <formula>0</formula>
    </cfRule>
  </conditionalFormatting>
  <conditionalFormatting sqref="G2">
    <cfRule type="cellIs" dxfId="2156" priority="6472" operator="equal">
      <formula>0</formula>
    </cfRule>
  </conditionalFormatting>
  <conditionalFormatting sqref="G3">
    <cfRule type="cellIs" dxfId="2155" priority="6471" operator="equal">
      <formula>0</formula>
    </cfRule>
  </conditionalFormatting>
  <conditionalFormatting sqref="G4">
    <cfRule type="cellIs" dxfId="2154" priority="6470" operator="equal">
      <formula>0</formula>
    </cfRule>
  </conditionalFormatting>
  <conditionalFormatting sqref="G5">
    <cfRule type="cellIs" dxfId="2153" priority="6469" operator="equal">
      <formula>0</formula>
    </cfRule>
  </conditionalFormatting>
  <conditionalFormatting sqref="G6">
    <cfRule type="cellIs" dxfId="2152" priority="6468" operator="equal">
      <formula>0</formula>
    </cfRule>
  </conditionalFormatting>
  <conditionalFormatting sqref="G7">
    <cfRule type="cellIs" dxfId="2151" priority="6467" operator="equal">
      <formula>0</formula>
    </cfRule>
  </conditionalFormatting>
  <conditionalFormatting sqref="G8">
    <cfRule type="cellIs" dxfId="2150" priority="6466" operator="equal">
      <formula>0</formula>
    </cfRule>
  </conditionalFormatting>
  <conditionalFormatting sqref="G9">
    <cfRule type="cellIs" dxfId="2149" priority="6465" operator="equal">
      <formula>0</formula>
    </cfRule>
  </conditionalFormatting>
  <conditionalFormatting sqref="G10">
    <cfRule type="cellIs" dxfId="2148" priority="6464" operator="equal">
      <formula>0</formula>
    </cfRule>
  </conditionalFormatting>
  <conditionalFormatting sqref="G11">
    <cfRule type="cellIs" dxfId="2147" priority="6463" operator="equal">
      <formula>0</formula>
    </cfRule>
  </conditionalFormatting>
  <conditionalFormatting sqref="G12">
    <cfRule type="cellIs" dxfId="2146" priority="6462" operator="equal">
      <formula>0</formula>
    </cfRule>
  </conditionalFormatting>
  <conditionalFormatting sqref="G13">
    <cfRule type="cellIs" dxfId="2145" priority="6461" operator="equal">
      <formula>0</formula>
    </cfRule>
  </conditionalFormatting>
  <conditionalFormatting sqref="G14 G26">
    <cfRule type="cellIs" dxfId="2144" priority="6460" operator="equal">
      <formula>0</formula>
    </cfRule>
  </conditionalFormatting>
  <conditionalFormatting sqref="G15 G27">
    <cfRule type="cellIs" dxfId="2143" priority="6459" operator="equal">
      <formula>0</formula>
    </cfRule>
  </conditionalFormatting>
  <conditionalFormatting sqref="G16 G28">
    <cfRule type="cellIs" dxfId="2142" priority="6458" operator="equal">
      <formula>0</formula>
    </cfRule>
  </conditionalFormatting>
  <conditionalFormatting sqref="G17:G25 G29">
    <cfRule type="cellIs" dxfId="2141" priority="6457" operator="equal">
      <formula>0</formula>
    </cfRule>
  </conditionalFormatting>
  <conditionalFormatting sqref="Y5 Y17">
    <cfRule type="cellIs" dxfId="2140" priority="6400" operator="equal">
      <formula>0</formula>
    </cfRule>
    <cfRule type="cellIs" dxfId="2139" priority="6403" operator="greaterThan">
      <formula>Y2</formula>
    </cfRule>
  </conditionalFormatting>
  <conditionalFormatting sqref="Y3">
    <cfRule type="cellIs" dxfId="2138" priority="6402" operator="equal">
      <formula>0</formula>
    </cfRule>
  </conditionalFormatting>
  <conditionalFormatting sqref="Y4">
    <cfRule type="cellIs" dxfId="2137" priority="6401" operator="equal">
      <formula>0</formula>
    </cfRule>
  </conditionalFormatting>
  <conditionalFormatting sqref="Y9">
    <cfRule type="cellIs" dxfId="2136" priority="6394" operator="equal">
      <formula>0</formula>
    </cfRule>
    <cfRule type="cellIs" dxfId="2135" priority="6397" operator="greaterThan">
      <formula>Y6</formula>
    </cfRule>
  </conditionalFormatting>
  <conditionalFormatting sqref="Y7">
    <cfRule type="cellIs" dxfId="2134" priority="6396" operator="equal">
      <formula>0</formula>
    </cfRule>
  </conditionalFormatting>
  <conditionalFormatting sqref="Y8">
    <cfRule type="cellIs" dxfId="2133" priority="6395" operator="equal">
      <formula>0</formula>
    </cfRule>
  </conditionalFormatting>
  <conditionalFormatting sqref="Y13">
    <cfRule type="cellIs" dxfId="2132" priority="6388" operator="equal">
      <formula>0</formula>
    </cfRule>
    <cfRule type="cellIs" dxfId="2131" priority="6391" operator="greaterThan">
      <formula>Y10</formula>
    </cfRule>
  </conditionalFormatting>
  <conditionalFormatting sqref="Y11 Y15">
    <cfRule type="cellIs" dxfId="2130" priority="6390" operator="equal">
      <formula>0</formula>
    </cfRule>
  </conditionalFormatting>
  <conditionalFormatting sqref="Y12 Y16">
    <cfRule type="cellIs" dxfId="2129" priority="6389" operator="equal">
      <formula>0</formula>
    </cfRule>
  </conditionalFormatting>
  <conditionalFormatting sqref="AA18">
    <cfRule type="cellIs" dxfId="2128" priority="5566" operator="equal">
      <formula>0</formula>
    </cfRule>
  </conditionalFormatting>
  <conditionalFormatting sqref="AA19">
    <cfRule type="cellIs" dxfId="2127" priority="5565" operator="equal">
      <formula>0</formula>
    </cfRule>
  </conditionalFormatting>
  <conditionalFormatting sqref="AA20">
    <cfRule type="cellIs" dxfId="2126" priority="5564" operator="equal">
      <formula>0</formula>
    </cfRule>
  </conditionalFormatting>
  <conditionalFormatting sqref="AA21">
    <cfRule type="cellIs" dxfId="2125" priority="5563" operator="equal">
      <formula>0</formula>
    </cfRule>
  </conditionalFormatting>
  <conditionalFormatting sqref="AA22">
    <cfRule type="cellIs" dxfId="2124" priority="5562" operator="equal">
      <formula>0</formula>
    </cfRule>
  </conditionalFormatting>
  <conditionalFormatting sqref="AA23">
    <cfRule type="cellIs" dxfId="2123" priority="5561" operator="equal">
      <formula>0</formula>
    </cfRule>
  </conditionalFormatting>
  <conditionalFormatting sqref="AA24">
    <cfRule type="cellIs" dxfId="2122" priority="5560" operator="equal">
      <formula>0</formula>
    </cfRule>
  </conditionalFormatting>
  <conditionalFormatting sqref="AA25">
    <cfRule type="cellIs" dxfId="2121" priority="5559" operator="equal">
      <formula>0</formula>
    </cfRule>
  </conditionalFormatting>
  <conditionalFormatting sqref="Y5 Y9 Y13 Y17">
    <cfRule type="expression" dxfId="2120" priority="15543">
      <formula>IF($Y5&gt;$Y2,AND(MID($A5,5,1)="D"))</formula>
    </cfRule>
    <cfRule type="expression" dxfId="2119" priority="15544">
      <formula>IF($Y5&gt;$Y2,AND(MID($A5,5,1)="C"))</formula>
    </cfRule>
  </conditionalFormatting>
  <conditionalFormatting sqref="AA2:AA3 AA6:AA7 AA10:AA11 AA14">
    <cfRule type="expression" dxfId="2118" priority="15551">
      <formula>IF($Y5&gt;$Y2,AND(MID($A2,5,1)="D"))</formula>
    </cfRule>
    <cfRule type="expression" dxfId="2117" priority="15552">
      <formula>IF($Y5&gt;$Y2,AND(MID($A2,5,1)="C"))</formula>
    </cfRule>
    <cfRule type="cellIs" dxfId="2116" priority="15553" operator="equal">
      <formula>0</formula>
    </cfRule>
  </conditionalFormatting>
  <conditionalFormatting sqref="AA4:AA5 AA8:AA9 AA12:AA13 AA16">
    <cfRule type="expression" dxfId="2115" priority="15563">
      <formula>IF($Y5&gt;$Y2,AND(MID($A5,5,1)="D"))</formula>
    </cfRule>
    <cfRule type="expression" dxfId="2114" priority="15564">
      <formula>IF($Y5&gt;$Y2,AND(MID($A5,5,1)="C"))</formula>
    </cfRule>
    <cfRule type="cellIs" dxfId="2113" priority="15565" operator="equal">
      <formula>0</formula>
    </cfRule>
  </conditionalFormatting>
  <conditionalFormatting sqref="Z26:AA26 Z28:AA28">
    <cfRule type="expression" dxfId="2112" priority="15575">
      <formula>IF($AA26&gt;$Y27,AND(MID($A26,5,1)=" "))</formula>
    </cfRule>
    <cfRule type="expression" dxfId="2111" priority="15576">
      <formula>IF($AA26&gt;$Y27,AND(MID($A26,5,1)="C"))</formula>
    </cfRule>
    <cfRule type="expression" dxfId="2110" priority="15577">
      <formula>IF($AA26&gt;$Y27,AND(MID($A26,5,1)="D"))</formula>
    </cfRule>
  </conditionalFormatting>
  <conditionalFormatting sqref="Z27:AA27 Z29:AA29">
    <cfRule type="expression" dxfId="2109" priority="15581">
      <formula>IF($AA27&gt;$Y26,AND(MID($A27,5,1)=" "))</formula>
    </cfRule>
    <cfRule type="expression" dxfId="2108" priority="15582">
      <formula>IF($AA27&gt;$Y26,AND(MID($A27,5,1)="C"))</formula>
    </cfRule>
    <cfRule type="expression" dxfId="2107" priority="15583">
      <formula>IF($AA27&gt;$Y26,AND(MID($A27,5,1)="D"))</formula>
    </cfRule>
  </conditionalFormatting>
  <conditionalFormatting sqref="B2 B6 B10 B14">
    <cfRule type="expression" dxfId="2106" priority="15587">
      <formula>IF($Y5&gt;$Y2,AND(MID($A2,5,1)=" "))</formula>
    </cfRule>
    <cfRule type="expression" dxfId="2105" priority="15588">
      <formula>IF($Y5&gt;$Y2,AND(MID($A2,5,1)="C"))</formula>
    </cfRule>
    <cfRule type="expression" dxfId="2104" priority="15589">
      <formula>IF($Y5&gt;$Y2,AND(MID($A2,5,1)="D"))</formula>
    </cfRule>
  </conditionalFormatting>
  <conditionalFormatting sqref="E3 E7 E11 E15">
    <cfRule type="expression" dxfId="2103" priority="15602">
      <formula>IF($Y5&gt;$Y2,AND(MID($A3,5,1)=" "))</formula>
    </cfRule>
    <cfRule type="expression" dxfId="2102" priority="15603">
      <formula>IF($Y5&gt;$Y2,AND(MID($A3,5,1)="C"))</formula>
    </cfRule>
    <cfRule type="expression" dxfId="2101" priority="15604">
      <formula>IF($Y5&gt;$Y2,AND(MID($A3,5,1)="D"))</formula>
    </cfRule>
  </conditionalFormatting>
  <conditionalFormatting sqref="B4 B8 B12 B16">
    <cfRule type="expression" dxfId="2100" priority="15617">
      <formula>IF($Y5&gt;$Y2,AND(MID($A4,5,1)=" "))</formula>
    </cfRule>
    <cfRule type="expression" dxfId="2099" priority="15618">
      <formula>IF($Y5&gt;$Y2,AND(MID($A4,5,1)="C"))</formula>
    </cfRule>
    <cfRule type="expression" dxfId="2098" priority="15619">
      <formula>IF($Y5&gt;$Y2,AND(MID($A4,5,1)="D"))</formula>
    </cfRule>
  </conditionalFormatting>
  <conditionalFormatting sqref="E5 E9 E13 E17">
    <cfRule type="expression" dxfId="2097" priority="15632">
      <formula>IF($Y5&gt;$Y2,AND(MID($A5,5,1)=" "))</formula>
    </cfRule>
    <cfRule type="expression" dxfId="2096" priority="15633">
      <formula>IF($Y5&gt;$Y2,AND(MID($A5,5,1)="C"))</formula>
    </cfRule>
    <cfRule type="expression" dxfId="2095" priority="15634">
      <formula>IF($Y5&gt;$Y2,AND(MID($A5,5,1)="D"))</formula>
    </cfRule>
  </conditionalFormatting>
  <conditionalFormatting sqref="C2 C6 C10 C14">
    <cfRule type="expression" dxfId="2094" priority="15647">
      <formula>IF($Y5&gt;$Y2,AND(MID($A2,5,1)=" "))</formula>
    </cfRule>
    <cfRule type="expression" dxfId="2093" priority="15648">
      <formula>IF($Y5&gt;$Y2,AND(MID($A2,5,1)="C"))</formula>
    </cfRule>
    <cfRule type="expression" dxfId="2092" priority="15649">
      <formula>IF($Y5&gt;$Y2,AND(MID($A2,5,1)="D"))</formula>
    </cfRule>
  </conditionalFormatting>
  <conditionalFormatting sqref="D3 D7 D11 D15 D27">
    <cfRule type="expression" dxfId="2091" priority="15662">
      <formula>IF($Y5&gt;$Y2,AND(MID($A3,5,1)=" "))</formula>
    </cfRule>
    <cfRule type="expression" dxfId="2090" priority="15663">
      <formula>IF($Y5&gt;$Y2,AND(MID($A3,5,1)="C"))</formula>
    </cfRule>
    <cfRule type="expression" dxfId="2089" priority="15664">
      <formula>IF($Y5&gt;$Y2,AND(MID($A3,5,1)="D"))</formula>
    </cfRule>
  </conditionalFormatting>
  <conditionalFormatting sqref="D5 D9 D13 D29 D17">
    <cfRule type="expression" dxfId="2088" priority="15677">
      <formula>IF($Y5&gt;$Y2,AND(MID($A5,5,1)=" "))</formula>
    </cfRule>
    <cfRule type="expression" dxfId="2087" priority="15678">
      <formula>IF($Y5&gt;$Y2,AND(MID($A5,5,1)="C"))</formula>
    </cfRule>
    <cfRule type="expression" dxfId="2086" priority="15679">
      <formula>IF($Y5&gt;$Y2,AND(MID($A5,5,1)="D"))</formula>
    </cfRule>
  </conditionalFormatting>
  <conditionalFormatting sqref="C4 C8 C12 C16 C28">
    <cfRule type="expression" dxfId="2085" priority="15692">
      <formula>IF($Y5&gt;$Y2,AND(MID($A4,5,1)=" "))</formula>
    </cfRule>
    <cfRule type="expression" dxfId="2084" priority="15693">
      <formula>IF($Y5&gt;$Y2,AND(MID($A4,5,1)="C"))</formula>
    </cfRule>
    <cfRule type="expression" dxfId="2083" priority="15694">
      <formula>IF($Y5&gt;$Y2,AND(MID($A4,5,1)="D"))</formula>
    </cfRule>
  </conditionalFormatting>
  <conditionalFormatting sqref="A6 A2">
    <cfRule type="expression" dxfId="2082" priority="15707">
      <formula>$V10&lt;&gt;0</formula>
    </cfRule>
  </conditionalFormatting>
  <conditionalFormatting sqref="A9 A5">
    <cfRule type="expression" dxfId="2081" priority="15727">
      <formula>$V13&lt;&gt;0</formula>
    </cfRule>
  </conditionalFormatting>
  <conditionalFormatting sqref="A7 A3">
    <cfRule type="expression" dxfId="2080" priority="15747">
      <formula>$V11&lt;&gt;0</formula>
    </cfRule>
    <cfRule type="expression" dxfId="2079" priority="15748">
      <formula>IF($Y5&gt;$Y2,AND(MID($A3,5,1)=" "))</formula>
    </cfRule>
    <cfRule type="expression" dxfId="2078" priority="15749">
      <formula>IF($Y5&gt;$Y2,AND(MID($A3,5,1)="C"))</formula>
    </cfRule>
    <cfRule type="expression" dxfId="2077" priority="15750">
      <formula>IF($Y5&gt;$Y2,AND(MID($A3,5,1)="D"))</formula>
    </cfRule>
  </conditionalFormatting>
  <conditionalFormatting sqref="A8 A4">
    <cfRule type="expression" dxfId="2076" priority="15767">
      <formula>$V12&lt;&gt;0</formula>
    </cfRule>
    <cfRule type="expression" dxfId="2075" priority="15768">
      <formula>IF($Y5&gt;$Y2,AND(MID($A4,5,1)=" "))</formula>
    </cfRule>
    <cfRule type="expression" dxfId="2074" priority="15769">
      <formula>IF($Y5&gt;$Y2,AND(MID($A4,5,1)="C"))</formula>
    </cfRule>
    <cfRule type="expression" dxfId="2073" priority="15770">
      <formula>IF($Y5&gt;$Y2,AND(MID($A4,5,1)="D"))</formula>
    </cfRule>
  </conditionalFormatting>
  <conditionalFormatting sqref="G160:G171">
    <cfRule type="cellIs" dxfId="2072" priority="5548" operator="lessThan">
      <formula>0</formula>
    </cfRule>
  </conditionalFormatting>
  <conditionalFormatting sqref="Q160:T171">
    <cfRule type="cellIs" dxfId="2071" priority="5545" operator="equal">
      <formula>0</formula>
    </cfRule>
  </conditionalFormatting>
  <conditionalFormatting sqref="A160:A161 A166:A167">
    <cfRule type="expression" dxfId="2070" priority="5540">
      <formula>V160&lt;&gt;0</formula>
    </cfRule>
  </conditionalFormatting>
  <conditionalFormatting sqref="A162:A163 A168:A169">
    <cfRule type="expression" dxfId="2069" priority="5542">
      <formula>V162&lt;&gt;0</formula>
    </cfRule>
  </conditionalFormatting>
  <conditionalFormatting sqref="Z66">
    <cfRule type="cellIs" dxfId="2068" priority="5522" operator="equal">
      <formula>0</formula>
    </cfRule>
  </conditionalFormatting>
  <conditionalFormatting sqref="AA66">
    <cfRule type="cellIs" dxfId="2067" priority="5521" operator="equal">
      <formula>0</formula>
    </cfRule>
  </conditionalFormatting>
  <conditionalFormatting sqref="Z67 Z69">
    <cfRule type="cellIs" dxfId="2066" priority="5519" operator="equal">
      <formula>0</formula>
    </cfRule>
  </conditionalFormatting>
  <conditionalFormatting sqref="AA67:AA69">
    <cfRule type="cellIs" dxfId="2065" priority="5518" operator="equal">
      <formula>0</formula>
    </cfRule>
  </conditionalFormatting>
  <conditionalFormatting sqref="Z72">
    <cfRule type="cellIs" dxfId="2064" priority="5517" operator="equal">
      <formula>0</formula>
    </cfRule>
  </conditionalFormatting>
  <conditionalFormatting sqref="AA72">
    <cfRule type="cellIs" dxfId="2063" priority="5516" operator="equal">
      <formula>0</formula>
    </cfRule>
  </conditionalFormatting>
  <conditionalFormatting sqref="Z73:Z75">
    <cfRule type="cellIs" dxfId="2062" priority="5514" operator="equal">
      <formula>0</formula>
    </cfRule>
  </conditionalFormatting>
  <conditionalFormatting sqref="AA73:AA75">
    <cfRule type="cellIs" dxfId="2061" priority="5513" operator="equal">
      <formula>0</formula>
    </cfRule>
  </conditionalFormatting>
  <conditionalFormatting sqref="Z78">
    <cfRule type="cellIs" dxfId="2060" priority="5512" operator="equal">
      <formula>0</formula>
    </cfRule>
  </conditionalFormatting>
  <conditionalFormatting sqref="AA78">
    <cfRule type="cellIs" dxfId="2059" priority="5511" operator="equal">
      <formula>0</formula>
    </cfRule>
  </conditionalFormatting>
  <conditionalFormatting sqref="Z79:Z81">
    <cfRule type="cellIs" dxfId="2058" priority="5509" operator="equal">
      <formula>0</formula>
    </cfRule>
  </conditionalFormatting>
  <conditionalFormatting sqref="AA79:AA81">
    <cfRule type="cellIs" dxfId="2057" priority="5508" operator="equal">
      <formula>0</formula>
    </cfRule>
  </conditionalFormatting>
  <conditionalFormatting sqref="Z84">
    <cfRule type="cellIs" dxfId="2056" priority="5507" operator="equal">
      <formula>0</formula>
    </cfRule>
  </conditionalFormatting>
  <conditionalFormatting sqref="AA84">
    <cfRule type="cellIs" dxfId="2055" priority="5506" operator="equal">
      <formula>0</formula>
    </cfRule>
  </conditionalFormatting>
  <conditionalFormatting sqref="Z85:Z87">
    <cfRule type="cellIs" dxfId="2054" priority="5504" operator="equal">
      <formula>0</formula>
    </cfRule>
  </conditionalFormatting>
  <conditionalFormatting sqref="AA85:AA87">
    <cfRule type="cellIs" dxfId="2053" priority="5503" operator="equal">
      <formula>0</formula>
    </cfRule>
  </conditionalFormatting>
  <conditionalFormatting sqref="Z90">
    <cfRule type="cellIs" dxfId="2052" priority="5502" operator="equal">
      <formula>0</formula>
    </cfRule>
  </conditionalFormatting>
  <conditionalFormatting sqref="AA90">
    <cfRule type="cellIs" dxfId="2051" priority="5501" operator="equal">
      <formula>0</formula>
    </cfRule>
  </conditionalFormatting>
  <conditionalFormatting sqref="Z91:Z93">
    <cfRule type="cellIs" dxfId="2050" priority="5499" operator="equal">
      <formula>0</formula>
    </cfRule>
  </conditionalFormatting>
  <conditionalFormatting sqref="AA91:AA93">
    <cfRule type="cellIs" dxfId="2049" priority="5498" operator="equal">
      <formula>0</formula>
    </cfRule>
  </conditionalFormatting>
  <conditionalFormatting sqref="Z96">
    <cfRule type="cellIs" dxfId="2048" priority="5497" operator="equal">
      <formula>0</formula>
    </cfRule>
  </conditionalFormatting>
  <conditionalFormatting sqref="AA96">
    <cfRule type="cellIs" dxfId="2047" priority="5496" operator="equal">
      <formula>0</formula>
    </cfRule>
  </conditionalFormatting>
  <conditionalFormatting sqref="Z97:Z99">
    <cfRule type="cellIs" dxfId="2046" priority="5494" operator="equal">
      <formula>0</formula>
    </cfRule>
  </conditionalFormatting>
  <conditionalFormatting sqref="AA97:AA99">
    <cfRule type="cellIs" dxfId="2045" priority="5493" operator="equal">
      <formula>0</formula>
    </cfRule>
  </conditionalFormatting>
  <conditionalFormatting sqref="Z102">
    <cfRule type="cellIs" dxfId="2044" priority="5492" operator="equal">
      <formula>0</formula>
    </cfRule>
  </conditionalFormatting>
  <conditionalFormatting sqref="AA102">
    <cfRule type="cellIs" dxfId="2043" priority="5491" operator="equal">
      <formula>0</formula>
    </cfRule>
  </conditionalFormatting>
  <conditionalFormatting sqref="Z103:Z105">
    <cfRule type="cellIs" dxfId="2042" priority="5489" operator="equal">
      <formula>0</formula>
    </cfRule>
  </conditionalFormatting>
  <conditionalFormatting sqref="AA103:AA105">
    <cfRule type="cellIs" dxfId="2041" priority="5488" operator="equal">
      <formula>0</formula>
    </cfRule>
  </conditionalFormatting>
  <conditionalFormatting sqref="Z108">
    <cfRule type="cellIs" dxfId="2040" priority="5487" operator="equal">
      <formula>0</formula>
    </cfRule>
  </conditionalFormatting>
  <conditionalFormatting sqref="AA108">
    <cfRule type="cellIs" dxfId="2039" priority="5486" operator="equal">
      <formula>0</formula>
    </cfRule>
  </conditionalFormatting>
  <conditionalFormatting sqref="Z109:Z111">
    <cfRule type="cellIs" dxfId="2038" priority="5484" operator="equal">
      <formula>0</formula>
    </cfRule>
  </conditionalFormatting>
  <conditionalFormatting sqref="AA109:AA111">
    <cfRule type="cellIs" dxfId="2037" priority="5483" operator="equal">
      <formula>0</formula>
    </cfRule>
  </conditionalFormatting>
  <conditionalFormatting sqref="Z114">
    <cfRule type="cellIs" dxfId="2036" priority="5482" operator="equal">
      <formula>0</formula>
    </cfRule>
  </conditionalFormatting>
  <conditionalFormatting sqref="AA114">
    <cfRule type="cellIs" dxfId="2035" priority="5481" operator="equal">
      <formula>0</formula>
    </cfRule>
  </conditionalFormatting>
  <conditionalFormatting sqref="Z138">
    <cfRule type="cellIs" dxfId="2034" priority="5462" operator="equal">
      <formula>0</formula>
    </cfRule>
  </conditionalFormatting>
  <conditionalFormatting sqref="Z115:Z117">
    <cfRule type="cellIs" dxfId="2033" priority="5479" operator="equal">
      <formula>0</formula>
    </cfRule>
  </conditionalFormatting>
  <conditionalFormatting sqref="AA115:AA117">
    <cfRule type="cellIs" dxfId="2032" priority="5478" operator="equal">
      <formula>0</formula>
    </cfRule>
  </conditionalFormatting>
  <conditionalFormatting sqref="Z120">
    <cfRule type="cellIs" dxfId="2031" priority="5477" operator="equal">
      <formula>0</formula>
    </cfRule>
  </conditionalFormatting>
  <conditionalFormatting sqref="AA120">
    <cfRule type="cellIs" dxfId="2030" priority="5476" operator="equal">
      <formula>0</formula>
    </cfRule>
  </conditionalFormatting>
  <conditionalFormatting sqref="Z139:Z141">
    <cfRule type="cellIs" dxfId="2029" priority="5459" operator="equal">
      <formula>0</formula>
    </cfRule>
  </conditionalFormatting>
  <conditionalFormatting sqref="Z121:Z123">
    <cfRule type="cellIs" dxfId="2028" priority="5474" operator="equal">
      <formula>0</formula>
    </cfRule>
  </conditionalFormatting>
  <conditionalFormatting sqref="AA121:AA123">
    <cfRule type="cellIs" dxfId="2027" priority="5473" operator="equal">
      <formula>0</formula>
    </cfRule>
  </conditionalFormatting>
  <conditionalFormatting sqref="Z126">
    <cfRule type="cellIs" dxfId="2026" priority="5472" operator="equal">
      <formula>0</formula>
    </cfRule>
  </conditionalFormatting>
  <conditionalFormatting sqref="AA126">
    <cfRule type="cellIs" dxfId="2025" priority="5471" operator="equal">
      <formula>0</formula>
    </cfRule>
  </conditionalFormatting>
  <conditionalFormatting sqref="AA144">
    <cfRule type="cellIs" dxfId="2024" priority="5456" operator="equal">
      <formula>0</formula>
    </cfRule>
  </conditionalFormatting>
  <conditionalFormatting sqref="Z127:Z129">
    <cfRule type="cellIs" dxfId="2023" priority="5469" operator="equal">
      <formula>0</formula>
    </cfRule>
  </conditionalFormatting>
  <conditionalFormatting sqref="AA127:AA129">
    <cfRule type="cellIs" dxfId="2022" priority="5468" operator="equal">
      <formula>0</formula>
    </cfRule>
  </conditionalFormatting>
  <conditionalFormatting sqref="Z132">
    <cfRule type="cellIs" dxfId="2021" priority="5467" operator="equal">
      <formula>0</formula>
    </cfRule>
  </conditionalFormatting>
  <conditionalFormatting sqref="AA132">
    <cfRule type="cellIs" dxfId="2020" priority="5466" operator="equal">
      <formula>0</formula>
    </cfRule>
  </conditionalFormatting>
  <conditionalFormatting sqref="AA145:AA147">
    <cfRule type="cellIs" dxfId="2019" priority="5453" operator="equal">
      <formula>0</formula>
    </cfRule>
  </conditionalFormatting>
  <conditionalFormatting sqref="Z133:Z135">
    <cfRule type="cellIs" dxfId="2018" priority="5464" operator="equal">
      <formula>0</formula>
    </cfRule>
  </conditionalFormatting>
  <conditionalFormatting sqref="AA133:AA135">
    <cfRule type="cellIs" dxfId="2017" priority="5463" operator="equal">
      <formula>0</formula>
    </cfRule>
  </conditionalFormatting>
  <conditionalFormatting sqref="AA138">
    <cfRule type="cellIs" dxfId="2016" priority="5461" operator="equal">
      <formula>0</formula>
    </cfRule>
  </conditionalFormatting>
  <conditionalFormatting sqref="AA139:AA141">
    <cfRule type="cellIs" dxfId="2015" priority="5458" operator="equal">
      <formula>0</formula>
    </cfRule>
  </conditionalFormatting>
  <conditionalFormatting sqref="Z144">
    <cfRule type="cellIs" dxfId="2014" priority="5457" operator="equal">
      <formula>0</formula>
    </cfRule>
  </conditionalFormatting>
  <conditionalFormatting sqref="Z156">
    <cfRule type="cellIs" dxfId="2013" priority="5447" operator="equal">
      <formula>0</formula>
    </cfRule>
  </conditionalFormatting>
  <conditionalFormatting sqref="Z145:Z147">
    <cfRule type="cellIs" dxfId="2012" priority="5454" operator="equal">
      <formula>0</formula>
    </cfRule>
  </conditionalFormatting>
  <conditionalFormatting sqref="Z150">
    <cfRule type="cellIs" dxfId="2011" priority="5452" operator="equal">
      <formula>0</formula>
    </cfRule>
  </conditionalFormatting>
  <conditionalFormatting sqref="AA150">
    <cfRule type="cellIs" dxfId="2010" priority="5451" operator="equal">
      <formula>0</formula>
    </cfRule>
  </conditionalFormatting>
  <conditionalFormatting sqref="Z157:Z159">
    <cfRule type="cellIs" dxfId="2009" priority="5444" operator="equal">
      <formula>0</formula>
    </cfRule>
  </conditionalFormatting>
  <conditionalFormatting sqref="Z151:Z153">
    <cfRule type="cellIs" dxfId="2008" priority="5449" operator="equal">
      <formula>0</formula>
    </cfRule>
  </conditionalFormatting>
  <conditionalFormatting sqref="AA151:AA153">
    <cfRule type="cellIs" dxfId="2007" priority="5448" operator="equal">
      <formula>0</formula>
    </cfRule>
  </conditionalFormatting>
  <conditionalFormatting sqref="AA156">
    <cfRule type="cellIs" dxfId="2006" priority="5446" operator="equal">
      <formula>0</formula>
    </cfRule>
  </conditionalFormatting>
  <conditionalFormatting sqref="AA162 AA168">
    <cfRule type="cellIs" dxfId="2005" priority="5441" operator="equal">
      <formula>0</formula>
    </cfRule>
  </conditionalFormatting>
  <conditionalFormatting sqref="AA157:AA159">
    <cfRule type="cellIs" dxfId="2004" priority="5443" operator="equal">
      <formula>0</formula>
    </cfRule>
  </conditionalFormatting>
  <conditionalFormatting sqref="Z162 Z168">
    <cfRule type="cellIs" dxfId="2003" priority="5442" operator="equal">
      <formula>0</formula>
    </cfRule>
  </conditionalFormatting>
  <conditionalFormatting sqref="AA163:AA165 AA169:AA171">
    <cfRule type="cellIs" dxfId="2002" priority="5438" operator="equal">
      <formula>0</formula>
    </cfRule>
  </conditionalFormatting>
  <conditionalFormatting sqref="Z163:Z165 Z169:Z171">
    <cfRule type="cellIs" dxfId="2001" priority="5439" operator="equal">
      <formula>0</formula>
    </cfRule>
  </conditionalFormatting>
  <conditionalFormatting sqref="AA74 AA68 AA80 AA86 AA92 AA98 AA104 AA110 AA116 AA122 AA128 AA134 AA140 AA146 AA152 AA158 AA164 AA170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000" priority="5432" operator="equal">
      <formula>0</formula>
    </cfRule>
  </conditionalFormatting>
  <conditionalFormatting sqref="B26:B27">
    <cfRule type="cellIs" dxfId="1999" priority="5394" operator="greaterThan">
      <formula>E26</formula>
    </cfRule>
  </conditionalFormatting>
  <conditionalFormatting sqref="E26:E27">
    <cfRule type="cellIs" dxfId="1998" priority="5393" operator="greaterThan">
      <formula>B26</formula>
    </cfRule>
  </conditionalFormatting>
  <conditionalFormatting sqref="E28:E29">
    <cfRule type="cellIs" dxfId="1997" priority="5392" operator="greaterThan">
      <formula>B28</formula>
    </cfRule>
  </conditionalFormatting>
  <conditionalFormatting sqref="B28:B29">
    <cfRule type="cellIs" dxfId="1996" priority="5391" operator="greaterThan">
      <formula>E28</formula>
    </cfRule>
  </conditionalFormatting>
  <conditionalFormatting sqref="A27">
    <cfRule type="expression" dxfId="1995" priority="5385">
      <formula>V27&lt;&gt;0</formula>
    </cfRule>
  </conditionalFormatting>
  <conditionalFormatting sqref="A28">
    <cfRule type="expression" dxfId="1994" priority="5380">
      <formula>V28&lt;&gt;0</formula>
    </cfRule>
  </conditionalFormatting>
  <conditionalFormatting sqref="A29">
    <cfRule type="expression" dxfId="1993" priority="5375">
      <formula>V29&lt;&gt;0</formula>
    </cfRule>
  </conditionalFormatting>
  <conditionalFormatting sqref="Y64">
    <cfRule type="cellIs" dxfId="1992" priority="5322" operator="lessThanOrEqual">
      <formula>0</formula>
    </cfRule>
  </conditionalFormatting>
  <conditionalFormatting sqref="Y60">
    <cfRule type="cellIs" dxfId="1991" priority="5212" operator="lessThanOrEqual">
      <formula>0</formula>
    </cfRule>
  </conditionalFormatting>
  <conditionalFormatting sqref="Y62">
    <cfRule type="cellIs" dxfId="1990" priority="5209" operator="greaterThan">
      <formula>Z62</formula>
    </cfRule>
    <cfRule type="cellIs" dxfId="1989" priority="5210" operator="lessThanOrEqual">
      <formula>0</formula>
    </cfRule>
  </conditionalFormatting>
  <conditionalFormatting sqref="A74:A75">
    <cfRule type="expression" dxfId="1988" priority="5207">
      <formula>V74&lt;&gt;0</formula>
    </cfRule>
  </conditionalFormatting>
  <conditionalFormatting sqref="A80:A81">
    <cfRule type="expression" dxfId="1987" priority="5206">
      <formula>V80&lt;&gt;0</formula>
    </cfRule>
  </conditionalFormatting>
  <conditionalFormatting sqref="A86:A87">
    <cfRule type="expression" dxfId="1986" priority="5205">
      <formula>V86&lt;&gt;0</formula>
    </cfRule>
  </conditionalFormatting>
  <conditionalFormatting sqref="A92:A93">
    <cfRule type="expression" dxfId="1985" priority="5204">
      <formula>V92&lt;&gt;0</formula>
    </cfRule>
  </conditionalFormatting>
  <conditionalFormatting sqref="A98:A99">
    <cfRule type="expression" dxfId="1984" priority="5203">
      <formula>V98&lt;&gt;0</formula>
    </cfRule>
  </conditionalFormatting>
  <conditionalFormatting sqref="A104:A105">
    <cfRule type="expression" dxfId="1983" priority="5202">
      <formula>V104&lt;&gt;0</formula>
    </cfRule>
  </conditionalFormatting>
  <conditionalFormatting sqref="A110:A111">
    <cfRule type="expression" dxfId="1982" priority="5201">
      <formula>V110&lt;&gt;0</formula>
    </cfRule>
  </conditionalFormatting>
  <conditionalFormatting sqref="A116:A117">
    <cfRule type="expression" dxfId="1981" priority="5200">
      <formula>V116&lt;&gt;0</formula>
    </cfRule>
  </conditionalFormatting>
  <conditionalFormatting sqref="A122:A123">
    <cfRule type="expression" dxfId="1980" priority="5199">
      <formula>V122&lt;&gt;0</formula>
    </cfRule>
  </conditionalFormatting>
  <conditionalFormatting sqref="A128:A129">
    <cfRule type="expression" dxfId="1979" priority="5198">
      <formula>V128&lt;&gt;0</formula>
    </cfRule>
  </conditionalFormatting>
  <conditionalFormatting sqref="A134:A135">
    <cfRule type="expression" dxfId="1978" priority="5197">
      <formula>V134&lt;&gt;0</formula>
    </cfRule>
  </conditionalFormatting>
  <conditionalFormatting sqref="A140:A141">
    <cfRule type="expression" dxfId="1977" priority="5196">
      <formula>V140&lt;&gt;0</formula>
    </cfRule>
  </conditionalFormatting>
  <conditionalFormatting sqref="A146:A147">
    <cfRule type="expression" dxfId="1976" priority="5195">
      <formula>V146&lt;&gt;0</formula>
    </cfRule>
  </conditionalFormatting>
  <conditionalFormatting sqref="A152:A153">
    <cfRule type="expression" dxfId="1975" priority="5194">
      <formula>V152&lt;&gt;0</formula>
    </cfRule>
  </conditionalFormatting>
  <conditionalFormatting sqref="A158:A159">
    <cfRule type="expression" dxfId="1974" priority="5193">
      <formula>V158&lt;&gt;0</formula>
    </cfRule>
  </conditionalFormatting>
  <conditionalFormatting sqref="A164:A165">
    <cfRule type="expression" dxfId="1973" priority="5192">
      <formula>V164&lt;&gt;0</formula>
    </cfRule>
  </conditionalFormatting>
  <conditionalFormatting sqref="A170:A171">
    <cfRule type="expression" dxfId="1972" priority="5191">
      <formula>V170&lt;&gt;0</formula>
    </cfRule>
  </conditionalFormatting>
  <conditionalFormatting sqref="X64">
    <cfRule type="expression" dxfId="1971" priority="5169">
      <formula>F64/100&lt;X64</formula>
    </cfRule>
    <cfRule type="expression" dxfId="1970" priority="5170">
      <formula>X64&lt;F64/100</formula>
    </cfRule>
  </conditionalFormatting>
  <conditionalFormatting sqref="X65">
    <cfRule type="expression" dxfId="1969" priority="5167">
      <formula>F65/100&lt;X65</formula>
    </cfRule>
    <cfRule type="expression" dxfId="1968" priority="5168">
      <formula>X65&lt;F65/100</formula>
    </cfRule>
  </conditionalFormatting>
  <conditionalFormatting sqref="X66">
    <cfRule type="expression" dxfId="1967" priority="5095">
      <formula>F66/100&lt;X66</formula>
    </cfRule>
    <cfRule type="expression" dxfId="1966" priority="5096">
      <formula>X66&lt;F66/100</formula>
    </cfRule>
  </conditionalFormatting>
  <conditionalFormatting sqref="X67">
    <cfRule type="expression" dxfId="1965" priority="5093">
      <formula>F67/100&lt;X67</formula>
    </cfRule>
    <cfRule type="expression" dxfId="1964" priority="5094">
      <formula>X67&lt;F67/100</formula>
    </cfRule>
  </conditionalFormatting>
  <conditionalFormatting sqref="X68">
    <cfRule type="expression" dxfId="1963" priority="5091">
      <formula>F68/100&lt;X68</formula>
    </cfRule>
    <cfRule type="expression" dxfId="1962" priority="5092">
      <formula>X68&lt;F68/100</formula>
    </cfRule>
  </conditionalFormatting>
  <conditionalFormatting sqref="X69">
    <cfRule type="expression" dxfId="1961" priority="5089">
      <formula>F69/100&lt;X69</formula>
    </cfRule>
    <cfRule type="expression" dxfId="1960" priority="5090">
      <formula>X69&lt;F69/100</formula>
    </cfRule>
  </conditionalFormatting>
  <conditionalFormatting sqref="W69">
    <cfRule type="cellIs" dxfId="1959" priority="2777" operator="equal">
      <formula>0</formula>
    </cfRule>
    <cfRule type="cellIs" dxfId="1958" priority="4254" operator="greaterThan">
      <formula>W68</formula>
    </cfRule>
  </conditionalFormatting>
  <conditionalFormatting sqref="A10">
    <cfRule type="expression" dxfId="1957" priority="2957">
      <formula>$V26&lt;&gt;0</formula>
    </cfRule>
    <cfRule type="expression" dxfId="1956" priority="2958">
      <formula>IF($Y13&gt;$Y10,AND(MID($A10,5,1)=" "))</formula>
    </cfRule>
    <cfRule type="expression" dxfId="1955" priority="2959">
      <formula>IF($Y13&gt;$Y10,AND(MID($A10,5,1)="C"))</formula>
    </cfRule>
    <cfRule type="expression" dxfId="1954" priority="2960">
      <formula>IF($Y13&gt;$Y10,AND(MID($A10,5,1)="D"))</formula>
    </cfRule>
  </conditionalFormatting>
  <conditionalFormatting sqref="A13">
    <cfRule type="expression" dxfId="1953" priority="2961">
      <formula>$V29&lt;&gt;0</formula>
    </cfRule>
    <cfRule type="expression" dxfId="1952" priority="2962">
      <formula>IF($Y13&gt;$Y10,AND(MID($A13,5,1)=" "))</formula>
    </cfRule>
    <cfRule type="expression" dxfId="1951" priority="2963">
      <formula>IF($Y13&gt;$Y10,AND(MID($A13,5,1)="C"))</formula>
    </cfRule>
    <cfRule type="expression" dxfId="1950" priority="2964">
      <formula>IF($Y13&gt;$Y10,AND(MID($A13,5,1)="D"))</formula>
    </cfRule>
  </conditionalFormatting>
  <conditionalFormatting sqref="A11">
    <cfRule type="expression" dxfId="1949" priority="2965">
      <formula>$V27&lt;&gt;0</formula>
    </cfRule>
    <cfRule type="expression" dxfId="1948" priority="2966">
      <formula>IF($Y13&gt;$Y10,AND(MID($A11,5,1)=" "))</formula>
    </cfRule>
    <cfRule type="expression" dxfId="1947" priority="2967">
      <formula>IF($Y13&gt;$Y10,AND(MID($A11,5,1)="C"))</formula>
    </cfRule>
    <cfRule type="expression" dxfId="1946" priority="2968">
      <formula>IF($Y13&gt;$Y10,AND(MID($A11,5,1)="D"))</formula>
    </cfRule>
  </conditionalFormatting>
  <conditionalFormatting sqref="A12">
    <cfRule type="expression" dxfId="1945" priority="2969">
      <formula>$V28&lt;&gt;0</formula>
    </cfRule>
    <cfRule type="expression" dxfId="1944" priority="2970">
      <formula>IF($Y13&gt;$Y10,AND(MID($A12,5,1)=" "))</formula>
    </cfRule>
    <cfRule type="expression" dxfId="1943" priority="2971">
      <formula>IF($Y13&gt;$Y10,AND(MID($A12,5,1)="C"))</formula>
    </cfRule>
    <cfRule type="expression" dxfId="1942" priority="2972">
      <formula>IF($Y13&gt;$Y10,AND(MID($A12,5,1)="D"))</formula>
    </cfRule>
  </conditionalFormatting>
  <conditionalFormatting sqref="Y65">
    <cfRule type="cellIs" dxfId="1941" priority="2918" operator="equal">
      <formula>0</formula>
    </cfRule>
  </conditionalFormatting>
  <conditionalFormatting sqref="Y67">
    <cfRule type="cellIs" dxfId="1940" priority="2917" operator="equal">
      <formula>0</formula>
    </cfRule>
  </conditionalFormatting>
  <conditionalFormatting sqref="Y69">
    <cfRule type="cellIs" dxfId="1939" priority="2916" operator="equal">
      <formula>0</formula>
    </cfRule>
  </conditionalFormatting>
  <conditionalFormatting sqref="Y72 Y74">
    <cfRule type="cellIs" dxfId="1938" priority="2880" operator="lessThanOrEqual">
      <formula>0</formula>
    </cfRule>
  </conditionalFormatting>
  <conditionalFormatting sqref="Y70">
    <cfRule type="cellIs" dxfId="1937" priority="2879" operator="lessThanOrEqual">
      <formula>0</formula>
    </cfRule>
  </conditionalFormatting>
  <conditionalFormatting sqref="Y71">
    <cfRule type="cellIs" dxfId="1936" priority="2878" operator="equal">
      <formula>0</formula>
    </cfRule>
  </conditionalFormatting>
  <conditionalFormatting sqref="Y73">
    <cfRule type="cellIs" dxfId="1935" priority="2877" operator="equal">
      <formula>0</formula>
    </cfRule>
  </conditionalFormatting>
  <conditionalFormatting sqref="Y75">
    <cfRule type="cellIs" dxfId="1934" priority="2876" operator="equal">
      <formula>0</formula>
    </cfRule>
  </conditionalFormatting>
  <conditionalFormatting sqref="Y78 Y80">
    <cfRule type="cellIs" dxfId="1933" priority="2875" operator="lessThanOrEqual">
      <formula>0</formula>
    </cfRule>
  </conditionalFormatting>
  <conditionalFormatting sqref="Y76">
    <cfRule type="cellIs" dxfId="1932" priority="2874" operator="lessThanOrEqual">
      <formula>0</formula>
    </cfRule>
  </conditionalFormatting>
  <conditionalFormatting sqref="Y77">
    <cfRule type="cellIs" dxfId="1931" priority="2873" operator="equal">
      <formula>0</formula>
    </cfRule>
  </conditionalFormatting>
  <conditionalFormatting sqref="Y79">
    <cfRule type="cellIs" dxfId="1930" priority="2872" operator="equal">
      <formula>0</formula>
    </cfRule>
  </conditionalFormatting>
  <conditionalFormatting sqref="Y81">
    <cfRule type="cellIs" dxfId="1929" priority="2871" operator="equal">
      <formula>0</formula>
    </cfRule>
  </conditionalFormatting>
  <conditionalFormatting sqref="Y84 Y86">
    <cfRule type="cellIs" dxfId="1928" priority="2870" operator="lessThanOrEqual">
      <formula>0</formula>
    </cfRule>
  </conditionalFormatting>
  <conditionalFormatting sqref="Y82">
    <cfRule type="cellIs" dxfId="1927" priority="2869" operator="lessThanOrEqual">
      <formula>0</formula>
    </cfRule>
  </conditionalFormatting>
  <conditionalFormatting sqref="Y83">
    <cfRule type="cellIs" dxfId="1926" priority="2868" operator="equal">
      <formula>0</formula>
    </cfRule>
  </conditionalFormatting>
  <conditionalFormatting sqref="Y85">
    <cfRule type="cellIs" dxfId="1925" priority="2867" operator="equal">
      <formula>0</formula>
    </cfRule>
  </conditionalFormatting>
  <conditionalFormatting sqref="Y87">
    <cfRule type="cellIs" dxfId="1924" priority="2866" operator="equal">
      <formula>0</formula>
    </cfRule>
  </conditionalFormatting>
  <conditionalFormatting sqref="Y90 Y92">
    <cfRule type="cellIs" dxfId="1923" priority="2865" operator="lessThanOrEqual">
      <formula>0</formula>
    </cfRule>
  </conditionalFormatting>
  <conditionalFormatting sqref="Y88">
    <cfRule type="cellIs" dxfId="1922" priority="2864" operator="lessThanOrEqual">
      <formula>0</formula>
    </cfRule>
  </conditionalFormatting>
  <conditionalFormatting sqref="Y89">
    <cfRule type="cellIs" dxfId="1921" priority="2863" operator="equal">
      <formula>0</formula>
    </cfRule>
  </conditionalFormatting>
  <conditionalFormatting sqref="Y91">
    <cfRule type="cellIs" dxfId="1920" priority="2862" operator="equal">
      <formula>0</formula>
    </cfRule>
  </conditionalFormatting>
  <conditionalFormatting sqref="Y93">
    <cfRule type="cellIs" dxfId="1919" priority="2861" operator="equal">
      <formula>0</formula>
    </cfRule>
  </conditionalFormatting>
  <conditionalFormatting sqref="Y96 Y98">
    <cfRule type="cellIs" dxfId="1918" priority="2860" operator="lessThanOrEqual">
      <formula>0</formula>
    </cfRule>
  </conditionalFormatting>
  <conditionalFormatting sqref="Y94">
    <cfRule type="cellIs" dxfId="1917" priority="2859" operator="lessThanOrEqual">
      <formula>0</formula>
    </cfRule>
  </conditionalFormatting>
  <conditionalFormatting sqref="Y95">
    <cfRule type="cellIs" dxfId="1916" priority="2858" operator="equal">
      <formula>0</formula>
    </cfRule>
  </conditionalFormatting>
  <conditionalFormatting sqref="Y97">
    <cfRule type="cellIs" dxfId="1915" priority="2857" operator="equal">
      <formula>0</formula>
    </cfRule>
  </conditionalFormatting>
  <conditionalFormatting sqref="Y99">
    <cfRule type="cellIs" dxfId="1914" priority="2856" operator="equal">
      <formula>0</formula>
    </cfRule>
  </conditionalFormatting>
  <conditionalFormatting sqref="Y102 Y104">
    <cfRule type="cellIs" dxfId="1913" priority="2855" operator="lessThanOrEqual">
      <formula>0</formula>
    </cfRule>
  </conditionalFormatting>
  <conditionalFormatting sqref="Y100">
    <cfRule type="cellIs" dxfId="1912" priority="2854" operator="lessThanOrEqual">
      <formula>0</formula>
    </cfRule>
  </conditionalFormatting>
  <conditionalFormatting sqref="Y101">
    <cfRule type="cellIs" dxfId="1911" priority="2853" operator="equal">
      <formula>0</formula>
    </cfRule>
  </conditionalFormatting>
  <conditionalFormatting sqref="Y103">
    <cfRule type="cellIs" dxfId="1910" priority="2852" operator="equal">
      <formula>0</formula>
    </cfRule>
  </conditionalFormatting>
  <conditionalFormatting sqref="Y105">
    <cfRule type="cellIs" dxfId="1909" priority="2851" operator="equal">
      <formula>0</formula>
    </cfRule>
  </conditionalFormatting>
  <conditionalFormatting sqref="Y108 Y110">
    <cfRule type="cellIs" dxfId="1908" priority="2850" operator="lessThanOrEqual">
      <formula>0</formula>
    </cfRule>
  </conditionalFormatting>
  <conditionalFormatting sqref="Y106">
    <cfRule type="cellIs" dxfId="1907" priority="2849" operator="lessThanOrEqual">
      <formula>0</formula>
    </cfRule>
  </conditionalFormatting>
  <conditionalFormatting sqref="Y107">
    <cfRule type="cellIs" dxfId="1906" priority="2848" operator="equal">
      <formula>0</formula>
    </cfRule>
  </conditionalFormatting>
  <conditionalFormatting sqref="Y109">
    <cfRule type="cellIs" dxfId="1905" priority="2847" operator="equal">
      <formula>0</formula>
    </cfRule>
  </conditionalFormatting>
  <conditionalFormatting sqref="Y111">
    <cfRule type="cellIs" dxfId="1904" priority="2846" operator="equal">
      <formula>0</formula>
    </cfRule>
  </conditionalFormatting>
  <conditionalFormatting sqref="Y114 Y116">
    <cfRule type="cellIs" dxfId="1903" priority="2845" operator="lessThanOrEqual">
      <formula>0</formula>
    </cfRule>
  </conditionalFormatting>
  <conditionalFormatting sqref="Y112">
    <cfRule type="cellIs" dxfId="1902" priority="2844" operator="lessThanOrEqual">
      <formula>0</formula>
    </cfRule>
  </conditionalFormatting>
  <conditionalFormatting sqref="Y113">
    <cfRule type="cellIs" dxfId="1901" priority="2843" operator="equal">
      <formula>0</formula>
    </cfRule>
  </conditionalFormatting>
  <conditionalFormatting sqref="Y115">
    <cfRule type="cellIs" dxfId="1900" priority="2842" operator="equal">
      <formula>0</formula>
    </cfRule>
  </conditionalFormatting>
  <conditionalFormatting sqref="Y117">
    <cfRule type="cellIs" dxfId="1899" priority="2841" operator="equal">
      <formula>0</formula>
    </cfRule>
  </conditionalFormatting>
  <conditionalFormatting sqref="Y120 Y122">
    <cfRule type="cellIs" dxfId="1898" priority="2840" operator="lessThanOrEqual">
      <formula>0</formula>
    </cfRule>
  </conditionalFormatting>
  <conditionalFormatting sqref="Y118">
    <cfRule type="cellIs" dxfId="1897" priority="2839" operator="lessThanOrEqual">
      <formula>0</formula>
    </cfRule>
  </conditionalFormatting>
  <conditionalFormatting sqref="Y119">
    <cfRule type="cellIs" dxfId="1896" priority="2838" operator="equal">
      <formula>0</formula>
    </cfRule>
  </conditionalFormatting>
  <conditionalFormatting sqref="Y121">
    <cfRule type="cellIs" dxfId="1895" priority="2837" operator="equal">
      <formula>0</formula>
    </cfRule>
  </conditionalFormatting>
  <conditionalFormatting sqref="Y123">
    <cfRule type="cellIs" dxfId="1894" priority="2836" operator="equal">
      <formula>0</formula>
    </cfRule>
  </conditionalFormatting>
  <conditionalFormatting sqref="Y126 Y128">
    <cfRule type="cellIs" dxfId="1893" priority="2835" operator="lessThanOrEqual">
      <formula>0</formula>
    </cfRule>
  </conditionalFormatting>
  <conditionalFormatting sqref="Y124">
    <cfRule type="cellIs" dxfId="1892" priority="2834" operator="lessThanOrEqual">
      <formula>0</formula>
    </cfRule>
  </conditionalFormatting>
  <conditionalFormatting sqref="Y125">
    <cfRule type="cellIs" dxfId="1891" priority="2833" operator="equal">
      <formula>0</formula>
    </cfRule>
  </conditionalFormatting>
  <conditionalFormatting sqref="Y127">
    <cfRule type="cellIs" dxfId="1890" priority="2832" operator="equal">
      <formula>0</formula>
    </cfRule>
  </conditionalFormatting>
  <conditionalFormatting sqref="Y129">
    <cfRule type="cellIs" dxfId="1889" priority="2831" operator="equal">
      <formula>0</formula>
    </cfRule>
  </conditionalFormatting>
  <conditionalFormatting sqref="Y132 Y134">
    <cfRule type="cellIs" dxfId="1888" priority="2830" operator="lessThanOrEqual">
      <formula>0</formula>
    </cfRule>
  </conditionalFormatting>
  <conditionalFormatting sqref="Y130">
    <cfRule type="cellIs" dxfId="1887" priority="2829" operator="lessThanOrEqual">
      <formula>0</formula>
    </cfRule>
  </conditionalFormatting>
  <conditionalFormatting sqref="Y131">
    <cfRule type="cellIs" dxfId="1886" priority="2828" operator="equal">
      <formula>0</formula>
    </cfRule>
  </conditionalFormatting>
  <conditionalFormatting sqref="Y133">
    <cfRule type="cellIs" dxfId="1885" priority="2827" operator="equal">
      <formula>0</formula>
    </cfRule>
  </conditionalFormatting>
  <conditionalFormatting sqref="Y135">
    <cfRule type="cellIs" dxfId="1884" priority="2826" operator="equal">
      <formula>0</formula>
    </cfRule>
  </conditionalFormatting>
  <conditionalFormatting sqref="Y138 Y140">
    <cfRule type="cellIs" dxfId="1883" priority="2825" operator="lessThanOrEqual">
      <formula>0</formula>
    </cfRule>
  </conditionalFormatting>
  <conditionalFormatting sqref="Y136">
    <cfRule type="cellIs" dxfId="1882" priority="2824" operator="lessThanOrEqual">
      <formula>0</formula>
    </cfRule>
  </conditionalFormatting>
  <conditionalFormatting sqref="Y137">
    <cfRule type="cellIs" dxfId="1881" priority="2823" operator="equal">
      <formula>0</formula>
    </cfRule>
  </conditionalFormatting>
  <conditionalFormatting sqref="Y139">
    <cfRule type="cellIs" dxfId="1880" priority="2822" operator="equal">
      <formula>0</formula>
    </cfRule>
  </conditionalFormatting>
  <conditionalFormatting sqref="Y141">
    <cfRule type="cellIs" dxfId="1879" priority="2821" operator="equal">
      <formula>0</formula>
    </cfRule>
  </conditionalFormatting>
  <conditionalFormatting sqref="Y144 Y146">
    <cfRule type="cellIs" dxfId="1878" priority="2820" operator="lessThanOrEqual">
      <formula>0</formula>
    </cfRule>
  </conditionalFormatting>
  <conditionalFormatting sqref="Y142">
    <cfRule type="cellIs" dxfId="1877" priority="2819" operator="lessThanOrEqual">
      <formula>0</formula>
    </cfRule>
  </conditionalFormatting>
  <conditionalFormatting sqref="Y143">
    <cfRule type="cellIs" dxfId="1876" priority="2818" operator="equal">
      <formula>0</formula>
    </cfRule>
  </conditionalFormatting>
  <conditionalFormatting sqref="Y145">
    <cfRule type="cellIs" dxfId="1875" priority="2817" operator="equal">
      <formula>0</formula>
    </cfRule>
  </conditionalFormatting>
  <conditionalFormatting sqref="Y147">
    <cfRule type="cellIs" dxfId="1874" priority="2816" operator="equal">
      <formula>0</formula>
    </cfRule>
  </conditionalFormatting>
  <conditionalFormatting sqref="Y150 Y152">
    <cfRule type="cellIs" dxfId="1873" priority="2815" operator="lessThanOrEqual">
      <formula>0</formula>
    </cfRule>
  </conditionalFormatting>
  <conditionalFormatting sqref="Y148">
    <cfRule type="cellIs" dxfId="1872" priority="2814" operator="lessThanOrEqual">
      <formula>0</formula>
    </cfRule>
  </conditionalFormatting>
  <conditionalFormatting sqref="Y149">
    <cfRule type="cellIs" dxfId="1871" priority="2813" operator="equal">
      <formula>0</formula>
    </cfRule>
  </conditionalFormatting>
  <conditionalFormatting sqref="Y151">
    <cfRule type="cellIs" dxfId="1870" priority="2812" operator="equal">
      <formula>0</formula>
    </cfRule>
  </conditionalFormatting>
  <conditionalFormatting sqref="Y153">
    <cfRule type="cellIs" dxfId="1869" priority="2811" operator="equal">
      <formula>0</formula>
    </cfRule>
  </conditionalFormatting>
  <conditionalFormatting sqref="Y156 Y158">
    <cfRule type="cellIs" dxfId="1868" priority="2810" operator="lessThanOrEqual">
      <formula>0</formula>
    </cfRule>
  </conditionalFormatting>
  <conditionalFormatting sqref="Y154">
    <cfRule type="cellIs" dxfId="1867" priority="2809" operator="lessThanOrEqual">
      <formula>0</formula>
    </cfRule>
  </conditionalFormatting>
  <conditionalFormatting sqref="Y155">
    <cfRule type="cellIs" dxfId="1866" priority="2808" operator="equal">
      <formula>0</formula>
    </cfRule>
  </conditionalFormatting>
  <conditionalFormatting sqref="Y157">
    <cfRule type="cellIs" dxfId="1865" priority="2807" operator="equal">
      <formula>0</formula>
    </cfRule>
  </conditionalFormatting>
  <conditionalFormatting sqref="Y159">
    <cfRule type="cellIs" dxfId="1864" priority="2806" operator="equal">
      <formula>0</formula>
    </cfRule>
  </conditionalFormatting>
  <conditionalFormatting sqref="Y162 Y164">
    <cfRule type="cellIs" dxfId="1863" priority="2805" operator="lessThanOrEqual">
      <formula>0</formula>
    </cfRule>
  </conditionalFormatting>
  <conditionalFormatting sqref="Y160">
    <cfRule type="cellIs" dxfId="1862" priority="2804" operator="lessThanOrEqual">
      <formula>0</formula>
    </cfRule>
  </conditionalFormatting>
  <conditionalFormatting sqref="Y161">
    <cfRule type="cellIs" dxfId="1861" priority="2803" operator="equal">
      <formula>0</formula>
    </cfRule>
  </conditionalFormatting>
  <conditionalFormatting sqref="Y163">
    <cfRule type="cellIs" dxfId="1860" priority="2802" operator="equal">
      <formula>0</formula>
    </cfRule>
  </conditionalFormatting>
  <conditionalFormatting sqref="Y165">
    <cfRule type="cellIs" dxfId="1859" priority="2801" operator="equal">
      <formula>0</formula>
    </cfRule>
  </conditionalFormatting>
  <conditionalFormatting sqref="Y168 Y170">
    <cfRule type="cellIs" dxfId="1858" priority="2800" operator="lessThanOrEqual">
      <formula>0</formula>
    </cfRule>
  </conditionalFormatting>
  <conditionalFormatting sqref="Y166">
    <cfRule type="cellIs" dxfId="1857" priority="2799" operator="lessThanOrEqual">
      <formula>0</formula>
    </cfRule>
  </conditionalFormatting>
  <conditionalFormatting sqref="Y167">
    <cfRule type="cellIs" dxfId="1856" priority="2798" operator="equal">
      <formula>0</formula>
    </cfRule>
  </conditionalFormatting>
  <conditionalFormatting sqref="Y169">
    <cfRule type="cellIs" dxfId="1855" priority="2797" operator="equal">
      <formula>0</formula>
    </cfRule>
  </conditionalFormatting>
  <conditionalFormatting sqref="Y171">
    <cfRule type="cellIs" dxfId="1854" priority="2796" operator="equal">
      <formula>0</formula>
    </cfRule>
  </conditionalFormatting>
  <conditionalFormatting sqref="W71">
    <cfRule type="cellIs" dxfId="1853" priority="2338" operator="lessThan">
      <formula>W70</formula>
    </cfRule>
    <cfRule type="cellIs" dxfId="1852" priority="2764" operator="equal">
      <formula>0</formula>
    </cfRule>
  </conditionalFormatting>
  <conditionalFormatting sqref="W70">
    <cfRule type="cellIs" dxfId="1851" priority="2339" operator="lessThan">
      <formula>W71</formula>
    </cfRule>
    <cfRule type="cellIs" dxfId="1850" priority="2757" operator="equal">
      <formula>0</formula>
    </cfRule>
    <cfRule type="cellIs" dxfId="1849" priority="2758" operator="lessThan">
      <formula>W71</formula>
    </cfRule>
    <cfRule type="cellIs" dxfId="1848" priority="2763" operator="lessThan">
      <formula>0</formula>
    </cfRule>
  </conditionalFormatting>
  <conditionalFormatting sqref="W73">
    <cfRule type="cellIs" dxfId="1847" priority="2762" operator="equal">
      <formula>0</formula>
    </cfRule>
  </conditionalFormatting>
  <conditionalFormatting sqref="W72">
    <cfRule type="cellIs" dxfId="1846" priority="2755" operator="equal">
      <formula>0</formula>
    </cfRule>
    <cfRule type="cellIs" dxfId="1845" priority="2756" operator="lessThan">
      <formula>W73</formula>
    </cfRule>
    <cfRule type="cellIs" dxfId="1844" priority="2761" operator="lessThan">
      <formula>0</formula>
    </cfRule>
  </conditionalFormatting>
  <conditionalFormatting sqref="W74">
    <cfRule type="cellIs" dxfId="1843" priority="2754" operator="equal">
      <formula>0</formula>
    </cfRule>
    <cfRule type="cellIs" dxfId="1842" priority="2759" operator="lessThan">
      <formula>W75</formula>
    </cfRule>
  </conditionalFormatting>
  <conditionalFormatting sqref="W79">
    <cfRule type="cellIs" dxfId="1841" priority="2750" operator="equal">
      <formula>0</formula>
    </cfRule>
  </conditionalFormatting>
  <conditionalFormatting sqref="W78">
    <cfRule type="cellIs" dxfId="1840" priority="2743" operator="equal">
      <formula>0</formula>
    </cfRule>
    <cfRule type="cellIs" dxfId="1839" priority="2744" operator="lessThan">
      <formula>W79</formula>
    </cfRule>
    <cfRule type="cellIs" dxfId="1838" priority="2749" operator="lessThan">
      <formula>0</formula>
    </cfRule>
  </conditionalFormatting>
  <conditionalFormatting sqref="W80">
    <cfRule type="cellIs" dxfId="1837" priority="2742" operator="equal">
      <formula>0</formula>
    </cfRule>
    <cfRule type="cellIs" dxfId="1836" priority="2747" operator="lessThan">
      <formula>W81</formula>
    </cfRule>
  </conditionalFormatting>
  <conditionalFormatting sqref="W85">
    <cfRule type="cellIs" dxfId="1835" priority="2738" operator="equal">
      <formula>0</formula>
    </cfRule>
  </conditionalFormatting>
  <conditionalFormatting sqref="W84">
    <cfRule type="cellIs" dxfId="1834" priority="2731" operator="equal">
      <formula>0</formula>
    </cfRule>
    <cfRule type="cellIs" dxfId="1833" priority="2732" operator="lessThan">
      <formula>W85</formula>
    </cfRule>
    <cfRule type="cellIs" dxfId="1832" priority="2737" operator="lessThan">
      <formula>0</formula>
    </cfRule>
  </conditionalFormatting>
  <conditionalFormatting sqref="W86">
    <cfRule type="cellIs" dxfId="1831" priority="2730" operator="equal">
      <formula>0</formula>
    </cfRule>
    <cfRule type="cellIs" dxfId="1830" priority="2735" operator="lessThan">
      <formula>W87</formula>
    </cfRule>
  </conditionalFormatting>
  <conditionalFormatting sqref="W87">
    <cfRule type="cellIs" dxfId="1829" priority="2729" operator="equal">
      <formula>0</formula>
    </cfRule>
    <cfRule type="cellIs" dxfId="1828" priority="2736" operator="greaterThan">
      <formula>W86</formula>
    </cfRule>
  </conditionalFormatting>
  <conditionalFormatting sqref="W91">
    <cfRule type="cellIs" dxfId="1827" priority="2726" operator="equal">
      <formula>0</formula>
    </cfRule>
  </conditionalFormatting>
  <conditionalFormatting sqref="W90">
    <cfRule type="cellIs" dxfId="1826" priority="2719" operator="equal">
      <formula>0</formula>
    </cfRule>
    <cfRule type="cellIs" dxfId="1825" priority="2720" operator="lessThan">
      <formula>W91</formula>
    </cfRule>
    <cfRule type="cellIs" dxfId="1824" priority="2725" operator="lessThan">
      <formula>0</formula>
    </cfRule>
  </conditionalFormatting>
  <conditionalFormatting sqref="W92">
    <cfRule type="cellIs" dxfId="1823" priority="2718" operator="equal">
      <formula>0</formula>
    </cfRule>
    <cfRule type="cellIs" dxfId="1822" priority="2723" operator="lessThan">
      <formula>W93</formula>
    </cfRule>
  </conditionalFormatting>
  <conditionalFormatting sqref="W93">
    <cfRule type="cellIs" dxfId="1821" priority="2717" operator="equal">
      <formula>0</formula>
    </cfRule>
    <cfRule type="cellIs" dxfId="1820" priority="2724" operator="greaterThan">
      <formula>W92</formula>
    </cfRule>
  </conditionalFormatting>
  <conditionalFormatting sqref="W97">
    <cfRule type="cellIs" dxfId="1819" priority="2714" operator="equal">
      <formula>0</formula>
    </cfRule>
  </conditionalFormatting>
  <conditionalFormatting sqref="W96">
    <cfRule type="cellIs" dxfId="1818" priority="2707" operator="equal">
      <formula>0</formula>
    </cfRule>
    <cfRule type="cellIs" dxfId="1817" priority="2708" operator="lessThan">
      <formula>W97</formula>
    </cfRule>
    <cfRule type="cellIs" dxfId="1816" priority="2713" operator="lessThan">
      <formula>0</formula>
    </cfRule>
  </conditionalFormatting>
  <conditionalFormatting sqref="W98">
    <cfRule type="cellIs" dxfId="1815" priority="2706" operator="equal">
      <formula>0</formula>
    </cfRule>
    <cfRule type="cellIs" dxfId="1814" priority="2711" operator="lessThan">
      <formula>W99</formula>
    </cfRule>
  </conditionalFormatting>
  <conditionalFormatting sqref="W99">
    <cfRule type="cellIs" dxfId="1813" priority="2705" operator="equal">
      <formula>0</formula>
    </cfRule>
    <cfRule type="cellIs" dxfId="1812" priority="2712" operator="greaterThan">
      <formula>W98</formula>
    </cfRule>
  </conditionalFormatting>
  <conditionalFormatting sqref="W103">
    <cfRule type="cellIs" dxfId="1811" priority="2702" operator="equal">
      <formula>0</formula>
    </cfRule>
  </conditionalFormatting>
  <conditionalFormatting sqref="W102">
    <cfRule type="cellIs" dxfId="1810" priority="2695" operator="equal">
      <formula>0</formula>
    </cfRule>
    <cfRule type="cellIs" dxfId="1809" priority="2696" operator="lessThan">
      <formula>W103</formula>
    </cfRule>
    <cfRule type="cellIs" dxfId="1808" priority="2701" operator="lessThan">
      <formula>0</formula>
    </cfRule>
  </conditionalFormatting>
  <conditionalFormatting sqref="W104">
    <cfRule type="cellIs" dxfId="1807" priority="2694" operator="equal">
      <formula>0</formula>
    </cfRule>
    <cfRule type="cellIs" dxfId="1806" priority="2699" operator="lessThan">
      <formula>W105</formula>
    </cfRule>
  </conditionalFormatting>
  <conditionalFormatting sqref="W105">
    <cfRule type="cellIs" dxfId="1805" priority="2693" operator="equal">
      <formula>0</formula>
    </cfRule>
    <cfRule type="cellIs" dxfId="1804" priority="2700" operator="greaterThan">
      <formula>W104</formula>
    </cfRule>
  </conditionalFormatting>
  <conditionalFormatting sqref="W109">
    <cfRule type="cellIs" dxfId="1803" priority="2690" operator="equal">
      <formula>0</formula>
    </cfRule>
  </conditionalFormatting>
  <conditionalFormatting sqref="W108">
    <cfRule type="cellIs" dxfId="1802" priority="2683" operator="equal">
      <formula>0</formula>
    </cfRule>
    <cfRule type="cellIs" dxfId="1801" priority="2684" operator="lessThan">
      <formula>W109</formula>
    </cfRule>
    <cfRule type="cellIs" dxfId="1800" priority="2689" operator="lessThan">
      <formula>0</formula>
    </cfRule>
  </conditionalFormatting>
  <conditionalFormatting sqref="W110">
    <cfRule type="cellIs" dxfId="1799" priority="2682" operator="equal">
      <formula>0</formula>
    </cfRule>
    <cfRule type="cellIs" dxfId="1798" priority="2687" operator="lessThan">
      <formula>W111</formula>
    </cfRule>
  </conditionalFormatting>
  <conditionalFormatting sqref="W111">
    <cfRule type="cellIs" dxfId="1797" priority="2681" operator="equal">
      <formula>0</formula>
    </cfRule>
    <cfRule type="cellIs" dxfId="1796" priority="2688" operator="greaterThan">
      <formula>W110</formula>
    </cfRule>
  </conditionalFormatting>
  <conditionalFormatting sqref="W115">
    <cfRule type="cellIs" dxfId="1795" priority="2678" operator="equal">
      <formula>0</formula>
    </cfRule>
  </conditionalFormatting>
  <conditionalFormatting sqref="W114">
    <cfRule type="cellIs" dxfId="1794" priority="2671" operator="equal">
      <formula>0</formula>
    </cfRule>
    <cfRule type="cellIs" dxfId="1793" priority="2672" operator="lessThan">
      <formula>W115</formula>
    </cfRule>
    <cfRule type="cellIs" dxfId="1792" priority="2677" operator="lessThan">
      <formula>0</formula>
    </cfRule>
  </conditionalFormatting>
  <conditionalFormatting sqref="W116">
    <cfRule type="cellIs" dxfId="1791" priority="2670" operator="equal">
      <formula>0</formula>
    </cfRule>
    <cfRule type="cellIs" dxfId="1790" priority="2675" operator="lessThan">
      <formula>W117</formula>
    </cfRule>
  </conditionalFormatting>
  <conditionalFormatting sqref="W117">
    <cfRule type="cellIs" dxfId="1789" priority="2669" operator="equal">
      <formula>0</formula>
    </cfRule>
    <cfRule type="cellIs" dxfId="1788" priority="2676" operator="greaterThan">
      <formula>W116</formula>
    </cfRule>
  </conditionalFormatting>
  <conditionalFormatting sqref="W121">
    <cfRule type="cellIs" dxfId="1787" priority="2666" operator="equal">
      <formula>0</formula>
    </cfRule>
  </conditionalFormatting>
  <conditionalFormatting sqref="W120">
    <cfRule type="cellIs" dxfId="1786" priority="2659" operator="equal">
      <formula>0</formula>
    </cfRule>
    <cfRule type="cellIs" dxfId="1785" priority="2660" operator="lessThan">
      <formula>W121</formula>
    </cfRule>
    <cfRule type="cellIs" dxfId="1784" priority="2665" operator="lessThan">
      <formula>0</formula>
    </cfRule>
  </conditionalFormatting>
  <conditionalFormatting sqref="W122">
    <cfRule type="cellIs" dxfId="1783" priority="2658" operator="equal">
      <formula>0</formula>
    </cfRule>
    <cfRule type="cellIs" dxfId="1782" priority="2663" operator="lessThan">
      <formula>W123</formula>
    </cfRule>
  </conditionalFormatting>
  <conditionalFormatting sqref="W123">
    <cfRule type="cellIs" dxfId="1781" priority="2657" operator="equal">
      <formula>0</formula>
    </cfRule>
    <cfRule type="cellIs" dxfId="1780" priority="2664" operator="greaterThan">
      <formula>W122</formula>
    </cfRule>
  </conditionalFormatting>
  <conditionalFormatting sqref="W127">
    <cfRule type="cellIs" dxfId="1779" priority="2654" operator="equal">
      <formula>0</formula>
    </cfRule>
  </conditionalFormatting>
  <conditionalFormatting sqref="W126">
    <cfRule type="cellIs" dxfId="1778" priority="2647" operator="equal">
      <formula>0</formula>
    </cfRule>
    <cfRule type="cellIs" dxfId="1777" priority="2648" operator="lessThan">
      <formula>W127</formula>
    </cfRule>
    <cfRule type="cellIs" dxfId="1776" priority="2653" operator="lessThan">
      <formula>0</formula>
    </cfRule>
  </conditionalFormatting>
  <conditionalFormatting sqref="W128">
    <cfRule type="cellIs" dxfId="1775" priority="2646" operator="equal">
      <formula>0</formula>
    </cfRule>
    <cfRule type="cellIs" dxfId="1774" priority="2651" operator="lessThan">
      <formula>W129</formula>
    </cfRule>
  </conditionalFormatting>
  <conditionalFormatting sqref="W129">
    <cfRule type="cellIs" dxfId="1773" priority="2645" operator="equal">
      <formula>0</formula>
    </cfRule>
    <cfRule type="cellIs" dxfId="1772" priority="2652" operator="greaterThan">
      <formula>W128</formula>
    </cfRule>
  </conditionalFormatting>
  <conditionalFormatting sqref="W133">
    <cfRule type="cellIs" dxfId="1771" priority="2642" operator="equal">
      <formula>0</formula>
    </cfRule>
  </conditionalFormatting>
  <conditionalFormatting sqref="W132">
    <cfRule type="cellIs" dxfId="1770" priority="2635" operator="equal">
      <formula>0</formula>
    </cfRule>
    <cfRule type="cellIs" dxfId="1769" priority="2636" operator="lessThan">
      <formula>W133</formula>
    </cfRule>
    <cfRule type="cellIs" dxfId="1768" priority="2641" operator="lessThan">
      <formula>0</formula>
    </cfRule>
  </conditionalFormatting>
  <conditionalFormatting sqref="W134">
    <cfRule type="cellIs" dxfId="1767" priority="2634" operator="equal">
      <formula>0</formula>
    </cfRule>
    <cfRule type="cellIs" dxfId="1766" priority="2639" operator="lessThan">
      <formula>W135</formula>
    </cfRule>
  </conditionalFormatting>
  <conditionalFormatting sqref="W135">
    <cfRule type="cellIs" dxfId="1765" priority="2633" operator="equal">
      <formula>0</formula>
    </cfRule>
    <cfRule type="cellIs" dxfId="1764" priority="2640" operator="greaterThan">
      <formula>W134</formula>
    </cfRule>
  </conditionalFormatting>
  <conditionalFormatting sqref="W139">
    <cfRule type="cellIs" dxfId="1763" priority="2630" operator="equal">
      <formula>0</formula>
    </cfRule>
  </conditionalFormatting>
  <conditionalFormatting sqref="W138">
    <cfRule type="cellIs" dxfId="1762" priority="2623" operator="equal">
      <formula>0</formula>
    </cfRule>
    <cfRule type="cellIs" dxfId="1761" priority="2624" operator="lessThan">
      <formula>W139</formula>
    </cfRule>
    <cfRule type="cellIs" dxfId="1760" priority="2629" operator="lessThan">
      <formula>0</formula>
    </cfRule>
  </conditionalFormatting>
  <conditionalFormatting sqref="W140">
    <cfRule type="cellIs" dxfId="1759" priority="2622" operator="equal">
      <formula>0</formula>
    </cfRule>
    <cfRule type="cellIs" dxfId="1758" priority="2627" operator="lessThan">
      <formula>W141</formula>
    </cfRule>
  </conditionalFormatting>
  <conditionalFormatting sqref="W141">
    <cfRule type="cellIs" dxfId="1757" priority="2621" operator="equal">
      <formula>0</formula>
    </cfRule>
    <cfRule type="cellIs" dxfId="1756" priority="2628" operator="greaterThan">
      <formula>W140</formula>
    </cfRule>
  </conditionalFormatting>
  <conditionalFormatting sqref="W145">
    <cfRule type="cellIs" dxfId="1755" priority="2618" operator="equal">
      <formula>0</formula>
    </cfRule>
  </conditionalFormatting>
  <conditionalFormatting sqref="W144">
    <cfRule type="cellIs" dxfId="1754" priority="2611" operator="equal">
      <formula>0</formula>
    </cfRule>
    <cfRule type="cellIs" dxfId="1753" priority="2612" operator="lessThan">
      <formula>W145</formula>
    </cfRule>
    <cfRule type="cellIs" dxfId="1752" priority="2617" operator="lessThan">
      <formula>0</formula>
    </cfRule>
  </conditionalFormatting>
  <conditionalFormatting sqref="W146">
    <cfRule type="cellIs" dxfId="1751" priority="2610" operator="equal">
      <formula>0</formula>
    </cfRule>
    <cfRule type="cellIs" dxfId="1750" priority="2615" operator="lessThan">
      <formula>W147</formula>
    </cfRule>
  </conditionalFormatting>
  <conditionalFormatting sqref="W147">
    <cfRule type="cellIs" dxfId="1749" priority="2609" operator="equal">
      <formula>0</formula>
    </cfRule>
    <cfRule type="cellIs" dxfId="1748" priority="2616" operator="greaterThan">
      <formula>W146</formula>
    </cfRule>
  </conditionalFormatting>
  <conditionalFormatting sqref="W151">
    <cfRule type="cellIs" dxfId="1747" priority="2606" operator="equal">
      <formula>0</formula>
    </cfRule>
  </conditionalFormatting>
  <conditionalFormatting sqref="W150">
    <cfRule type="cellIs" dxfId="1746" priority="2599" operator="equal">
      <formula>0</formula>
    </cfRule>
    <cfRule type="cellIs" dxfId="1745" priority="2600" operator="lessThan">
      <formula>W151</formula>
    </cfRule>
    <cfRule type="cellIs" dxfId="1744" priority="2605" operator="lessThan">
      <formula>0</formula>
    </cfRule>
  </conditionalFormatting>
  <conditionalFormatting sqref="W152">
    <cfRule type="cellIs" dxfId="1743" priority="2598" operator="equal">
      <formula>0</formula>
    </cfRule>
    <cfRule type="cellIs" dxfId="1742" priority="2603" operator="lessThan">
      <formula>W153</formula>
    </cfRule>
  </conditionalFormatting>
  <conditionalFormatting sqref="W153">
    <cfRule type="cellIs" dxfId="1741" priority="2597" operator="equal">
      <formula>0</formula>
    </cfRule>
    <cfRule type="cellIs" dxfId="1740" priority="2604" operator="greaterThan">
      <formula>W152</formula>
    </cfRule>
  </conditionalFormatting>
  <conditionalFormatting sqref="W155">
    <cfRule type="cellIs" dxfId="1739" priority="2596" operator="equal">
      <formula>0</formula>
    </cfRule>
  </conditionalFormatting>
  <conditionalFormatting sqref="W154">
    <cfRule type="cellIs" dxfId="1738" priority="2589" operator="equal">
      <formula>0</formula>
    </cfRule>
    <cfRule type="cellIs" dxfId="1737" priority="2590" operator="lessThan">
      <formula>W155</formula>
    </cfRule>
    <cfRule type="cellIs" dxfId="1736" priority="2595" operator="lessThan">
      <formula>0</formula>
    </cfRule>
  </conditionalFormatting>
  <conditionalFormatting sqref="W157">
    <cfRule type="cellIs" dxfId="1735" priority="2594" operator="equal">
      <formula>0</formula>
    </cfRule>
  </conditionalFormatting>
  <conditionalFormatting sqref="W156">
    <cfRule type="cellIs" dxfId="1734" priority="2587" operator="equal">
      <formula>0</formula>
    </cfRule>
    <cfRule type="cellIs" dxfId="1733" priority="2588" operator="lessThan">
      <formula>W157</formula>
    </cfRule>
    <cfRule type="cellIs" dxfId="1732" priority="2593" operator="lessThan">
      <formula>0</formula>
    </cfRule>
  </conditionalFormatting>
  <conditionalFormatting sqref="W158">
    <cfRule type="cellIs" dxfId="1731" priority="2586" operator="equal">
      <formula>0</formula>
    </cfRule>
    <cfRule type="cellIs" dxfId="1730" priority="2591" operator="lessThan">
      <formula>W159</formula>
    </cfRule>
  </conditionalFormatting>
  <conditionalFormatting sqref="W159">
    <cfRule type="cellIs" dxfId="1729" priority="2585" operator="equal">
      <formula>0</formula>
    </cfRule>
    <cfRule type="cellIs" dxfId="1728" priority="2592" operator="greaterThan">
      <formula>W158</formula>
    </cfRule>
  </conditionalFormatting>
  <conditionalFormatting sqref="W161">
    <cfRule type="cellIs" dxfId="1727" priority="2584" operator="equal">
      <formula>0</formula>
    </cfRule>
  </conditionalFormatting>
  <conditionalFormatting sqref="W160">
    <cfRule type="cellIs" dxfId="1726" priority="2577" operator="equal">
      <formula>0</formula>
    </cfRule>
    <cfRule type="cellIs" dxfId="1725" priority="2578" operator="lessThan">
      <formula>W161</formula>
    </cfRule>
    <cfRule type="cellIs" dxfId="1724" priority="2583" operator="lessThan">
      <formula>0</formula>
    </cfRule>
  </conditionalFormatting>
  <conditionalFormatting sqref="W163">
    <cfRule type="cellIs" dxfId="1723" priority="2582" operator="equal">
      <formula>0</formula>
    </cfRule>
  </conditionalFormatting>
  <conditionalFormatting sqref="W162">
    <cfRule type="cellIs" dxfId="1722" priority="2575" operator="equal">
      <formula>0</formula>
    </cfRule>
    <cfRule type="cellIs" dxfId="1721" priority="2576" operator="lessThan">
      <formula>W163</formula>
    </cfRule>
    <cfRule type="cellIs" dxfId="1720" priority="2581" operator="lessThan">
      <formula>0</formula>
    </cfRule>
  </conditionalFormatting>
  <conditionalFormatting sqref="W164">
    <cfRule type="cellIs" dxfId="1719" priority="2574" operator="equal">
      <formula>0</formula>
    </cfRule>
    <cfRule type="cellIs" dxfId="1718" priority="2579" operator="lessThan">
      <formula>W165</formula>
    </cfRule>
  </conditionalFormatting>
  <conditionalFormatting sqref="W165">
    <cfRule type="cellIs" dxfId="1717" priority="2573" operator="equal">
      <formula>0</formula>
    </cfRule>
    <cfRule type="cellIs" dxfId="1716" priority="2580" operator="greaterThan">
      <formula>W164</formula>
    </cfRule>
  </conditionalFormatting>
  <conditionalFormatting sqref="W167">
    <cfRule type="cellIs" dxfId="1715" priority="2572" operator="equal">
      <formula>0</formula>
    </cfRule>
  </conditionalFormatting>
  <conditionalFormatting sqref="W166">
    <cfRule type="cellIs" dxfId="1714" priority="2565" operator="equal">
      <formula>0</formula>
    </cfRule>
    <cfRule type="cellIs" dxfId="1713" priority="2566" operator="lessThan">
      <formula>W167</formula>
    </cfRule>
    <cfRule type="cellIs" dxfId="1712" priority="2571" operator="lessThan">
      <formula>0</formula>
    </cfRule>
  </conditionalFormatting>
  <conditionalFormatting sqref="W169">
    <cfRule type="cellIs" dxfId="1711" priority="2570" operator="equal">
      <formula>0</formula>
    </cfRule>
  </conditionalFormatting>
  <conditionalFormatting sqref="W168">
    <cfRule type="cellIs" dxfId="1710" priority="2563" operator="equal">
      <formula>0</formula>
    </cfRule>
    <cfRule type="cellIs" dxfId="1709" priority="2564" operator="lessThan">
      <formula>W169</formula>
    </cfRule>
    <cfRule type="cellIs" dxfId="1708" priority="2569" operator="lessThan">
      <formula>0</formula>
    </cfRule>
  </conditionalFormatting>
  <conditionalFormatting sqref="W170">
    <cfRule type="cellIs" dxfId="1707" priority="2562" operator="equal">
      <formula>0</formula>
    </cfRule>
    <cfRule type="cellIs" dxfId="1706" priority="2567" operator="lessThan">
      <formula>W171</formula>
    </cfRule>
  </conditionalFormatting>
  <conditionalFormatting sqref="W171">
    <cfRule type="cellIs" dxfId="1705" priority="2561" operator="equal">
      <formula>0</formula>
    </cfRule>
    <cfRule type="cellIs" dxfId="1704" priority="2568" operator="greaterThan">
      <formula>W170</formula>
    </cfRule>
  </conditionalFormatting>
  <conditionalFormatting sqref="X70">
    <cfRule type="expression" dxfId="1703" priority="2547">
      <formula>F70/100&lt;X70</formula>
    </cfRule>
    <cfRule type="expression" dxfId="1702" priority="2548">
      <formula>X70&lt;F70/100</formula>
    </cfRule>
  </conditionalFormatting>
  <conditionalFormatting sqref="X71">
    <cfRule type="expression" dxfId="1701" priority="2545">
      <formula>F71/100&lt;X71</formula>
    </cfRule>
    <cfRule type="expression" dxfId="1700" priority="2546">
      <formula>X71&lt;F71/100</formula>
    </cfRule>
  </conditionalFormatting>
  <conditionalFormatting sqref="X72">
    <cfRule type="expression" dxfId="1699" priority="2543">
      <formula>F72/100&lt;X72</formula>
    </cfRule>
    <cfRule type="expression" dxfId="1698" priority="2544">
      <formula>X72&lt;F72/100</formula>
    </cfRule>
  </conditionalFormatting>
  <conditionalFormatting sqref="X73">
    <cfRule type="expression" dxfId="1697" priority="2541">
      <formula>F73/100&lt;X73</formula>
    </cfRule>
    <cfRule type="expression" dxfId="1696" priority="2542">
      <formula>X73&lt;F73/100</formula>
    </cfRule>
  </conditionalFormatting>
  <conditionalFormatting sqref="X74">
    <cfRule type="expression" dxfId="1695" priority="2539">
      <formula>F74/100&lt;X74</formula>
    </cfRule>
    <cfRule type="expression" dxfId="1694" priority="2540">
      <formula>X74&lt;F74/100</formula>
    </cfRule>
  </conditionalFormatting>
  <conditionalFormatting sqref="X75">
    <cfRule type="expression" dxfId="1693" priority="2537">
      <formula>F75/100&lt;X75</formula>
    </cfRule>
    <cfRule type="expression" dxfId="1692" priority="2538">
      <formula>X75&lt;F75/100</formula>
    </cfRule>
  </conditionalFormatting>
  <conditionalFormatting sqref="X76">
    <cfRule type="expression" dxfId="1691" priority="2535">
      <formula>F76/100&lt;X76</formula>
    </cfRule>
    <cfRule type="expression" dxfId="1690" priority="2536">
      <formula>X76&lt;F76/100</formula>
    </cfRule>
  </conditionalFormatting>
  <conditionalFormatting sqref="X77">
    <cfRule type="expression" dxfId="1689" priority="2533">
      <formula>F77/100&lt;X77</formula>
    </cfRule>
    <cfRule type="expression" dxfId="1688" priority="2534">
      <formula>X77&lt;F77/100</formula>
    </cfRule>
  </conditionalFormatting>
  <conditionalFormatting sqref="X78">
    <cfRule type="expression" dxfId="1687" priority="2531">
      <formula>F78/100&lt;X78</formula>
    </cfRule>
    <cfRule type="expression" dxfId="1686" priority="2532">
      <formula>X78&lt;F78/100</formula>
    </cfRule>
  </conditionalFormatting>
  <conditionalFormatting sqref="X79">
    <cfRule type="expression" dxfId="1685" priority="2529">
      <formula>F79/100&lt;X79</formula>
    </cfRule>
    <cfRule type="expression" dxfId="1684" priority="2530">
      <formula>X79&lt;F79/100</formula>
    </cfRule>
  </conditionalFormatting>
  <conditionalFormatting sqref="X80">
    <cfRule type="expression" dxfId="1683" priority="2527">
      <formula>F80/100&lt;X80</formula>
    </cfRule>
    <cfRule type="expression" dxfId="1682" priority="2528">
      <formula>X80&lt;F80/100</formula>
    </cfRule>
  </conditionalFormatting>
  <conditionalFormatting sqref="X81">
    <cfRule type="expression" dxfId="1681" priority="2525">
      <formula>F81/100&lt;X81</formula>
    </cfRule>
    <cfRule type="expression" dxfId="1680" priority="2526">
      <formula>X81&lt;F81/100</formula>
    </cfRule>
  </conditionalFormatting>
  <conditionalFormatting sqref="X82">
    <cfRule type="expression" dxfId="1679" priority="2523">
      <formula>F82/100&lt;X82</formula>
    </cfRule>
    <cfRule type="expression" dxfId="1678" priority="2524">
      <formula>X82&lt;F82/100</formula>
    </cfRule>
  </conditionalFormatting>
  <conditionalFormatting sqref="X83">
    <cfRule type="expression" dxfId="1677" priority="2521">
      <formula>F83/100&lt;X83</formula>
    </cfRule>
    <cfRule type="expression" dxfId="1676" priority="2522">
      <formula>X83&lt;F83/100</formula>
    </cfRule>
  </conditionalFormatting>
  <conditionalFormatting sqref="X84">
    <cfRule type="expression" dxfId="1675" priority="2519">
      <formula>F84/100&lt;X84</formula>
    </cfRule>
    <cfRule type="expression" dxfId="1674" priority="2520">
      <formula>X84&lt;F84/100</formula>
    </cfRule>
  </conditionalFormatting>
  <conditionalFormatting sqref="X85">
    <cfRule type="expression" dxfId="1673" priority="2517">
      <formula>F85/100&lt;X85</formula>
    </cfRule>
    <cfRule type="expression" dxfId="1672" priority="2518">
      <formula>X85&lt;F85/100</formula>
    </cfRule>
  </conditionalFormatting>
  <conditionalFormatting sqref="X86">
    <cfRule type="expression" dxfId="1671" priority="2515">
      <formula>F86/100&lt;X86</formula>
    </cfRule>
    <cfRule type="expression" dxfId="1670" priority="2516">
      <formula>X86&lt;F86/100</formula>
    </cfRule>
  </conditionalFormatting>
  <conditionalFormatting sqref="X87">
    <cfRule type="expression" dxfId="1669" priority="2513">
      <formula>F87/100&lt;X87</formula>
    </cfRule>
    <cfRule type="expression" dxfId="1668" priority="2514">
      <formula>X87&lt;F87/100</formula>
    </cfRule>
  </conditionalFormatting>
  <conditionalFormatting sqref="X88">
    <cfRule type="expression" dxfId="1667" priority="2511">
      <formula>F88/100&lt;X88</formula>
    </cfRule>
    <cfRule type="expression" dxfId="1666" priority="2512">
      <formula>X88&lt;F88/100</formula>
    </cfRule>
  </conditionalFormatting>
  <conditionalFormatting sqref="X89">
    <cfRule type="expression" dxfId="1665" priority="2509">
      <formula>F89/100&lt;X89</formula>
    </cfRule>
    <cfRule type="expression" dxfId="1664" priority="2510">
      <formula>X89&lt;F89/100</formula>
    </cfRule>
  </conditionalFormatting>
  <conditionalFormatting sqref="X90">
    <cfRule type="expression" dxfId="1663" priority="2507">
      <formula>F90/100&lt;X90</formula>
    </cfRule>
    <cfRule type="expression" dxfId="1662" priority="2508">
      <formula>X90&lt;F90/100</formula>
    </cfRule>
  </conditionalFormatting>
  <conditionalFormatting sqref="X91">
    <cfRule type="expression" dxfId="1661" priority="2505">
      <formula>F91/100&lt;X91</formula>
    </cfRule>
    <cfRule type="expression" dxfId="1660" priority="2506">
      <formula>X91&lt;F91/100</formula>
    </cfRule>
  </conditionalFormatting>
  <conditionalFormatting sqref="X92">
    <cfRule type="expression" dxfId="1659" priority="2503">
      <formula>F92/100&lt;X92</formula>
    </cfRule>
    <cfRule type="expression" dxfId="1658" priority="2504">
      <formula>X92&lt;F92/100</formula>
    </cfRule>
  </conditionalFormatting>
  <conditionalFormatting sqref="X93">
    <cfRule type="expression" dxfId="1657" priority="2501">
      <formula>F93/100&lt;X93</formula>
    </cfRule>
    <cfRule type="expression" dxfId="1656" priority="2502">
      <formula>X93&lt;F93/100</formula>
    </cfRule>
  </conditionalFormatting>
  <conditionalFormatting sqref="X94">
    <cfRule type="expression" dxfId="1655" priority="2499">
      <formula>F94/100&lt;X94</formula>
    </cfRule>
    <cfRule type="expression" dxfId="1654" priority="2500">
      <formula>X94&lt;F94/100</formula>
    </cfRule>
  </conditionalFormatting>
  <conditionalFormatting sqref="X95">
    <cfRule type="expression" dxfId="1653" priority="2497">
      <formula>F95/100&lt;X95</formula>
    </cfRule>
    <cfRule type="expression" dxfId="1652" priority="2498">
      <formula>X95&lt;F95/100</formula>
    </cfRule>
  </conditionalFormatting>
  <conditionalFormatting sqref="X96">
    <cfRule type="expression" dxfId="1651" priority="2495">
      <formula>F96/100&lt;X96</formula>
    </cfRule>
    <cfRule type="expression" dxfId="1650" priority="2496">
      <formula>X96&lt;F96/100</formula>
    </cfRule>
  </conditionalFormatting>
  <conditionalFormatting sqref="X97">
    <cfRule type="expression" dxfId="1649" priority="2493">
      <formula>F97/100&lt;X97</formula>
    </cfRule>
    <cfRule type="expression" dxfId="1648" priority="2494">
      <formula>X97&lt;F97/100</formula>
    </cfRule>
  </conditionalFormatting>
  <conditionalFormatting sqref="X98">
    <cfRule type="expression" dxfId="1647" priority="2491">
      <formula>F98/100&lt;X98</formula>
    </cfRule>
    <cfRule type="expression" dxfId="1646" priority="2492">
      <formula>X98&lt;F98/100</formula>
    </cfRule>
  </conditionalFormatting>
  <conditionalFormatting sqref="X99">
    <cfRule type="expression" dxfId="1645" priority="2489">
      <formula>F99/100&lt;X99</formula>
    </cfRule>
    <cfRule type="expression" dxfId="1644" priority="2490">
      <formula>X99&lt;F99/100</formula>
    </cfRule>
  </conditionalFormatting>
  <conditionalFormatting sqref="X100">
    <cfRule type="expression" dxfId="1643" priority="2487">
      <formula>F100/100&lt;X100</formula>
    </cfRule>
    <cfRule type="expression" dxfId="1642" priority="2488">
      <formula>X100&lt;F100/100</formula>
    </cfRule>
  </conditionalFormatting>
  <conditionalFormatting sqref="X101">
    <cfRule type="expression" dxfId="1641" priority="2485">
      <formula>F101/100&lt;X101</formula>
    </cfRule>
    <cfRule type="expression" dxfId="1640" priority="2486">
      <formula>X101&lt;F101/100</formula>
    </cfRule>
  </conditionalFormatting>
  <conditionalFormatting sqref="X102">
    <cfRule type="expression" dxfId="1639" priority="2483">
      <formula>F102/100&lt;X102</formula>
    </cfRule>
    <cfRule type="expression" dxfId="1638" priority="2484">
      <formula>X102&lt;F102/100</formula>
    </cfRule>
  </conditionalFormatting>
  <conditionalFormatting sqref="X103">
    <cfRule type="expression" dxfId="1637" priority="2481">
      <formula>F103/100&lt;X103</formula>
    </cfRule>
    <cfRule type="expression" dxfId="1636" priority="2482">
      <formula>X103&lt;F103/100</formula>
    </cfRule>
  </conditionalFormatting>
  <conditionalFormatting sqref="X104">
    <cfRule type="expression" dxfId="1635" priority="2479">
      <formula>F104/100&lt;X104</formula>
    </cfRule>
    <cfRule type="expression" dxfId="1634" priority="2480">
      <formula>X104&lt;F104/100</formula>
    </cfRule>
  </conditionalFormatting>
  <conditionalFormatting sqref="X105">
    <cfRule type="expression" dxfId="1633" priority="2477">
      <formula>F105/100&lt;X105</formula>
    </cfRule>
    <cfRule type="expression" dxfId="1632" priority="2478">
      <formula>X105&lt;F105/100</formula>
    </cfRule>
  </conditionalFormatting>
  <conditionalFormatting sqref="X106">
    <cfRule type="expression" dxfId="1631" priority="2475">
      <formula>F106/100&lt;X106</formula>
    </cfRule>
    <cfRule type="expression" dxfId="1630" priority="2476">
      <formula>X106&lt;F106/100</formula>
    </cfRule>
  </conditionalFormatting>
  <conditionalFormatting sqref="X107">
    <cfRule type="expression" dxfId="1629" priority="2473">
      <formula>F107/100&lt;X107</formula>
    </cfRule>
    <cfRule type="expression" dxfId="1628" priority="2474">
      <formula>X107&lt;F107/100</formula>
    </cfRule>
  </conditionalFormatting>
  <conditionalFormatting sqref="X108">
    <cfRule type="expression" dxfId="1627" priority="2471">
      <formula>F108/100&lt;X108</formula>
    </cfRule>
    <cfRule type="expression" dxfId="1626" priority="2472">
      <formula>X108&lt;F108/100</formula>
    </cfRule>
  </conditionalFormatting>
  <conditionalFormatting sqref="X109">
    <cfRule type="expression" dxfId="1625" priority="2469">
      <formula>F109/100&lt;X109</formula>
    </cfRule>
    <cfRule type="expression" dxfId="1624" priority="2470">
      <formula>X109&lt;F109/100</formula>
    </cfRule>
  </conditionalFormatting>
  <conditionalFormatting sqref="X110">
    <cfRule type="expression" dxfId="1623" priority="2467">
      <formula>F110/100&lt;X110</formula>
    </cfRule>
    <cfRule type="expression" dxfId="1622" priority="2468">
      <formula>X110&lt;F110/100</formula>
    </cfRule>
  </conditionalFormatting>
  <conditionalFormatting sqref="X111">
    <cfRule type="expression" dxfId="1621" priority="2465">
      <formula>F111/100&lt;X111</formula>
    </cfRule>
    <cfRule type="expression" dxfId="1620" priority="2466">
      <formula>X111&lt;F111/100</formula>
    </cfRule>
  </conditionalFormatting>
  <conditionalFormatting sqref="X112">
    <cfRule type="expression" dxfId="1619" priority="2463">
      <formula>F112/100&lt;X112</formula>
    </cfRule>
    <cfRule type="expression" dxfId="1618" priority="2464">
      <formula>X112&lt;F112/100</formula>
    </cfRule>
  </conditionalFormatting>
  <conditionalFormatting sqref="X113">
    <cfRule type="expression" dxfId="1617" priority="2461">
      <formula>F113/100&lt;X113</formula>
    </cfRule>
    <cfRule type="expression" dxfId="1616" priority="2462">
      <formula>X113&lt;F113/100</formula>
    </cfRule>
  </conditionalFormatting>
  <conditionalFormatting sqref="X114">
    <cfRule type="expression" dxfId="1615" priority="2459">
      <formula>F114/100&lt;X114</formula>
    </cfRule>
    <cfRule type="expression" dxfId="1614" priority="2460">
      <formula>X114&lt;F114/100</formula>
    </cfRule>
  </conditionalFormatting>
  <conditionalFormatting sqref="X115">
    <cfRule type="expression" dxfId="1613" priority="2457">
      <formula>F115/100&lt;X115</formula>
    </cfRule>
    <cfRule type="expression" dxfId="1612" priority="2458">
      <formula>X115&lt;F115/100</formula>
    </cfRule>
  </conditionalFormatting>
  <conditionalFormatting sqref="X116">
    <cfRule type="expression" dxfId="1611" priority="2455">
      <formula>F116/100&lt;X116</formula>
    </cfRule>
    <cfRule type="expression" dxfId="1610" priority="2456">
      <formula>X116&lt;F116/100</formula>
    </cfRule>
  </conditionalFormatting>
  <conditionalFormatting sqref="X117">
    <cfRule type="expression" dxfId="1609" priority="2453">
      <formula>F117/100&lt;X117</formula>
    </cfRule>
    <cfRule type="expression" dxfId="1608" priority="2454">
      <formula>X117&lt;F117/100</formula>
    </cfRule>
  </conditionalFormatting>
  <conditionalFormatting sqref="X118">
    <cfRule type="expression" dxfId="1607" priority="2451">
      <formula>F118/100&lt;X118</formula>
    </cfRule>
    <cfRule type="expression" dxfId="1606" priority="2452">
      <formula>X118&lt;F118/100</formula>
    </cfRule>
  </conditionalFormatting>
  <conditionalFormatting sqref="X119">
    <cfRule type="expression" dxfId="1605" priority="2449">
      <formula>F119/100&lt;X119</formula>
    </cfRule>
    <cfRule type="expression" dxfId="1604" priority="2450">
      <formula>X119&lt;F119/100</formula>
    </cfRule>
  </conditionalFormatting>
  <conditionalFormatting sqref="X120">
    <cfRule type="expression" dxfId="1603" priority="2447">
      <formula>F120/100&lt;X120</formula>
    </cfRule>
    <cfRule type="expression" dxfId="1602" priority="2448">
      <formula>X120&lt;F120/100</formula>
    </cfRule>
  </conditionalFormatting>
  <conditionalFormatting sqref="X121">
    <cfRule type="expression" dxfId="1601" priority="2445">
      <formula>F121/100&lt;X121</formula>
    </cfRule>
    <cfRule type="expression" dxfId="1600" priority="2446">
      <formula>X121&lt;F121/100</formula>
    </cfRule>
  </conditionalFormatting>
  <conditionalFormatting sqref="X122">
    <cfRule type="expression" dxfId="1599" priority="2443">
      <formula>F122/100&lt;X122</formula>
    </cfRule>
    <cfRule type="expression" dxfId="1598" priority="2444">
      <formula>X122&lt;F122/100</formula>
    </cfRule>
  </conditionalFormatting>
  <conditionalFormatting sqref="X123">
    <cfRule type="expression" dxfId="1597" priority="2441">
      <formula>F123/100&lt;X123</formula>
    </cfRule>
    <cfRule type="expression" dxfId="1596" priority="2442">
      <formula>X123&lt;F123/100</formula>
    </cfRule>
  </conditionalFormatting>
  <conditionalFormatting sqref="X124">
    <cfRule type="expression" dxfId="1595" priority="2439">
      <formula>F124/100&lt;X124</formula>
    </cfRule>
    <cfRule type="expression" dxfId="1594" priority="2440">
      <formula>X124&lt;F124/100</formula>
    </cfRule>
  </conditionalFormatting>
  <conditionalFormatting sqref="X125">
    <cfRule type="expression" dxfId="1593" priority="2437">
      <formula>F125/100&lt;X125</formula>
    </cfRule>
    <cfRule type="expression" dxfId="1592" priority="2438">
      <formula>X125&lt;F125/100</formula>
    </cfRule>
  </conditionalFormatting>
  <conditionalFormatting sqref="X126">
    <cfRule type="expression" dxfId="1591" priority="2435">
      <formula>F126/100&lt;X126</formula>
    </cfRule>
    <cfRule type="expression" dxfId="1590" priority="2436">
      <formula>X126&lt;F126/100</formula>
    </cfRule>
  </conditionalFormatting>
  <conditionalFormatting sqref="X127">
    <cfRule type="expression" dxfId="1589" priority="2433">
      <formula>F127/100&lt;X127</formula>
    </cfRule>
    <cfRule type="expression" dxfId="1588" priority="2434">
      <formula>X127&lt;F127/100</formula>
    </cfRule>
  </conditionalFormatting>
  <conditionalFormatting sqref="X128">
    <cfRule type="expression" dxfId="1587" priority="2431">
      <formula>F128/100&lt;X128</formula>
    </cfRule>
    <cfRule type="expression" dxfId="1586" priority="2432">
      <formula>X128&lt;F128/100</formula>
    </cfRule>
  </conditionalFormatting>
  <conditionalFormatting sqref="X129">
    <cfRule type="expression" dxfId="1585" priority="2429">
      <formula>F129/100&lt;X129</formula>
    </cfRule>
    <cfRule type="expression" dxfId="1584" priority="2430">
      <formula>X129&lt;F129/100</formula>
    </cfRule>
  </conditionalFormatting>
  <conditionalFormatting sqref="X130">
    <cfRule type="expression" dxfId="1583" priority="2427">
      <formula>F130/100&lt;X130</formula>
    </cfRule>
    <cfRule type="expression" dxfId="1582" priority="2428">
      <formula>X130&lt;F130/100</formula>
    </cfRule>
  </conditionalFormatting>
  <conditionalFormatting sqref="X131">
    <cfRule type="expression" dxfId="1581" priority="2425">
      <formula>F131/100&lt;X131</formula>
    </cfRule>
    <cfRule type="expression" dxfId="1580" priority="2426">
      <formula>X131&lt;F131/100</formula>
    </cfRule>
  </conditionalFormatting>
  <conditionalFormatting sqref="X132">
    <cfRule type="expression" dxfId="1579" priority="2423">
      <formula>F132/100&lt;X132</formula>
    </cfRule>
    <cfRule type="expression" dxfId="1578" priority="2424">
      <formula>X132&lt;F132/100</formula>
    </cfRule>
  </conditionalFormatting>
  <conditionalFormatting sqref="X133">
    <cfRule type="expression" dxfId="1577" priority="2421">
      <formula>F133/100&lt;X133</formula>
    </cfRule>
    <cfRule type="expression" dxfId="1576" priority="2422">
      <formula>X133&lt;F133/100</formula>
    </cfRule>
  </conditionalFormatting>
  <conditionalFormatting sqref="X134">
    <cfRule type="expression" dxfId="1575" priority="2419">
      <formula>F134/100&lt;X134</formula>
    </cfRule>
    <cfRule type="expression" dxfId="1574" priority="2420">
      <formula>X134&lt;F134/100</formula>
    </cfRule>
  </conditionalFormatting>
  <conditionalFormatting sqref="X135">
    <cfRule type="expression" dxfId="1573" priority="2417">
      <formula>F135/100&lt;X135</formula>
    </cfRule>
    <cfRule type="expression" dxfId="1572" priority="2418">
      <formula>X135&lt;F135/100</formula>
    </cfRule>
  </conditionalFormatting>
  <conditionalFormatting sqref="X136">
    <cfRule type="expression" dxfId="1571" priority="2415">
      <formula>F136/100&lt;X136</formula>
    </cfRule>
    <cfRule type="expression" dxfId="1570" priority="2416">
      <formula>X136&lt;F136/100</formula>
    </cfRule>
  </conditionalFormatting>
  <conditionalFormatting sqref="X137">
    <cfRule type="expression" dxfId="1569" priority="2413">
      <formula>F137/100&lt;X137</formula>
    </cfRule>
    <cfRule type="expression" dxfId="1568" priority="2414">
      <formula>X137&lt;F137/100</formula>
    </cfRule>
  </conditionalFormatting>
  <conditionalFormatting sqref="X138">
    <cfRule type="expression" dxfId="1567" priority="2411">
      <formula>F138/100&lt;X138</formula>
    </cfRule>
    <cfRule type="expression" dxfId="1566" priority="2412">
      <formula>X138&lt;F138/100</formula>
    </cfRule>
  </conditionalFormatting>
  <conditionalFormatting sqref="X139">
    <cfRule type="expression" dxfId="1565" priority="2409">
      <formula>F139/100&lt;X139</formula>
    </cfRule>
    <cfRule type="expression" dxfId="1564" priority="2410">
      <formula>X139&lt;F139/100</formula>
    </cfRule>
  </conditionalFormatting>
  <conditionalFormatting sqref="X140">
    <cfRule type="expression" dxfId="1563" priority="2407">
      <formula>F140/100&lt;X140</formula>
    </cfRule>
    <cfRule type="expression" dxfId="1562" priority="2408">
      <formula>X140&lt;F140/100</formula>
    </cfRule>
  </conditionalFormatting>
  <conditionalFormatting sqref="X141">
    <cfRule type="expression" dxfId="1561" priority="2405">
      <formula>F141/100&lt;X141</formula>
    </cfRule>
    <cfRule type="expression" dxfId="1560" priority="2406">
      <formula>X141&lt;F141/100</formula>
    </cfRule>
  </conditionalFormatting>
  <conditionalFormatting sqref="X142">
    <cfRule type="expression" dxfId="1559" priority="2403">
      <formula>F142/100&lt;X142</formula>
    </cfRule>
    <cfRule type="expression" dxfId="1558" priority="2404">
      <formula>X142&lt;F142/100</formula>
    </cfRule>
  </conditionalFormatting>
  <conditionalFormatting sqref="X143">
    <cfRule type="expression" dxfId="1557" priority="2401">
      <formula>F143/100&lt;X143</formula>
    </cfRule>
    <cfRule type="expression" dxfId="1556" priority="2402">
      <formula>X143&lt;F143/100</formula>
    </cfRule>
  </conditionalFormatting>
  <conditionalFormatting sqref="X144">
    <cfRule type="expression" dxfId="1555" priority="2399">
      <formula>F144/100&lt;X144</formula>
    </cfRule>
    <cfRule type="expression" dxfId="1554" priority="2400">
      <formula>X144&lt;F144/100</formula>
    </cfRule>
  </conditionalFormatting>
  <conditionalFormatting sqref="X145">
    <cfRule type="expression" dxfId="1553" priority="2397">
      <formula>F145/100&lt;X145</formula>
    </cfRule>
    <cfRule type="expression" dxfId="1552" priority="2398">
      <formula>X145&lt;F145/100</formula>
    </cfRule>
  </conditionalFormatting>
  <conditionalFormatting sqref="X146">
    <cfRule type="expression" dxfId="1551" priority="2395">
      <formula>F146/100&lt;X146</formula>
    </cfRule>
    <cfRule type="expression" dxfId="1550" priority="2396">
      <formula>X146&lt;F146/100</formula>
    </cfRule>
  </conditionalFormatting>
  <conditionalFormatting sqref="X147">
    <cfRule type="expression" dxfId="1549" priority="2393">
      <formula>F147/100&lt;X147</formula>
    </cfRule>
    <cfRule type="expression" dxfId="1548" priority="2394">
      <formula>X147&lt;F147/100</formula>
    </cfRule>
  </conditionalFormatting>
  <conditionalFormatting sqref="X148">
    <cfRule type="expression" dxfId="1547" priority="2391">
      <formula>F148/100&lt;X148</formula>
    </cfRule>
    <cfRule type="expression" dxfId="1546" priority="2392">
      <formula>X148&lt;F148/100</formula>
    </cfRule>
  </conditionalFormatting>
  <conditionalFormatting sqref="X149">
    <cfRule type="expression" dxfId="1545" priority="2389">
      <formula>F149/100&lt;X149</formula>
    </cfRule>
    <cfRule type="expression" dxfId="1544" priority="2390">
      <formula>X149&lt;F149/100</formula>
    </cfRule>
  </conditionalFormatting>
  <conditionalFormatting sqref="X150">
    <cfRule type="expression" dxfId="1543" priority="2387">
      <formula>F150/100&lt;X150</formula>
    </cfRule>
    <cfRule type="expression" dxfId="1542" priority="2388">
      <formula>X150&lt;F150/100</formula>
    </cfRule>
  </conditionalFormatting>
  <conditionalFormatting sqref="X151">
    <cfRule type="expression" dxfId="1541" priority="2385">
      <formula>F151/100&lt;X151</formula>
    </cfRule>
    <cfRule type="expression" dxfId="1540" priority="2386">
      <formula>X151&lt;F151/100</formula>
    </cfRule>
  </conditionalFormatting>
  <conditionalFormatting sqref="X152">
    <cfRule type="expression" dxfId="1539" priority="2383">
      <formula>F152/100&lt;X152</formula>
    </cfRule>
    <cfRule type="expression" dxfId="1538" priority="2384">
      <formula>X152&lt;F152/100</formula>
    </cfRule>
  </conditionalFormatting>
  <conditionalFormatting sqref="X153">
    <cfRule type="expression" dxfId="1537" priority="2381">
      <formula>F153/100&lt;X153</formula>
    </cfRule>
    <cfRule type="expression" dxfId="1536" priority="2382">
      <formula>X153&lt;F153/100</formula>
    </cfRule>
  </conditionalFormatting>
  <conditionalFormatting sqref="X154">
    <cfRule type="expression" dxfId="1535" priority="2379">
      <formula>F154/100&lt;X154</formula>
    </cfRule>
    <cfRule type="expression" dxfId="1534" priority="2380">
      <formula>X154&lt;F154/100</formula>
    </cfRule>
  </conditionalFormatting>
  <conditionalFormatting sqref="X155">
    <cfRule type="expression" dxfId="1533" priority="2377">
      <formula>F155/100&lt;X155</formula>
    </cfRule>
    <cfRule type="expression" dxfId="1532" priority="2378">
      <formula>X155&lt;F155/100</formula>
    </cfRule>
  </conditionalFormatting>
  <conditionalFormatting sqref="X156">
    <cfRule type="expression" dxfId="1531" priority="2375">
      <formula>F156/100&lt;X156</formula>
    </cfRule>
    <cfRule type="expression" dxfId="1530" priority="2376">
      <formula>X156&lt;F156/100</formula>
    </cfRule>
  </conditionalFormatting>
  <conditionalFormatting sqref="X157">
    <cfRule type="expression" dxfId="1529" priority="2373">
      <formula>F157/100&lt;X157</formula>
    </cfRule>
    <cfRule type="expression" dxfId="1528" priority="2374">
      <formula>X157&lt;F157/100</formula>
    </cfRule>
  </conditionalFormatting>
  <conditionalFormatting sqref="X158">
    <cfRule type="expression" dxfId="1527" priority="2371">
      <formula>F158/100&lt;X158</formula>
    </cfRule>
    <cfRule type="expression" dxfId="1526" priority="2372">
      <formula>X158&lt;F158/100</formula>
    </cfRule>
  </conditionalFormatting>
  <conditionalFormatting sqref="X159">
    <cfRule type="expression" dxfId="1525" priority="2369">
      <formula>F159/100&lt;X159</formula>
    </cfRule>
    <cfRule type="expression" dxfId="1524" priority="2370">
      <formula>X159&lt;F159/100</formula>
    </cfRule>
  </conditionalFormatting>
  <conditionalFormatting sqref="X160">
    <cfRule type="expression" dxfId="1523" priority="2367">
      <formula>F160/100&lt;X160</formula>
    </cfRule>
    <cfRule type="expression" dxfId="1522" priority="2368">
      <formula>X160&lt;F160/100</formula>
    </cfRule>
  </conditionalFormatting>
  <conditionalFormatting sqref="X161">
    <cfRule type="expression" dxfId="1521" priority="2365">
      <formula>F161/100&lt;X161</formula>
    </cfRule>
    <cfRule type="expression" dxfId="1520" priority="2366">
      <formula>X161&lt;F161/100</formula>
    </cfRule>
  </conditionalFormatting>
  <conditionalFormatting sqref="X162">
    <cfRule type="expression" dxfId="1519" priority="2363">
      <formula>F162/100&lt;X162</formula>
    </cfRule>
    <cfRule type="expression" dxfId="1518" priority="2364">
      <formula>X162&lt;F162/100</formula>
    </cfRule>
  </conditionalFormatting>
  <conditionalFormatting sqref="X163">
    <cfRule type="expression" dxfId="1517" priority="2361">
      <formula>F163/100&lt;X163</formula>
    </cfRule>
    <cfRule type="expression" dxfId="1516" priority="2362">
      <formula>X163&lt;F163/100</formula>
    </cfRule>
  </conditionalFormatting>
  <conditionalFormatting sqref="X164">
    <cfRule type="expression" dxfId="1515" priority="2359">
      <formula>F164/100&lt;X164</formula>
    </cfRule>
    <cfRule type="expression" dxfId="1514" priority="2360">
      <formula>X164&lt;F164/100</formula>
    </cfRule>
  </conditionalFormatting>
  <conditionalFormatting sqref="X165">
    <cfRule type="expression" dxfId="1513" priority="2357">
      <formula>F165/100&lt;X165</formula>
    </cfRule>
    <cfRule type="expression" dxfId="1512" priority="2358">
      <formula>X165&lt;F165/100</formula>
    </cfRule>
  </conditionalFormatting>
  <conditionalFormatting sqref="X166">
    <cfRule type="expression" dxfId="1511" priority="2355">
      <formula>F166/100&lt;X166</formula>
    </cfRule>
    <cfRule type="expression" dxfId="1510" priority="2356">
      <formula>X166&lt;F166/100</formula>
    </cfRule>
  </conditionalFormatting>
  <conditionalFormatting sqref="X167">
    <cfRule type="expression" dxfId="1509" priority="2353">
      <formula>F167/100&lt;X167</formula>
    </cfRule>
    <cfRule type="expression" dxfId="1508" priority="2354">
      <formula>X167&lt;F167/100</formula>
    </cfRule>
  </conditionalFormatting>
  <conditionalFormatting sqref="X168">
    <cfRule type="expression" dxfId="1507" priority="2351">
      <formula>F168/100&lt;X168</formula>
    </cfRule>
    <cfRule type="expression" dxfId="1506" priority="2352">
      <formula>X168&lt;F168/100</formula>
    </cfRule>
  </conditionalFormatting>
  <conditionalFormatting sqref="X169">
    <cfRule type="expression" dxfId="1505" priority="2349">
      <formula>F169/100&lt;X169</formula>
    </cfRule>
    <cfRule type="expression" dxfId="1504" priority="2350">
      <formula>X169&lt;F169/100</formula>
    </cfRule>
  </conditionalFormatting>
  <conditionalFormatting sqref="X170">
    <cfRule type="expression" dxfId="1503" priority="2347">
      <formula>F170/100&lt;X170</formula>
    </cfRule>
    <cfRule type="expression" dxfId="1502" priority="2348">
      <formula>X170&lt;F170/100</formula>
    </cfRule>
  </conditionalFormatting>
  <conditionalFormatting sqref="X171">
    <cfRule type="expression" dxfId="1501" priority="2345">
      <formula>F171/100&lt;X171</formula>
    </cfRule>
    <cfRule type="expression" dxfId="1500" priority="2346">
      <formula>X171&lt;F171/100</formula>
    </cfRule>
  </conditionalFormatting>
  <conditionalFormatting sqref="Z74 Z68 Z80 Z86 Z92 Z98 Z104 Z110 Z116 Z122 Z128 Z134 Z140 Z146 Z152 Z158 Z164 Z170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99" priority="2332" operator="lessThan">
      <formula>W76</formula>
    </cfRule>
    <cfRule type="cellIs" dxfId="1498" priority="2337" operator="equal">
      <formula>0</formula>
    </cfRule>
  </conditionalFormatting>
  <conditionalFormatting sqref="W76">
    <cfRule type="cellIs" dxfId="1497" priority="2333" operator="lessThan">
      <formula>W77</formula>
    </cfRule>
    <cfRule type="cellIs" dxfId="1496" priority="2334" operator="equal">
      <formula>0</formula>
    </cfRule>
    <cfRule type="cellIs" dxfId="1495" priority="2335" operator="lessThan">
      <formula>W77</formula>
    </cfRule>
    <cfRule type="cellIs" dxfId="1494" priority="2336" operator="lessThan">
      <formula>0</formula>
    </cfRule>
  </conditionalFormatting>
  <conditionalFormatting sqref="W83">
    <cfRule type="cellIs" dxfId="1493" priority="2326" operator="lessThan">
      <formula>W82</formula>
    </cfRule>
    <cfRule type="cellIs" dxfId="1492" priority="2331" operator="equal">
      <formula>0</formula>
    </cfRule>
  </conditionalFormatting>
  <conditionalFormatting sqref="W82">
    <cfRule type="cellIs" dxfId="1491" priority="2327" operator="lessThan">
      <formula>W83</formula>
    </cfRule>
    <cfRule type="cellIs" dxfId="1490" priority="2328" operator="equal">
      <formula>0</formula>
    </cfRule>
    <cfRule type="cellIs" dxfId="1489" priority="2329" operator="lessThan">
      <formula>W83</formula>
    </cfRule>
    <cfRule type="cellIs" dxfId="1488" priority="2330" operator="lessThan">
      <formula>0</formula>
    </cfRule>
  </conditionalFormatting>
  <conditionalFormatting sqref="W89">
    <cfRule type="cellIs" dxfId="1487" priority="2320" operator="lessThan">
      <formula>W88</formula>
    </cfRule>
    <cfRule type="cellIs" dxfId="1486" priority="2325" operator="equal">
      <formula>0</formula>
    </cfRule>
  </conditionalFormatting>
  <conditionalFormatting sqref="W88">
    <cfRule type="cellIs" dxfId="1485" priority="2321" operator="lessThan">
      <formula>W89</formula>
    </cfRule>
    <cfRule type="cellIs" dxfId="1484" priority="2322" operator="equal">
      <formula>0</formula>
    </cfRule>
    <cfRule type="cellIs" dxfId="1483" priority="2323" operator="lessThan">
      <formula>W89</formula>
    </cfRule>
    <cfRule type="cellIs" dxfId="1482" priority="2324" operator="lessThan">
      <formula>0</formula>
    </cfRule>
  </conditionalFormatting>
  <conditionalFormatting sqref="W95">
    <cfRule type="cellIs" dxfId="1481" priority="2314" operator="lessThan">
      <formula>W94</formula>
    </cfRule>
    <cfRule type="cellIs" dxfId="1480" priority="2319" operator="equal">
      <formula>0</formula>
    </cfRule>
  </conditionalFormatting>
  <conditionalFormatting sqref="W94">
    <cfRule type="cellIs" dxfId="1479" priority="2315" operator="lessThan">
      <formula>W95</formula>
    </cfRule>
    <cfRule type="cellIs" dxfId="1478" priority="2316" operator="equal">
      <formula>0</formula>
    </cfRule>
    <cfRule type="cellIs" dxfId="1477" priority="2317" operator="lessThan">
      <formula>W95</formula>
    </cfRule>
    <cfRule type="cellIs" dxfId="1476" priority="2318" operator="lessThan">
      <formula>0</formula>
    </cfRule>
  </conditionalFormatting>
  <conditionalFormatting sqref="W101">
    <cfRule type="cellIs" dxfId="1475" priority="2308" operator="lessThan">
      <formula>W100</formula>
    </cfRule>
    <cfRule type="cellIs" dxfId="1474" priority="2313" operator="equal">
      <formula>0</formula>
    </cfRule>
  </conditionalFormatting>
  <conditionalFormatting sqref="W100">
    <cfRule type="cellIs" dxfId="1473" priority="2309" operator="lessThan">
      <formula>W101</formula>
    </cfRule>
    <cfRule type="cellIs" dxfId="1472" priority="2310" operator="equal">
      <formula>0</formula>
    </cfRule>
    <cfRule type="cellIs" dxfId="1471" priority="2311" operator="lessThan">
      <formula>W101</formula>
    </cfRule>
    <cfRule type="cellIs" dxfId="1470" priority="2312" operator="lessThan">
      <formula>0</formula>
    </cfRule>
  </conditionalFormatting>
  <conditionalFormatting sqref="W107">
    <cfRule type="cellIs" dxfId="1469" priority="2302" operator="lessThan">
      <formula>W106</formula>
    </cfRule>
    <cfRule type="cellIs" dxfId="1468" priority="2307" operator="equal">
      <formula>0</formula>
    </cfRule>
  </conditionalFormatting>
  <conditionalFormatting sqref="W106">
    <cfRule type="cellIs" dxfId="1467" priority="2303" operator="lessThan">
      <formula>W107</formula>
    </cfRule>
    <cfRule type="cellIs" dxfId="1466" priority="2304" operator="equal">
      <formula>0</formula>
    </cfRule>
    <cfRule type="cellIs" dxfId="1465" priority="2305" operator="lessThan">
      <formula>W107</formula>
    </cfRule>
    <cfRule type="cellIs" dxfId="1464" priority="2306" operator="lessThan">
      <formula>0</formula>
    </cfRule>
  </conditionalFormatting>
  <conditionalFormatting sqref="W113">
    <cfRule type="cellIs" dxfId="1463" priority="2296" operator="lessThan">
      <formula>W112</formula>
    </cfRule>
    <cfRule type="cellIs" dxfId="1462" priority="2301" operator="equal">
      <formula>0</formula>
    </cfRule>
  </conditionalFormatting>
  <conditionalFormatting sqref="W112">
    <cfRule type="cellIs" dxfId="1461" priority="2297" operator="lessThan">
      <formula>W113</formula>
    </cfRule>
    <cfRule type="cellIs" dxfId="1460" priority="2298" operator="equal">
      <formula>0</formula>
    </cfRule>
    <cfRule type="cellIs" dxfId="1459" priority="2299" operator="lessThan">
      <formula>W113</formula>
    </cfRule>
    <cfRule type="cellIs" dxfId="1458" priority="2300" operator="lessThan">
      <formula>0</formula>
    </cfRule>
  </conditionalFormatting>
  <conditionalFormatting sqref="W119">
    <cfRule type="cellIs" dxfId="1457" priority="2290" operator="lessThan">
      <formula>W118</formula>
    </cfRule>
    <cfRule type="cellIs" dxfId="1456" priority="2295" operator="equal">
      <formula>0</formula>
    </cfRule>
  </conditionalFormatting>
  <conditionalFormatting sqref="W118">
    <cfRule type="cellIs" dxfId="1455" priority="2291" operator="lessThan">
      <formula>W119</formula>
    </cfRule>
    <cfRule type="cellIs" dxfId="1454" priority="2292" operator="equal">
      <formula>0</formula>
    </cfRule>
    <cfRule type="cellIs" dxfId="1453" priority="2293" operator="lessThan">
      <formula>W119</formula>
    </cfRule>
    <cfRule type="cellIs" dxfId="1452" priority="2294" operator="lessThan">
      <formula>0</formula>
    </cfRule>
  </conditionalFormatting>
  <conditionalFormatting sqref="W125">
    <cfRule type="cellIs" dxfId="1451" priority="2284" operator="lessThan">
      <formula>W124</formula>
    </cfRule>
    <cfRule type="cellIs" dxfId="1450" priority="2289" operator="equal">
      <formula>0</formula>
    </cfRule>
  </conditionalFormatting>
  <conditionalFormatting sqref="W124">
    <cfRule type="cellIs" dxfId="1449" priority="2285" operator="lessThan">
      <formula>W125</formula>
    </cfRule>
    <cfRule type="cellIs" dxfId="1448" priority="2286" operator="equal">
      <formula>0</formula>
    </cfRule>
    <cfRule type="cellIs" dxfId="1447" priority="2287" operator="lessThan">
      <formula>W125</formula>
    </cfRule>
    <cfRule type="cellIs" dxfId="1446" priority="2288" operator="lessThan">
      <formula>0</formula>
    </cfRule>
  </conditionalFormatting>
  <conditionalFormatting sqref="W131">
    <cfRule type="cellIs" dxfId="1445" priority="2278" operator="lessThan">
      <formula>W130</formula>
    </cfRule>
    <cfRule type="cellIs" dxfId="1444" priority="2283" operator="equal">
      <formula>0</formula>
    </cfRule>
  </conditionalFormatting>
  <conditionalFormatting sqref="W130">
    <cfRule type="cellIs" dxfId="1443" priority="2279" operator="lessThan">
      <formula>W131</formula>
    </cfRule>
    <cfRule type="cellIs" dxfId="1442" priority="2280" operator="equal">
      <formula>0</formula>
    </cfRule>
    <cfRule type="cellIs" dxfId="1441" priority="2281" operator="lessThan">
      <formula>W131</formula>
    </cfRule>
    <cfRule type="cellIs" dxfId="1440" priority="2282" operator="lessThan">
      <formula>0</formula>
    </cfRule>
  </conditionalFormatting>
  <conditionalFormatting sqref="W137">
    <cfRule type="cellIs" dxfId="1439" priority="2272" operator="lessThan">
      <formula>W136</formula>
    </cfRule>
    <cfRule type="cellIs" dxfId="1438" priority="2277" operator="equal">
      <formula>0</formula>
    </cfRule>
  </conditionalFormatting>
  <conditionalFormatting sqref="W136">
    <cfRule type="cellIs" dxfId="1437" priority="2273" operator="lessThan">
      <formula>W137</formula>
    </cfRule>
    <cfRule type="cellIs" dxfId="1436" priority="2274" operator="equal">
      <formula>0</formula>
    </cfRule>
    <cfRule type="cellIs" dxfId="1435" priority="2275" operator="lessThan">
      <formula>W137</formula>
    </cfRule>
    <cfRule type="cellIs" dxfId="1434" priority="2276" operator="lessThan">
      <formula>0</formula>
    </cfRule>
  </conditionalFormatting>
  <conditionalFormatting sqref="W143">
    <cfRule type="cellIs" dxfId="1433" priority="2266" operator="lessThan">
      <formula>W142</formula>
    </cfRule>
    <cfRule type="cellIs" dxfId="1432" priority="2271" operator="equal">
      <formula>0</formula>
    </cfRule>
  </conditionalFormatting>
  <conditionalFormatting sqref="W142">
    <cfRule type="cellIs" dxfId="1431" priority="2267" operator="lessThan">
      <formula>W143</formula>
    </cfRule>
    <cfRule type="cellIs" dxfId="1430" priority="2268" operator="equal">
      <formula>0</formula>
    </cfRule>
    <cfRule type="cellIs" dxfId="1429" priority="2269" operator="lessThan">
      <formula>W143</formula>
    </cfRule>
    <cfRule type="cellIs" dxfId="1428" priority="2270" operator="lessThan">
      <formula>0</formula>
    </cfRule>
  </conditionalFormatting>
  <conditionalFormatting sqref="W149">
    <cfRule type="cellIs" dxfId="1427" priority="2260" operator="lessThan">
      <formula>W148</formula>
    </cfRule>
    <cfRule type="cellIs" dxfId="1426" priority="2265" operator="equal">
      <formula>0</formula>
    </cfRule>
  </conditionalFormatting>
  <conditionalFormatting sqref="W148">
    <cfRule type="cellIs" dxfId="1425" priority="2261" operator="lessThan">
      <formula>W149</formula>
    </cfRule>
    <cfRule type="cellIs" dxfId="1424" priority="2262" operator="equal">
      <formula>0</formula>
    </cfRule>
    <cfRule type="cellIs" dxfId="1423" priority="2263" operator="lessThan">
      <formula>W149</formula>
    </cfRule>
    <cfRule type="cellIs" dxfId="1422" priority="2264" operator="lessThan">
      <formula>0</formula>
    </cfRule>
  </conditionalFormatting>
  <conditionalFormatting sqref="V82:V87">
    <cfRule type="cellIs" dxfId="1421" priority="2258" operator="lessThan">
      <formula>0</formula>
    </cfRule>
    <cfRule type="cellIs" dxfId="1420" priority="2259" operator="equal">
      <formula>0</formula>
    </cfRule>
  </conditionalFormatting>
  <conditionalFormatting sqref="V88:V93">
    <cfRule type="cellIs" dxfId="1419" priority="2256" operator="lessThan">
      <formula>0</formula>
    </cfRule>
    <cfRule type="cellIs" dxfId="1418" priority="2257" operator="equal">
      <formula>0</formula>
    </cfRule>
  </conditionalFormatting>
  <conditionalFormatting sqref="V94:V99">
    <cfRule type="cellIs" dxfId="1417" priority="2254" operator="lessThan">
      <formula>0</formula>
    </cfRule>
    <cfRule type="cellIs" dxfId="1416" priority="2255" operator="equal">
      <formula>0</formula>
    </cfRule>
  </conditionalFormatting>
  <conditionalFormatting sqref="V100:V105">
    <cfRule type="cellIs" dxfId="1415" priority="2252" operator="lessThan">
      <formula>0</formula>
    </cfRule>
    <cfRule type="cellIs" dxfId="1414" priority="2253" operator="equal">
      <formula>0</formula>
    </cfRule>
  </conditionalFormatting>
  <conditionalFormatting sqref="V106:V111">
    <cfRule type="cellIs" dxfId="1413" priority="2250" operator="lessThan">
      <formula>0</formula>
    </cfRule>
    <cfRule type="cellIs" dxfId="1412" priority="2251" operator="equal">
      <formula>0</formula>
    </cfRule>
  </conditionalFormatting>
  <conditionalFormatting sqref="V112:V117">
    <cfRule type="cellIs" dxfId="1411" priority="2248" operator="lessThan">
      <formula>0</formula>
    </cfRule>
    <cfRule type="cellIs" dxfId="1410" priority="2249" operator="equal">
      <formula>0</formula>
    </cfRule>
  </conditionalFormatting>
  <conditionalFormatting sqref="V118:V123">
    <cfRule type="cellIs" dxfId="1409" priority="2246" operator="lessThan">
      <formula>0</formula>
    </cfRule>
    <cfRule type="cellIs" dxfId="1408" priority="2247" operator="equal">
      <formula>0</formula>
    </cfRule>
  </conditionalFormatting>
  <conditionalFormatting sqref="V124:V129">
    <cfRule type="cellIs" dxfId="1407" priority="2244" operator="lessThan">
      <formula>0</formula>
    </cfRule>
    <cfRule type="cellIs" dxfId="1406" priority="2245" operator="equal">
      <formula>0</formula>
    </cfRule>
  </conditionalFormatting>
  <conditionalFormatting sqref="V130:V135">
    <cfRule type="cellIs" dxfId="1405" priority="2242" operator="lessThan">
      <formula>0</formula>
    </cfRule>
    <cfRule type="cellIs" dxfId="1404" priority="2243" operator="equal">
      <formula>0</formula>
    </cfRule>
  </conditionalFormatting>
  <conditionalFormatting sqref="V136:V141">
    <cfRule type="cellIs" dxfId="1403" priority="2240" operator="lessThan">
      <formula>0</formula>
    </cfRule>
    <cfRule type="cellIs" dxfId="1402" priority="2241" operator="equal">
      <formula>0</formula>
    </cfRule>
  </conditionalFormatting>
  <conditionalFormatting sqref="V142:V147">
    <cfRule type="cellIs" dxfId="1401" priority="2238" operator="lessThan">
      <formula>0</formula>
    </cfRule>
    <cfRule type="cellIs" dxfId="1400" priority="2239" operator="equal">
      <formula>0</formula>
    </cfRule>
  </conditionalFormatting>
  <conditionalFormatting sqref="V148:V153">
    <cfRule type="cellIs" dxfId="1399" priority="2236" operator="lessThan">
      <formula>0</formula>
    </cfRule>
    <cfRule type="cellIs" dxfId="1398" priority="2237" operator="equal">
      <formula>0</formula>
    </cfRule>
  </conditionalFormatting>
  <conditionalFormatting sqref="V154:V159">
    <cfRule type="cellIs" dxfId="1397" priority="2234" operator="lessThan">
      <formula>0</formula>
    </cfRule>
    <cfRule type="cellIs" dxfId="1396" priority="2235" operator="equal">
      <formula>0</formula>
    </cfRule>
  </conditionalFormatting>
  <conditionalFormatting sqref="V160:V165">
    <cfRule type="cellIs" dxfId="1395" priority="2232" operator="lessThan">
      <formula>0</formula>
    </cfRule>
    <cfRule type="cellIs" dxfId="1394" priority="2233" operator="equal">
      <formula>0</formula>
    </cfRule>
  </conditionalFormatting>
  <conditionalFormatting sqref="V166:V171">
    <cfRule type="cellIs" dxfId="1393" priority="2230" operator="lessThan">
      <formula>0</formula>
    </cfRule>
    <cfRule type="cellIs" dxfId="1392" priority="2231" operator="equal">
      <formula>0</formula>
    </cfRule>
  </conditionalFormatting>
  <conditionalFormatting sqref="W75">
    <cfRule type="cellIs" dxfId="1391" priority="2189" operator="equal">
      <formula>0</formula>
    </cfRule>
    <cfRule type="cellIs" dxfId="1390" priority="2190" operator="greaterThan">
      <formula>W74</formula>
    </cfRule>
  </conditionalFormatting>
  <conditionalFormatting sqref="W81">
    <cfRule type="cellIs" dxfId="1389" priority="2187" operator="equal">
      <formula>0</formula>
    </cfRule>
    <cfRule type="cellIs" dxfId="1388" priority="2188" operator="greaterThan">
      <formula>W80</formula>
    </cfRule>
  </conditionalFormatting>
  <conditionalFormatting sqref="D64">
    <cfRule type="expression" dxfId="1387" priority="1949">
      <formula>E64&gt;B64</formula>
    </cfRule>
    <cfRule type="expression" dxfId="1386" priority="2167">
      <formula>V64&lt;&gt;0</formula>
    </cfRule>
  </conditionalFormatting>
  <conditionalFormatting sqref="C64">
    <cfRule type="expression" dxfId="1385" priority="1950">
      <formula>B64&gt;E64</formula>
    </cfRule>
    <cfRule type="expression" dxfId="1384" priority="2166">
      <formula>V64&lt;&gt;0</formula>
    </cfRule>
  </conditionalFormatting>
  <conditionalFormatting sqref="E64">
    <cfRule type="cellIs" dxfId="1383" priority="1904" operator="greaterThan">
      <formula>B64</formula>
    </cfRule>
  </conditionalFormatting>
  <conditionalFormatting sqref="B65">
    <cfRule type="cellIs" dxfId="1382" priority="1154" operator="greaterThan">
      <formula>E65</formula>
    </cfRule>
  </conditionalFormatting>
  <conditionalFormatting sqref="D65">
    <cfRule type="expression" dxfId="1381" priority="1150">
      <formula>E65&gt;B65</formula>
    </cfRule>
    <cfRule type="expression" dxfId="1380" priority="1153">
      <formula>V65&lt;&gt;0</formula>
    </cfRule>
  </conditionalFormatting>
  <conditionalFormatting sqref="C65">
    <cfRule type="expression" dxfId="1379" priority="1151">
      <formula>B65&gt;E65</formula>
    </cfRule>
    <cfRule type="expression" dxfId="1378" priority="1152">
      <formula>V65&lt;&gt;0</formula>
    </cfRule>
  </conditionalFormatting>
  <conditionalFormatting sqref="E65">
    <cfRule type="cellIs" dxfId="1377" priority="1149" operator="greaterThan">
      <formula>B65</formula>
    </cfRule>
  </conditionalFormatting>
  <conditionalFormatting sqref="B66">
    <cfRule type="cellIs" dxfId="1376" priority="1148" operator="greaterThan">
      <formula>E66</formula>
    </cfRule>
  </conditionalFormatting>
  <conditionalFormatting sqref="D66">
    <cfRule type="expression" dxfId="1375" priority="1144">
      <formula>E66&gt;B66</formula>
    </cfRule>
    <cfRule type="expression" dxfId="1374" priority="1147">
      <formula>V66&lt;&gt;0</formula>
    </cfRule>
  </conditionalFormatting>
  <conditionalFormatting sqref="C66">
    <cfRule type="expression" dxfId="1373" priority="1145">
      <formula>B66&gt;E66</formula>
    </cfRule>
    <cfRule type="expression" dxfId="1372" priority="1146">
      <formula>V66&lt;&gt;0</formula>
    </cfRule>
  </conditionalFormatting>
  <conditionalFormatting sqref="E66">
    <cfRule type="cellIs" dxfId="1371" priority="1143" operator="greaterThan">
      <formula>B66</formula>
    </cfRule>
  </conditionalFormatting>
  <conditionalFormatting sqref="B67">
    <cfRule type="cellIs" dxfId="1370" priority="1142" operator="greaterThan">
      <formula>E67</formula>
    </cfRule>
  </conditionalFormatting>
  <conditionalFormatting sqref="D67">
    <cfRule type="expression" dxfId="1369" priority="1138">
      <formula>E67&gt;B67</formula>
    </cfRule>
    <cfRule type="expression" dxfId="1368" priority="1141">
      <formula>V67&lt;&gt;0</formula>
    </cfRule>
  </conditionalFormatting>
  <conditionalFormatting sqref="C67">
    <cfRule type="expression" dxfId="1367" priority="1139">
      <formula>B67&gt;E67</formula>
    </cfRule>
    <cfRule type="expression" dxfId="1366" priority="1140">
      <formula>V67&lt;&gt;0</formula>
    </cfRule>
  </conditionalFormatting>
  <conditionalFormatting sqref="E67">
    <cfRule type="cellIs" dxfId="1365" priority="1137" operator="greaterThan">
      <formula>B67</formula>
    </cfRule>
  </conditionalFormatting>
  <conditionalFormatting sqref="B68">
    <cfRule type="cellIs" dxfId="1364" priority="1136" operator="greaterThan">
      <formula>E68</formula>
    </cfRule>
  </conditionalFormatting>
  <conditionalFormatting sqref="D68">
    <cfRule type="expression" dxfId="1363" priority="1132">
      <formula>E68&gt;B68</formula>
    </cfRule>
    <cfRule type="expression" dxfId="1362" priority="1135">
      <formula>V68&lt;&gt;0</formula>
    </cfRule>
  </conditionalFormatting>
  <conditionalFormatting sqref="C68">
    <cfRule type="expression" dxfId="1361" priority="1133">
      <formula>B68&gt;E68</formula>
    </cfRule>
    <cfRule type="expression" dxfId="1360" priority="1134">
      <formula>V68&lt;&gt;0</formula>
    </cfRule>
  </conditionalFormatting>
  <conditionalFormatting sqref="E68">
    <cfRule type="cellIs" dxfId="1359" priority="1131" operator="greaterThan">
      <formula>B68</formula>
    </cfRule>
  </conditionalFormatting>
  <conditionalFormatting sqref="B69">
    <cfRule type="cellIs" dxfId="1358" priority="1130" operator="greaterThan">
      <formula>E69</formula>
    </cfRule>
  </conditionalFormatting>
  <conditionalFormatting sqref="D69">
    <cfRule type="expression" dxfId="1357" priority="1126">
      <formula>E69&gt;B69</formula>
    </cfRule>
    <cfRule type="expression" dxfId="1356" priority="1129">
      <formula>V69&lt;&gt;0</formula>
    </cfRule>
  </conditionalFormatting>
  <conditionalFormatting sqref="C69">
    <cfRule type="expression" dxfId="1355" priority="1127">
      <formula>B69&gt;E69</formula>
    </cfRule>
    <cfRule type="expression" dxfId="1354" priority="1128">
      <formula>V69&lt;&gt;0</formula>
    </cfRule>
  </conditionalFormatting>
  <conditionalFormatting sqref="E69">
    <cfRule type="cellIs" dxfId="1353" priority="1125" operator="greaterThan">
      <formula>B69</formula>
    </cfRule>
  </conditionalFormatting>
  <conditionalFormatting sqref="B70">
    <cfRule type="cellIs" dxfId="1352" priority="1124" operator="greaterThan">
      <formula>E70</formula>
    </cfRule>
  </conditionalFormatting>
  <conditionalFormatting sqref="D70">
    <cfRule type="expression" dxfId="1351" priority="1120">
      <formula>E70&gt;B70</formula>
    </cfRule>
    <cfRule type="expression" dxfId="1350" priority="1123">
      <formula>V70&lt;&gt;0</formula>
    </cfRule>
  </conditionalFormatting>
  <conditionalFormatting sqref="C70">
    <cfRule type="expression" dxfId="1349" priority="1121">
      <formula>B70&gt;E70</formula>
    </cfRule>
    <cfRule type="expression" dxfId="1348" priority="1122">
      <formula>V70&lt;&gt;0</formula>
    </cfRule>
  </conditionalFormatting>
  <conditionalFormatting sqref="E70">
    <cfRule type="cellIs" dxfId="1347" priority="1119" operator="greaterThan">
      <formula>B70</formula>
    </cfRule>
  </conditionalFormatting>
  <conditionalFormatting sqref="B71">
    <cfRule type="cellIs" dxfId="1346" priority="1118" operator="greaterThan">
      <formula>E71</formula>
    </cfRule>
  </conditionalFormatting>
  <conditionalFormatting sqref="D71">
    <cfRule type="expression" dxfId="1345" priority="1114">
      <formula>E71&gt;B71</formula>
    </cfRule>
    <cfRule type="expression" dxfId="1344" priority="1117">
      <formula>V71&lt;&gt;0</formula>
    </cfRule>
  </conditionalFormatting>
  <conditionalFormatting sqref="C71">
    <cfRule type="expression" dxfId="1343" priority="1115">
      <formula>B71&gt;E71</formula>
    </cfRule>
    <cfRule type="expression" dxfId="1342" priority="1116">
      <formula>V71&lt;&gt;0</formula>
    </cfRule>
  </conditionalFormatting>
  <conditionalFormatting sqref="E71">
    <cfRule type="cellIs" dxfId="1341" priority="1113" operator="greaterThan">
      <formula>B71</formula>
    </cfRule>
  </conditionalFormatting>
  <conditionalFormatting sqref="B72">
    <cfRule type="cellIs" dxfId="1340" priority="1112" operator="greaterThan">
      <formula>E72</formula>
    </cfRule>
  </conditionalFormatting>
  <conditionalFormatting sqref="D72">
    <cfRule type="expression" dxfId="1339" priority="1108">
      <formula>E72&gt;B72</formula>
    </cfRule>
    <cfRule type="expression" dxfId="1338" priority="1111">
      <formula>V72&lt;&gt;0</formula>
    </cfRule>
  </conditionalFormatting>
  <conditionalFormatting sqref="C72">
    <cfRule type="expression" dxfId="1337" priority="1109">
      <formula>B72&gt;E72</formula>
    </cfRule>
    <cfRule type="expression" dxfId="1336" priority="1110">
      <formula>V72&lt;&gt;0</formula>
    </cfRule>
  </conditionalFormatting>
  <conditionalFormatting sqref="E72">
    <cfRule type="cellIs" dxfId="1335" priority="1107" operator="greaterThan">
      <formula>B72</formula>
    </cfRule>
  </conditionalFormatting>
  <conditionalFormatting sqref="B73">
    <cfRule type="cellIs" dxfId="1334" priority="1106" operator="greaterThan">
      <formula>E73</formula>
    </cfRule>
  </conditionalFormatting>
  <conditionalFormatting sqref="D73">
    <cfRule type="expression" dxfId="1333" priority="1102">
      <formula>E73&gt;B73</formula>
    </cfRule>
    <cfRule type="expression" dxfId="1332" priority="1105">
      <formula>V73&lt;&gt;0</formula>
    </cfRule>
  </conditionalFormatting>
  <conditionalFormatting sqref="C73">
    <cfRule type="expression" dxfId="1331" priority="1103">
      <formula>B73&gt;E73</formula>
    </cfRule>
    <cfRule type="expression" dxfId="1330" priority="1104">
      <formula>V73&lt;&gt;0</formula>
    </cfRule>
  </conditionalFormatting>
  <conditionalFormatting sqref="E73">
    <cfRule type="cellIs" dxfId="1329" priority="1101" operator="greaterThan">
      <formula>B73</formula>
    </cfRule>
  </conditionalFormatting>
  <conditionalFormatting sqref="B74">
    <cfRule type="cellIs" dxfId="1328" priority="1100" operator="greaterThan">
      <formula>E74</formula>
    </cfRule>
  </conditionalFormatting>
  <conditionalFormatting sqref="D74">
    <cfRule type="expression" dxfId="1327" priority="1096">
      <formula>E74&gt;B74</formula>
    </cfRule>
    <cfRule type="expression" dxfId="1326" priority="1099">
      <formula>V74&lt;&gt;0</formula>
    </cfRule>
  </conditionalFormatting>
  <conditionalFormatting sqref="C74">
    <cfRule type="expression" dxfId="1325" priority="1097">
      <formula>B74&gt;E74</formula>
    </cfRule>
    <cfRule type="expression" dxfId="1324" priority="1098">
      <formula>V74&lt;&gt;0</formula>
    </cfRule>
  </conditionalFormatting>
  <conditionalFormatting sqref="E74">
    <cfRule type="cellIs" dxfId="1323" priority="1095" operator="greaterThan">
      <formula>B74</formula>
    </cfRule>
  </conditionalFormatting>
  <conditionalFormatting sqref="B75">
    <cfRule type="cellIs" dxfId="1322" priority="1094" operator="greaterThan">
      <formula>E75</formula>
    </cfRule>
  </conditionalFormatting>
  <conditionalFormatting sqref="D75">
    <cfRule type="expression" dxfId="1321" priority="1090">
      <formula>E75&gt;B75</formula>
    </cfRule>
    <cfRule type="expression" dxfId="1320" priority="1093">
      <formula>V75&lt;&gt;0</formula>
    </cfRule>
  </conditionalFormatting>
  <conditionalFormatting sqref="C75">
    <cfRule type="expression" dxfId="1319" priority="1091">
      <formula>B75&gt;E75</formula>
    </cfRule>
    <cfRule type="expression" dxfId="1318" priority="1092">
      <formula>V75&lt;&gt;0</formula>
    </cfRule>
  </conditionalFormatting>
  <conditionalFormatting sqref="E75">
    <cfRule type="cellIs" dxfId="1317" priority="1089" operator="greaterThan">
      <formula>B75</formula>
    </cfRule>
  </conditionalFormatting>
  <conditionalFormatting sqref="B76">
    <cfRule type="cellIs" dxfId="1316" priority="1088" operator="greaterThan">
      <formula>E76</formula>
    </cfRule>
  </conditionalFormatting>
  <conditionalFormatting sqref="D76">
    <cfRule type="expression" dxfId="1315" priority="1084">
      <formula>E76&gt;B76</formula>
    </cfRule>
    <cfRule type="expression" dxfId="1314" priority="1087">
      <formula>V76&lt;&gt;0</formula>
    </cfRule>
  </conditionalFormatting>
  <conditionalFormatting sqref="C76">
    <cfRule type="expression" dxfId="1313" priority="1085">
      <formula>B76&gt;E76</formula>
    </cfRule>
    <cfRule type="expression" dxfId="1312" priority="1086">
      <formula>V76&lt;&gt;0</formula>
    </cfRule>
  </conditionalFormatting>
  <conditionalFormatting sqref="E76">
    <cfRule type="cellIs" dxfId="1311" priority="1083" operator="greaterThan">
      <formula>B76</formula>
    </cfRule>
  </conditionalFormatting>
  <conditionalFormatting sqref="B77">
    <cfRule type="cellIs" dxfId="1310" priority="1082" operator="greaterThan">
      <formula>E77</formula>
    </cfRule>
  </conditionalFormatting>
  <conditionalFormatting sqref="D77">
    <cfRule type="expression" dxfId="1309" priority="1078">
      <formula>E77&gt;B77</formula>
    </cfRule>
    <cfRule type="expression" dxfId="1308" priority="1081">
      <formula>V77&lt;&gt;0</formula>
    </cfRule>
  </conditionalFormatting>
  <conditionalFormatting sqref="C77">
    <cfRule type="expression" dxfId="1307" priority="1079">
      <formula>B77&gt;E77</formula>
    </cfRule>
    <cfRule type="expression" dxfId="1306" priority="1080">
      <formula>V77&lt;&gt;0</formula>
    </cfRule>
  </conditionalFormatting>
  <conditionalFormatting sqref="E77">
    <cfRule type="cellIs" dxfId="1305" priority="1077" operator="greaterThan">
      <formula>B77</formula>
    </cfRule>
  </conditionalFormatting>
  <conditionalFormatting sqref="B78">
    <cfRule type="cellIs" dxfId="1304" priority="1076" operator="greaterThan">
      <formula>E78</formula>
    </cfRule>
  </conditionalFormatting>
  <conditionalFormatting sqref="D78">
    <cfRule type="expression" dxfId="1303" priority="1072">
      <formula>E78&gt;B78</formula>
    </cfRule>
    <cfRule type="expression" dxfId="1302" priority="1075">
      <formula>V78&lt;&gt;0</formula>
    </cfRule>
  </conditionalFormatting>
  <conditionalFormatting sqref="C78">
    <cfRule type="expression" dxfId="1301" priority="1073">
      <formula>B78&gt;E78</formula>
    </cfRule>
    <cfRule type="expression" dxfId="1300" priority="1074">
      <formula>V78&lt;&gt;0</formula>
    </cfRule>
  </conditionalFormatting>
  <conditionalFormatting sqref="E78">
    <cfRule type="cellIs" dxfId="1299" priority="1071" operator="greaterThan">
      <formula>B78</formula>
    </cfRule>
  </conditionalFormatting>
  <conditionalFormatting sqref="B79">
    <cfRule type="cellIs" dxfId="1298" priority="1070" operator="greaterThan">
      <formula>E79</formula>
    </cfRule>
  </conditionalFormatting>
  <conditionalFormatting sqref="D79">
    <cfRule type="expression" dxfId="1297" priority="1066">
      <formula>E79&gt;B79</formula>
    </cfRule>
    <cfRule type="expression" dxfId="1296" priority="1069">
      <formula>V79&lt;&gt;0</formula>
    </cfRule>
  </conditionalFormatting>
  <conditionalFormatting sqref="C79">
    <cfRule type="expression" dxfId="1295" priority="1067">
      <formula>B79&gt;E79</formula>
    </cfRule>
    <cfRule type="expression" dxfId="1294" priority="1068">
      <formula>V79&lt;&gt;0</formula>
    </cfRule>
  </conditionalFormatting>
  <conditionalFormatting sqref="E79">
    <cfRule type="cellIs" dxfId="1293" priority="1065" operator="greaterThan">
      <formula>B79</formula>
    </cfRule>
  </conditionalFormatting>
  <conditionalFormatting sqref="B80">
    <cfRule type="cellIs" dxfId="1292" priority="1064" operator="greaterThan">
      <formula>E80</formula>
    </cfRule>
  </conditionalFormatting>
  <conditionalFormatting sqref="D80">
    <cfRule type="expression" dxfId="1291" priority="1060">
      <formula>E80&gt;B80</formula>
    </cfRule>
    <cfRule type="expression" dxfId="1290" priority="1063">
      <formula>V80&lt;&gt;0</formula>
    </cfRule>
  </conditionalFormatting>
  <conditionalFormatting sqref="C80">
    <cfRule type="expression" dxfId="1289" priority="1061">
      <formula>B80&gt;E80</formula>
    </cfRule>
    <cfRule type="expression" dxfId="1288" priority="1062">
      <formula>V80&lt;&gt;0</formula>
    </cfRule>
  </conditionalFormatting>
  <conditionalFormatting sqref="E80">
    <cfRule type="cellIs" dxfId="1287" priority="1059" operator="greaterThan">
      <formula>B80</formula>
    </cfRule>
  </conditionalFormatting>
  <conditionalFormatting sqref="B81">
    <cfRule type="cellIs" dxfId="1286" priority="1058" operator="greaterThan">
      <formula>E81</formula>
    </cfRule>
  </conditionalFormatting>
  <conditionalFormatting sqref="D81">
    <cfRule type="expression" dxfId="1285" priority="1054">
      <formula>E81&gt;B81</formula>
    </cfRule>
    <cfRule type="expression" dxfId="1284" priority="1057">
      <formula>V81&lt;&gt;0</formula>
    </cfRule>
  </conditionalFormatting>
  <conditionalFormatting sqref="C81">
    <cfRule type="expression" dxfId="1283" priority="1055">
      <formula>B81&gt;E81</formula>
    </cfRule>
    <cfRule type="expression" dxfId="1282" priority="1056">
      <formula>V81&lt;&gt;0</formula>
    </cfRule>
  </conditionalFormatting>
  <conditionalFormatting sqref="E81">
    <cfRule type="cellIs" dxfId="1281" priority="1053" operator="greaterThan">
      <formula>B81</formula>
    </cfRule>
  </conditionalFormatting>
  <conditionalFormatting sqref="B82">
    <cfRule type="cellIs" dxfId="1280" priority="1052" operator="greaterThan">
      <formula>E82</formula>
    </cfRule>
  </conditionalFormatting>
  <conditionalFormatting sqref="D82">
    <cfRule type="expression" dxfId="1279" priority="1048">
      <formula>E82&gt;B82</formula>
    </cfRule>
    <cfRule type="expression" dxfId="1278" priority="1051">
      <formula>V82&lt;&gt;0</formula>
    </cfRule>
  </conditionalFormatting>
  <conditionalFormatting sqref="C82">
    <cfRule type="expression" dxfId="1277" priority="1049">
      <formula>B82&gt;E82</formula>
    </cfRule>
    <cfRule type="expression" dxfId="1276" priority="1050">
      <formula>V82&lt;&gt;0</formula>
    </cfRule>
  </conditionalFormatting>
  <conditionalFormatting sqref="E82">
    <cfRule type="cellIs" dxfId="1275" priority="1047" operator="greaterThan">
      <formula>B82</formula>
    </cfRule>
  </conditionalFormatting>
  <conditionalFormatting sqref="B83">
    <cfRule type="cellIs" dxfId="1274" priority="1046" operator="greaterThan">
      <formula>E83</formula>
    </cfRule>
  </conditionalFormatting>
  <conditionalFormatting sqref="D83">
    <cfRule type="expression" dxfId="1273" priority="1042">
      <formula>E83&gt;B83</formula>
    </cfRule>
    <cfRule type="expression" dxfId="1272" priority="1045">
      <formula>V83&lt;&gt;0</formula>
    </cfRule>
  </conditionalFormatting>
  <conditionalFormatting sqref="C83">
    <cfRule type="expression" dxfId="1271" priority="1043">
      <formula>B83&gt;E83</formula>
    </cfRule>
    <cfRule type="expression" dxfId="1270" priority="1044">
      <formula>V83&lt;&gt;0</formula>
    </cfRule>
  </conditionalFormatting>
  <conditionalFormatting sqref="E83">
    <cfRule type="cellIs" dxfId="1269" priority="1041" operator="greaterThan">
      <formula>B83</formula>
    </cfRule>
  </conditionalFormatting>
  <conditionalFormatting sqref="B84">
    <cfRule type="cellIs" dxfId="1268" priority="1040" operator="greaterThan">
      <formula>E84</formula>
    </cfRule>
  </conditionalFormatting>
  <conditionalFormatting sqref="D84">
    <cfRule type="expression" dxfId="1267" priority="1036">
      <formula>E84&gt;B84</formula>
    </cfRule>
    <cfRule type="expression" dxfId="1266" priority="1039">
      <formula>V84&lt;&gt;0</formula>
    </cfRule>
  </conditionalFormatting>
  <conditionalFormatting sqref="C84">
    <cfRule type="expression" dxfId="1265" priority="1037">
      <formula>B84&gt;E84</formula>
    </cfRule>
    <cfRule type="expression" dxfId="1264" priority="1038">
      <formula>V84&lt;&gt;0</formula>
    </cfRule>
  </conditionalFormatting>
  <conditionalFormatting sqref="E84">
    <cfRule type="cellIs" dxfId="1263" priority="1035" operator="greaterThan">
      <formula>B84</formula>
    </cfRule>
  </conditionalFormatting>
  <conditionalFormatting sqref="B85">
    <cfRule type="cellIs" dxfId="1262" priority="1034" operator="greaterThan">
      <formula>E85</formula>
    </cfRule>
  </conditionalFormatting>
  <conditionalFormatting sqref="D85">
    <cfRule type="expression" dxfId="1261" priority="1030">
      <formula>E85&gt;B85</formula>
    </cfRule>
    <cfRule type="expression" dxfId="1260" priority="1033">
      <formula>V85&lt;&gt;0</formula>
    </cfRule>
  </conditionalFormatting>
  <conditionalFormatting sqref="C85">
    <cfRule type="expression" dxfId="1259" priority="1031">
      <formula>B85&gt;E85</formula>
    </cfRule>
    <cfRule type="expression" dxfId="1258" priority="1032">
      <formula>V85&lt;&gt;0</formula>
    </cfRule>
  </conditionalFormatting>
  <conditionalFormatting sqref="E85">
    <cfRule type="cellIs" dxfId="1257" priority="1029" operator="greaterThan">
      <formula>B85</formula>
    </cfRule>
  </conditionalFormatting>
  <conditionalFormatting sqref="B86">
    <cfRule type="cellIs" dxfId="1256" priority="1028" operator="greaterThan">
      <formula>E86</formula>
    </cfRule>
  </conditionalFormatting>
  <conditionalFormatting sqref="D86">
    <cfRule type="expression" dxfId="1255" priority="1024">
      <formula>E86&gt;B86</formula>
    </cfRule>
    <cfRule type="expression" dxfId="1254" priority="1027">
      <formula>V86&lt;&gt;0</formula>
    </cfRule>
  </conditionalFormatting>
  <conditionalFormatting sqref="C86">
    <cfRule type="expression" dxfId="1253" priority="1025">
      <formula>B86&gt;E86</formula>
    </cfRule>
    <cfRule type="expression" dxfId="1252" priority="1026">
      <formula>V86&lt;&gt;0</formula>
    </cfRule>
  </conditionalFormatting>
  <conditionalFormatting sqref="E86">
    <cfRule type="cellIs" dxfId="1251" priority="1023" operator="greaterThan">
      <formula>B86</formula>
    </cfRule>
  </conditionalFormatting>
  <conditionalFormatting sqref="B87">
    <cfRule type="cellIs" dxfId="1250" priority="1022" operator="greaterThan">
      <formula>E87</formula>
    </cfRule>
  </conditionalFormatting>
  <conditionalFormatting sqref="D87">
    <cfRule type="expression" dxfId="1249" priority="1018">
      <formula>E87&gt;B87</formula>
    </cfRule>
    <cfRule type="expression" dxfId="1248" priority="1021">
      <formula>V87&lt;&gt;0</formula>
    </cfRule>
  </conditionalFormatting>
  <conditionalFormatting sqref="C87">
    <cfRule type="expression" dxfId="1247" priority="1019">
      <formula>B87&gt;E87</formula>
    </cfRule>
    <cfRule type="expression" dxfId="1246" priority="1020">
      <formula>V87&lt;&gt;0</formula>
    </cfRule>
  </conditionalFormatting>
  <conditionalFormatting sqref="E87">
    <cfRule type="cellIs" dxfId="1245" priority="1017" operator="greaterThan">
      <formula>B87</formula>
    </cfRule>
  </conditionalFormatting>
  <conditionalFormatting sqref="B88">
    <cfRule type="cellIs" dxfId="1244" priority="1016" operator="greaterThan">
      <formula>E88</formula>
    </cfRule>
  </conditionalFormatting>
  <conditionalFormatting sqref="D88">
    <cfRule type="expression" dxfId="1243" priority="1012">
      <formula>E88&gt;B88</formula>
    </cfRule>
    <cfRule type="expression" dxfId="1242" priority="1015">
      <formula>V88&lt;&gt;0</formula>
    </cfRule>
  </conditionalFormatting>
  <conditionalFormatting sqref="C88">
    <cfRule type="expression" dxfId="1241" priority="1013">
      <formula>B88&gt;E88</formula>
    </cfRule>
    <cfRule type="expression" dxfId="1240" priority="1014">
      <formula>V88&lt;&gt;0</formula>
    </cfRule>
  </conditionalFormatting>
  <conditionalFormatting sqref="E88">
    <cfRule type="cellIs" dxfId="1239" priority="1011" operator="greaterThan">
      <formula>B88</formula>
    </cfRule>
  </conditionalFormatting>
  <conditionalFormatting sqref="B89">
    <cfRule type="cellIs" dxfId="1238" priority="1010" operator="greaterThan">
      <formula>E89</formula>
    </cfRule>
  </conditionalFormatting>
  <conditionalFormatting sqref="D89">
    <cfRule type="expression" dxfId="1237" priority="1006">
      <formula>E89&gt;B89</formula>
    </cfRule>
    <cfRule type="expression" dxfId="1236" priority="1009">
      <formula>V89&lt;&gt;0</formula>
    </cfRule>
  </conditionalFormatting>
  <conditionalFormatting sqref="C89">
    <cfRule type="expression" dxfId="1235" priority="1007">
      <formula>B89&gt;E89</formula>
    </cfRule>
    <cfRule type="expression" dxfId="1234" priority="1008">
      <formula>V89&lt;&gt;0</formula>
    </cfRule>
  </conditionalFormatting>
  <conditionalFormatting sqref="E89">
    <cfRule type="cellIs" dxfId="1233" priority="1005" operator="greaterThan">
      <formula>B89</formula>
    </cfRule>
  </conditionalFormatting>
  <conditionalFormatting sqref="B90">
    <cfRule type="cellIs" dxfId="1232" priority="1004" operator="greaterThan">
      <formula>E90</formula>
    </cfRule>
  </conditionalFormatting>
  <conditionalFormatting sqref="D90">
    <cfRule type="expression" dxfId="1231" priority="1000">
      <formula>E90&gt;B90</formula>
    </cfRule>
    <cfRule type="expression" dxfId="1230" priority="1003">
      <formula>V90&lt;&gt;0</formula>
    </cfRule>
  </conditionalFormatting>
  <conditionalFormatting sqref="C90">
    <cfRule type="expression" dxfId="1229" priority="1001">
      <formula>B90&gt;E90</formula>
    </cfRule>
    <cfRule type="expression" dxfId="1228" priority="1002">
      <formula>V90&lt;&gt;0</formula>
    </cfRule>
  </conditionalFormatting>
  <conditionalFormatting sqref="E90">
    <cfRule type="cellIs" dxfId="1227" priority="999" operator="greaterThan">
      <formula>B90</formula>
    </cfRule>
  </conditionalFormatting>
  <conditionalFormatting sqref="B91">
    <cfRule type="cellIs" dxfId="1226" priority="998" operator="greaterThan">
      <formula>E91</formula>
    </cfRule>
  </conditionalFormatting>
  <conditionalFormatting sqref="D91">
    <cfRule type="expression" dxfId="1225" priority="994">
      <formula>E91&gt;B91</formula>
    </cfRule>
    <cfRule type="expression" dxfId="1224" priority="997">
      <formula>V91&lt;&gt;0</formula>
    </cfRule>
  </conditionalFormatting>
  <conditionalFormatting sqref="C91">
    <cfRule type="expression" dxfId="1223" priority="995">
      <formula>B91&gt;E91</formula>
    </cfRule>
    <cfRule type="expression" dxfId="1222" priority="996">
      <formula>V91&lt;&gt;0</formula>
    </cfRule>
  </conditionalFormatting>
  <conditionalFormatting sqref="E91">
    <cfRule type="cellIs" dxfId="1221" priority="993" operator="greaterThan">
      <formula>B91</formula>
    </cfRule>
  </conditionalFormatting>
  <conditionalFormatting sqref="B92">
    <cfRule type="cellIs" dxfId="1220" priority="992" operator="greaterThan">
      <formula>E92</formula>
    </cfRule>
  </conditionalFormatting>
  <conditionalFormatting sqref="D92">
    <cfRule type="expression" dxfId="1219" priority="988">
      <formula>E92&gt;B92</formula>
    </cfRule>
    <cfRule type="expression" dxfId="1218" priority="991">
      <formula>V92&lt;&gt;0</formula>
    </cfRule>
  </conditionalFormatting>
  <conditionalFormatting sqref="C92">
    <cfRule type="expression" dxfId="1217" priority="989">
      <formula>B92&gt;E92</formula>
    </cfRule>
    <cfRule type="expression" dxfId="1216" priority="990">
      <formula>V92&lt;&gt;0</formula>
    </cfRule>
  </conditionalFormatting>
  <conditionalFormatting sqref="E92">
    <cfRule type="cellIs" dxfId="1215" priority="987" operator="greaterThan">
      <formula>B92</formula>
    </cfRule>
  </conditionalFormatting>
  <conditionalFormatting sqref="B93">
    <cfRule type="cellIs" dxfId="1214" priority="986" operator="greaterThan">
      <formula>E93</formula>
    </cfRule>
  </conditionalFormatting>
  <conditionalFormatting sqref="D93">
    <cfRule type="expression" dxfId="1213" priority="982">
      <formula>E93&gt;B93</formula>
    </cfRule>
    <cfRule type="expression" dxfId="1212" priority="985">
      <formula>V93&lt;&gt;0</formula>
    </cfRule>
  </conditionalFormatting>
  <conditionalFormatting sqref="C93">
    <cfRule type="expression" dxfId="1211" priority="983">
      <formula>B93&gt;E93</formula>
    </cfRule>
    <cfRule type="expression" dxfId="1210" priority="984">
      <formula>V93&lt;&gt;0</formula>
    </cfRule>
  </conditionalFormatting>
  <conditionalFormatting sqref="E93">
    <cfRule type="cellIs" dxfId="1209" priority="981" operator="greaterThan">
      <formula>B93</formula>
    </cfRule>
  </conditionalFormatting>
  <conditionalFormatting sqref="B94">
    <cfRule type="cellIs" dxfId="1208" priority="980" operator="greaterThan">
      <formula>E94</formula>
    </cfRule>
  </conditionalFormatting>
  <conditionalFormatting sqref="D94">
    <cfRule type="expression" dxfId="1207" priority="976">
      <formula>E94&gt;B94</formula>
    </cfRule>
    <cfRule type="expression" dxfId="1206" priority="979">
      <formula>V94&lt;&gt;0</formula>
    </cfRule>
  </conditionalFormatting>
  <conditionalFormatting sqref="C94">
    <cfRule type="expression" dxfId="1205" priority="977">
      <formula>B94&gt;E94</formula>
    </cfRule>
    <cfRule type="expression" dxfId="1204" priority="978">
      <formula>V94&lt;&gt;0</formula>
    </cfRule>
  </conditionalFormatting>
  <conditionalFormatting sqref="E94">
    <cfRule type="cellIs" dxfId="1203" priority="975" operator="greaterThan">
      <formula>B94</formula>
    </cfRule>
  </conditionalFormatting>
  <conditionalFormatting sqref="B95">
    <cfRule type="cellIs" dxfId="1202" priority="974" operator="greaterThan">
      <formula>E95</formula>
    </cfRule>
  </conditionalFormatting>
  <conditionalFormatting sqref="D95">
    <cfRule type="expression" dxfId="1201" priority="970">
      <formula>E95&gt;B95</formula>
    </cfRule>
    <cfRule type="expression" dxfId="1200" priority="973">
      <formula>V95&lt;&gt;0</formula>
    </cfRule>
  </conditionalFormatting>
  <conditionalFormatting sqref="C95">
    <cfRule type="expression" dxfId="1199" priority="971">
      <formula>B95&gt;E95</formula>
    </cfRule>
    <cfRule type="expression" dxfId="1198" priority="972">
      <formula>V95&lt;&gt;0</formula>
    </cfRule>
  </conditionalFormatting>
  <conditionalFormatting sqref="E95">
    <cfRule type="cellIs" dxfId="1197" priority="969" operator="greaterThan">
      <formula>B95</formula>
    </cfRule>
  </conditionalFormatting>
  <conditionalFormatting sqref="B96">
    <cfRule type="cellIs" dxfId="1196" priority="968" operator="greaterThan">
      <formula>E96</formula>
    </cfRule>
  </conditionalFormatting>
  <conditionalFormatting sqref="D96">
    <cfRule type="expression" dxfId="1195" priority="964">
      <formula>E96&gt;B96</formula>
    </cfRule>
    <cfRule type="expression" dxfId="1194" priority="967">
      <formula>V96&lt;&gt;0</formula>
    </cfRule>
  </conditionalFormatting>
  <conditionalFormatting sqref="C96">
    <cfRule type="expression" dxfId="1193" priority="965">
      <formula>B96&gt;E96</formula>
    </cfRule>
    <cfRule type="expression" dxfId="1192" priority="966">
      <formula>V96&lt;&gt;0</formula>
    </cfRule>
  </conditionalFormatting>
  <conditionalFormatting sqref="E96">
    <cfRule type="cellIs" dxfId="1191" priority="963" operator="greaterThan">
      <formula>B96</formula>
    </cfRule>
  </conditionalFormatting>
  <conditionalFormatting sqref="B97">
    <cfRule type="cellIs" dxfId="1190" priority="962" operator="greaterThan">
      <formula>E97</formula>
    </cfRule>
  </conditionalFormatting>
  <conditionalFormatting sqref="D97">
    <cfRule type="expression" dxfId="1189" priority="958">
      <formula>E97&gt;B97</formula>
    </cfRule>
    <cfRule type="expression" dxfId="1188" priority="961">
      <formula>V97&lt;&gt;0</formula>
    </cfRule>
  </conditionalFormatting>
  <conditionalFormatting sqref="C97">
    <cfRule type="expression" dxfId="1187" priority="959">
      <formula>B97&gt;E97</formula>
    </cfRule>
    <cfRule type="expression" dxfId="1186" priority="960">
      <formula>V97&lt;&gt;0</formula>
    </cfRule>
  </conditionalFormatting>
  <conditionalFormatting sqref="E97">
    <cfRule type="cellIs" dxfId="1185" priority="957" operator="greaterThan">
      <formula>B97</formula>
    </cfRule>
  </conditionalFormatting>
  <conditionalFormatting sqref="B98">
    <cfRule type="cellIs" dxfId="1184" priority="956" operator="greaterThan">
      <formula>E98</formula>
    </cfRule>
  </conditionalFormatting>
  <conditionalFormatting sqref="D98">
    <cfRule type="expression" dxfId="1183" priority="952">
      <formula>E98&gt;B98</formula>
    </cfRule>
    <cfRule type="expression" dxfId="1182" priority="955">
      <formula>V98&lt;&gt;0</formula>
    </cfRule>
  </conditionalFormatting>
  <conditionalFormatting sqref="C98">
    <cfRule type="expression" dxfId="1181" priority="953">
      <formula>B98&gt;E98</formula>
    </cfRule>
    <cfRule type="expression" dxfId="1180" priority="954">
      <formula>V98&lt;&gt;0</formula>
    </cfRule>
  </conditionalFormatting>
  <conditionalFormatting sqref="E98">
    <cfRule type="cellIs" dxfId="1179" priority="951" operator="greaterThan">
      <formula>B98</formula>
    </cfRule>
  </conditionalFormatting>
  <conditionalFormatting sqref="B99">
    <cfRule type="cellIs" dxfId="1178" priority="950" operator="greaterThan">
      <formula>E99</formula>
    </cfRule>
  </conditionalFormatting>
  <conditionalFormatting sqref="D99">
    <cfRule type="expression" dxfId="1177" priority="946">
      <formula>E99&gt;B99</formula>
    </cfRule>
    <cfRule type="expression" dxfId="1176" priority="949">
      <formula>V99&lt;&gt;0</formula>
    </cfRule>
  </conditionalFormatting>
  <conditionalFormatting sqref="C99">
    <cfRule type="expression" dxfId="1175" priority="947">
      <formula>B99&gt;E99</formula>
    </cfRule>
    <cfRule type="expression" dxfId="1174" priority="948">
      <formula>V99&lt;&gt;0</formula>
    </cfRule>
  </conditionalFormatting>
  <conditionalFormatting sqref="E99">
    <cfRule type="cellIs" dxfId="1173" priority="945" operator="greaterThan">
      <formula>B99</formula>
    </cfRule>
  </conditionalFormatting>
  <conditionalFormatting sqref="B100">
    <cfRule type="cellIs" dxfId="1172" priority="944" operator="greaterThan">
      <formula>E100</formula>
    </cfRule>
  </conditionalFormatting>
  <conditionalFormatting sqref="D100">
    <cfRule type="expression" dxfId="1171" priority="940">
      <formula>E100&gt;B100</formula>
    </cfRule>
    <cfRule type="expression" dxfId="1170" priority="943">
      <formula>V100&lt;&gt;0</formula>
    </cfRule>
  </conditionalFormatting>
  <conditionalFormatting sqref="C100">
    <cfRule type="expression" dxfId="1169" priority="941">
      <formula>B100&gt;E100</formula>
    </cfRule>
    <cfRule type="expression" dxfId="1168" priority="942">
      <formula>V100&lt;&gt;0</formula>
    </cfRule>
  </conditionalFormatting>
  <conditionalFormatting sqref="E100">
    <cfRule type="cellIs" dxfId="1167" priority="939" operator="greaterThan">
      <formula>B100</formula>
    </cfRule>
  </conditionalFormatting>
  <conditionalFormatting sqref="B101">
    <cfRule type="cellIs" dxfId="1166" priority="938" operator="greaterThan">
      <formula>E101</formula>
    </cfRule>
  </conditionalFormatting>
  <conditionalFormatting sqref="D101">
    <cfRule type="expression" dxfId="1165" priority="934">
      <formula>E101&gt;B101</formula>
    </cfRule>
    <cfRule type="expression" dxfId="1164" priority="937">
      <formula>V101&lt;&gt;0</formula>
    </cfRule>
  </conditionalFormatting>
  <conditionalFormatting sqref="C101">
    <cfRule type="expression" dxfId="1163" priority="935">
      <formula>B101&gt;E101</formula>
    </cfRule>
    <cfRule type="expression" dxfId="1162" priority="936">
      <formula>V101&lt;&gt;0</formula>
    </cfRule>
  </conditionalFormatting>
  <conditionalFormatting sqref="E101">
    <cfRule type="cellIs" dxfId="1161" priority="933" operator="greaterThan">
      <formula>B101</formula>
    </cfRule>
  </conditionalFormatting>
  <conditionalFormatting sqref="B102">
    <cfRule type="cellIs" dxfId="1160" priority="932" operator="greaterThan">
      <formula>E102</formula>
    </cfRule>
  </conditionalFormatting>
  <conditionalFormatting sqref="D102">
    <cfRule type="expression" dxfId="1159" priority="928">
      <formula>E102&gt;B102</formula>
    </cfRule>
    <cfRule type="expression" dxfId="1158" priority="931">
      <formula>V102&lt;&gt;0</formula>
    </cfRule>
  </conditionalFormatting>
  <conditionalFormatting sqref="C102">
    <cfRule type="expression" dxfId="1157" priority="929">
      <formula>B102&gt;E102</formula>
    </cfRule>
    <cfRule type="expression" dxfId="1156" priority="930">
      <formula>V102&lt;&gt;0</formula>
    </cfRule>
  </conditionalFormatting>
  <conditionalFormatting sqref="E102">
    <cfRule type="cellIs" dxfId="1155" priority="927" operator="greaterThan">
      <formula>B102</formula>
    </cfRule>
  </conditionalFormatting>
  <conditionalFormatting sqref="B103">
    <cfRule type="cellIs" dxfId="1154" priority="926" operator="greaterThan">
      <formula>E103</formula>
    </cfRule>
  </conditionalFormatting>
  <conditionalFormatting sqref="D103">
    <cfRule type="expression" dxfId="1153" priority="922">
      <formula>E103&gt;B103</formula>
    </cfRule>
    <cfRule type="expression" dxfId="1152" priority="925">
      <formula>V103&lt;&gt;0</formula>
    </cfRule>
  </conditionalFormatting>
  <conditionalFormatting sqref="C103">
    <cfRule type="expression" dxfId="1151" priority="923">
      <formula>B103&gt;E103</formula>
    </cfRule>
    <cfRule type="expression" dxfId="1150" priority="924">
      <formula>V103&lt;&gt;0</formula>
    </cfRule>
  </conditionalFormatting>
  <conditionalFormatting sqref="E103">
    <cfRule type="cellIs" dxfId="1149" priority="921" operator="greaterThan">
      <formula>B103</formula>
    </cfRule>
  </conditionalFormatting>
  <conditionalFormatting sqref="B104">
    <cfRule type="cellIs" dxfId="1148" priority="920" operator="greaterThan">
      <formula>E104</formula>
    </cfRule>
  </conditionalFormatting>
  <conditionalFormatting sqref="D104">
    <cfRule type="expression" dxfId="1147" priority="916">
      <formula>E104&gt;B104</formula>
    </cfRule>
    <cfRule type="expression" dxfId="1146" priority="919">
      <formula>V104&lt;&gt;0</formula>
    </cfRule>
  </conditionalFormatting>
  <conditionalFormatting sqref="C104">
    <cfRule type="expression" dxfId="1145" priority="917">
      <formula>B104&gt;E104</formula>
    </cfRule>
    <cfRule type="expression" dxfId="1144" priority="918">
      <formula>V104&lt;&gt;0</formula>
    </cfRule>
  </conditionalFormatting>
  <conditionalFormatting sqref="E104">
    <cfRule type="cellIs" dxfId="1143" priority="915" operator="greaterThan">
      <formula>B104</formula>
    </cfRule>
  </conditionalFormatting>
  <conditionalFormatting sqref="B105">
    <cfRule type="cellIs" dxfId="1142" priority="914" operator="greaterThan">
      <formula>E105</formula>
    </cfRule>
  </conditionalFormatting>
  <conditionalFormatting sqref="D105">
    <cfRule type="expression" dxfId="1141" priority="910">
      <formula>E105&gt;B105</formula>
    </cfRule>
    <cfRule type="expression" dxfId="1140" priority="913">
      <formula>V105&lt;&gt;0</formula>
    </cfRule>
  </conditionalFormatting>
  <conditionalFormatting sqref="C105">
    <cfRule type="expression" dxfId="1139" priority="911">
      <formula>B105&gt;E105</formula>
    </cfRule>
    <cfRule type="expression" dxfId="1138" priority="912">
      <formula>V105&lt;&gt;0</formula>
    </cfRule>
  </conditionalFormatting>
  <conditionalFormatting sqref="E105">
    <cfRule type="cellIs" dxfId="1137" priority="909" operator="greaterThan">
      <formula>B105</formula>
    </cfRule>
  </conditionalFormatting>
  <conditionalFormatting sqref="B106">
    <cfRule type="cellIs" dxfId="1136" priority="908" operator="greaterThan">
      <formula>E106</formula>
    </cfRule>
  </conditionalFormatting>
  <conditionalFormatting sqref="D106">
    <cfRule type="expression" dxfId="1135" priority="904">
      <formula>E106&gt;B106</formula>
    </cfRule>
    <cfRule type="expression" dxfId="1134" priority="907">
      <formula>V106&lt;&gt;0</formula>
    </cfRule>
  </conditionalFormatting>
  <conditionalFormatting sqref="C106">
    <cfRule type="expression" dxfId="1133" priority="905">
      <formula>B106&gt;E106</formula>
    </cfRule>
    <cfRule type="expression" dxfId="1132" priority="906">
      <formula>V106&lt;&gt;0</formula>
    </cfRule>
  </conditionalFormatting>
  <conditionalFormatting sqref="E106">
    <cfRule type="cellIs" dxfId="1131" priority="903" operator="greaterThan">
      <formula>B106</formula>
    </cfRule>
  </conditionalFormatting>
  <conditionalFormatting sqref="B107">
    <cfRule type="cellIs" dxfId="1130" priority="902" operator="greaterThan">
      <formula>E107</formula>
    </cfRule>
  </conditionalFormatting>
  <conditionalFormatting sqref="D107">
    <cfRule type="expression" dxfId="1129" priority="898">
      <formula>E107&gt;B107</formula>
    </cfRule>
    <cfRule type="expression" dxfId="1128" priority="901">
      <formula>V107&lt;&gt;0</formula>
    </cfRule>
  </conditionalFormatting>
  <conditionalFormatting sqref="C107">
    <cfRule type="expression" dxfId="1127" priority="899">
      <formula>B107&gt;E107</formula>
    </cfRule>
    <cfRule type="expression" dxfId="1126" priority="900">
      <formula>V107&lt;&gt;0</formula>
    </cfRule>
  </conditionalFormatting>
  <conditionalFormatting sqref="E107">
    <cfRule type="cellIs" dxfId="1125" priority="897" operator="greaterThan">
      <formula>B107</formula>
    </cfRule>
  </conditionalFormatting>
  <conditionalFormatting sqref="B108">
    <cfRule type="cellIs" dxfId="1124" priority="896" operator="greaterThan">
      <formula>E108</formula>
    </cfRule>
  </conditionalFormatting>
  <conditionalFormatting sqref="D108">
    <cfRule type="expression" dxfId="1123" priority="892">
      <formula>E108&gt;B108</formula>
    </cfRule>
    <cfRule type="expression" dxfId="1122" priority="895">
      <formula>V108&lt;&gt;0</formula>
    </cfRule>
  </conditionalFormatting>
  <conditionalFormatting sqref="C108">
    <cfRule type="expression" dxfId="1121" priority="893">
      <formula>B108&gt;E108</formula>
    </cfRule>
    <cfRule type="expression" dxfId="1120" priority="894">
      <formula>V108&lt;&gt;0</formula>
    </cfRule>
  </conditionalFormatting>
  <conditionalFormatting sqref="E108">
    <cfRule type="cellIs" dxfId="1119" priority="891" operator="greaterThan">
      <formula>B108</formula>
    </cfRule>
  </conditionalFormatting>
  <conditionalFormatting sqref="B109">
    <cfRule type="cellIs" dxfId="1118" priority="890" operator="greaterThan">
      <formula>E109</formula>
    </cfRule>
  </conditionalFormatting>
  <conditionalFormatting sqref="D109">
    <cfRule type="expression" dxfId="1117" priority="886">
      <formula>E109&gt;B109</formula>
    </cfRule>
    <cfRule type="expression" dxfId="1116" priority="889">
      <formula>V109&lt;&gt;0</formula>
    </cfRule>
  </conditionalFormatting>
  <conditionalFormatting sqref="C109">
    <cfRule type="expression" dxfId="1115" priority="887">
      <formula>B109&gt;E109</formula>
    </cfRule>
    <cfRule type="expression" dxfId="1114" priority="888">
      <formula>V109&lt;&gt;0</formula>
    </cfRule>
  </conditionalFormatting>
  <conditionalFormatting sqref="E109">
    <cfRule type="cellIs" dxfId="1113" priority="885" operator="greaterThan">
      <formula>B109</formula>
    </cfRule>
  </conditionalFormatting>
  <conditionalFormatting sqref="B110">
    <cfRule type="cellIs" dxfId="1112" priority="884" operator="greaterThan">
      <formula>E110</formula>
    </cfRule>
  </conditionalFormatting>
  <conditionalFormatting sqref="D110">
    <cfRule type="expression" dxfId="1111" priority="880">
      <formula>E110&gt;B110</formula>
    </cfRule>
    <cfRule type="expression" dxfId="1110" priority="883">
      <formula>V110&lt;&gt;0</formula>
    </cfRule>
  </conditionalFormatting>
  <conditionalFormatting sqref="C110">
    <cfRule type="expression" dxfId="1109" priority="881">
      <formula>B110&gt;E110</formula>
    </cfRule>
    <cfRule type="expression" dxfId="1108" priority="882">
      <formula>V110&lt;&gt;0</formula>
    </cfRule>
  </conditionalFormatting>
  <conditionalFormatting sqref="E110">
    <cfRule type="cellIs" dxfId="1107" priority="879" operator="greaterThan">
      <formula>B110</formula>
    </cfRule>
  </conditionalFormatting>
  <conditionalFormatting sqref="B111">
    <cfRule type="cellIs" dxfId="1106" priority="878" operator="greaterThan">
      <formula>E111</formula>
    </cfRule>
  </conditionalFormatting>
  <conditionalFormatting sqref="D111">
    <cfRule type="expression" dxfId="1105" priority="874">
      <formula>E111&gt;B111</formula>
    </cfRule>
    <cfRule type="expression" dxfId="1104" priority="877">
      <formula>V111&lt;&gt;0</formula>
    </cfRule>
  </conditionalFormatting>
  <conditionalFormatting sqref="C111">
    <cfRule type="expression" dxfId="1103" priority="875">
      <formula>B111&gt;E111</formula>
    </cfRule>
    <cfRule type="expression" dxfId="1102" priority="876">
      <formula>V111&lt;&gt;0</formula>
    </cfRule>
  </conditionalFormatting>
  <conditionalFormatting sqref="E111">
    <cfRule type="cellIs" dxfId="1101" priority="873" operator="greaterThan">
      <formula>B111</formula>
    </cfRule>
  </conditionalFormatting>
  <conditionalFormatting sqref="B112">
    <cfRule type="cellIs" dxfId="1100" priority="872" operator="greaterThan">
      <formula>E112</formula>
    </cfRule>
  </conditionalFormatting>
  <conditionalFormatting sqref="D112">
    <cfRule type="expression" dxfId="1099" priority="868">
      <formula>E112&gt;B112</formula>
    </cfRule>
    <cfRule type="expression" dxfId="1098" priority="871">
      <formula>V112&lt;&gt;0</formula>
    </cfRule>
  </conditionalFormatting>
  <conditionalFormatting sqref="C112">
    <cfRule type="expression" dxfId="1097" priority="869">
      <formula>B112&gt;E112</formula>
    </cfRule>
    <cfRule type="expression" dxfId="1096" priority="870">
      <formula>V112&lt;&gt;0</formula>
    </cfRule>
  </conditionalFormatting>
  <conditionalFormatting sqref="E112">
    <cfRule type="cellIs" dxfId="1095" priority="867" operator="greaterThan">
      <formula>B112</formula>
    </cfRule>
  </conditionalFormatting>
  <conditionalFormatting sqref="B113">
    <cfRule type="cellIs" dxfId="1094" priority="866" operator="greaterThan">
      <formula>E113</formula>
    </cfRule>
  </conditionalFormatting>
  <conditionalFormatting sqref="D113">
    <cfRule type="expression" dxfId="1093" priority="862">
      <formula>E113&gt;B113</formula>
    </cfRule>
    <cfRule type="expression" dxfId="1092" priority="865">
      <formula>V113&lt;&gt;0</formula>
    </cfRule>
  </conditionalFormatting>
  <conditionalFormatting sqref="C113">
    <cfRule type="expression" dxfId="1091" priority="863">
      <formula>B113&gt;E113</formula>
    </cfRule>
    <cfRule type="expression" dxfId="1090" priority="864">
      <formula>V113&lt;&gt;0</formula>
    </cfRule>
  </conditionalFormatting>
  <conditionalFormatting sqref="E113">
    <cfRule type="cellIs" dxfId="1089" priority="861" operator="greaterThan">
      <formula>B113</formula>
    </cfRule>
  </conditionalFormatting>
  <conditionalFormatting sqref="B114">
    <cfRule type="cellIs" dxfId="1088" priority="860" operator="greaterThan">
      <formula>E114</formula>
    </cfRule>
  </conditionalFormatting>
  <conditionalFormatting sqref="D114">
    <cfRule type="expression" dxfId="1087" priority="856">
      <formula>E114&gt;B114</formula>
    </cfRule>
    <cfRule type="expression" dxfId="1086" priority="859">
      <formula>V114&lt;&gt;0</formula>
    </cfRule>
  </conditionalFormatting>
  <conditionalFormatting sqref="C114">
    <cfRule type="expression" dxfId="1085" priority="857">
      <formula>B114&gt;E114</formula>
    </cfRule>
    <cfRule type="expression" dxfId="1084" priority="858">
      <formula>V114&lt;&gt;0</formula>
    </cfRule>
  </conditionalFormatting>
  <conditionalFormatting sqref="E114">
    <cfRule type="cellIs" dxfId="1083" priority="855" operator="greaterThan">
      <formula>B114</formula>
    </cfRule>
  </conditionalFormatting>
  <conditionalFormatting sqref="B115">
    <cfRule type="cellIs" dxfId="1082" priority="854" operator="greaterThan">
      <formula>E115</formula>
    </cfRule>
  </conditionalFormatting>
  <conditionalFormatting sqref="D115">
    <cfRule type="expression" dxfId="1081" priority="850">
      <formula>E115&gt;B115</formula>
    </cfRule>
    <cfRule type="expression" dxfId="1080" priority="853">
      <formula>V115&lt;&gt;0</formula>
    </cfRule>
  </conditionalFormatting>
  <conditionalFormatting sqref="C115">
    <cfRule type="expression" dxfId="1079" priority="851">
      <formula>B115&gt;E115</formula>
    </cfRule>
    <cfRule type="expression" dxfId="1078" priority="852">
      <formula>V115&lt;&gt;0</formula>
    </cfRule>
  </conditionalFormatting>
  <conditionalFormatting sqref="E115">
    <cfRule type="cellIs" dxfId="1077" priority="849" operator="greaterThan">
      <formula>B115</formula>
    </cfRule>
  </conditionalFormatting>
  <conditionalFormatting sqref="B116">
    <cfRule type="cellIs" dxfId="1076" priority="848" operator="greaterThan">
      <formula>E116</formula>
    </cfRule>
  </conditionalFormatting>
  <conditionalFormatting sqref="D116">
    <cfRule type="expression" dxfId="1075" priority="844">
      <formula>E116&gt;B116</formula>
    </cfRule>
    <cfRule type="expression" dxfId="1074" priority="847">
      <formula>V116&lt;&gt;0</formula>
    </cfRule>
  </conditionalFormatting>
  <conditionalFormatting sqref="C116">
    <cfRule type="expression" dxfId="1073" priority="845">
      <formula>B116&gt;E116</formula>
    </cfRule>
    <cfRule type="expression" dxfId="1072" priority="846">
      <formula>V116&lt;&gt;0</formula>
    </cfRule>
  </conditionalFormatting>
  <conditionalFormatting sqref="E116">
    <cfRule type="cellIs" dxfId="1071" priority="843" operator="greaterThan">
      <formula>B116</formula>
    </cfRule>
  </conditionalFormatting>
  <conditionalFormatting sqref="B117">
    <cfRule type="cellIs" dxfId="1070" priority="842" operator="greaterThan">
      <formula>E117</formula>
    </cfRule>
  </conditionalFormatting>
  <conditionalFormatting sqref="D117">
    <cfRule type="expression" dxfId="1069" priority="838">
      <formula>E117&gt;B117</formula>
    </cfRule>
    <cfRule type="expression" dxfId="1068" priority="841">
      <formula>V117&lt;&gt;0</formula>
    </cfRule>
  </conditionalFormatting>
  <conditionalFormatting sqref="C117">
    <cfRule type="expression" dxfId="1067" priority="839">
      <formula>B117&gt;E117</formula>
    </cfRule>
    <cfRule type="expression" dxfId="1066" priority="840">
      <formula>V117&lt;&gt;0</formula>
    </cfRule>
  </conditionalFormatting>
  <conditionalFormatting sqref="E117">
    <cfRule type="cellIs" dxfId="1065" priority="837" operator="greaterThan">
      <formula>B117</formula>
    </cfRule>
  </conditionalFormatting>
  <conditionalFormatting sqref="B118">
    <cfRule type="cellIs" dxfId="1064" priority="836" operator="greaterThan">
      <formula>E118</formula>
    </cfRule>
  </conditionalFormatting>
  <conditionalFormatting sqref="D118">
    <cfRule type="expression" dxfId="1063" priority="832">
      <formula>E118&gt;B118</formula>
    </cfRule>
    <cfRule type="expression" dxfId="1062" priority="835">
      <formula>V118&lt;&gt;0</formula>
    </cfRule>
  </conditionalFormatting>
  <conditionalFormatting sqref="C118">
    <cfRule type="expression" dxfId="1061" priority="833">
      <formula>B118&gt;E118</formula>
    </cfRule>
    <cfRule type="expression" dxfId="1060" priority="834">
      <formula>V118&lt;&gt;0</formula>
    </cfRule>
  </conditionalFormatting>
  <conditionalFormatting sqref="E118">
    <cfRule type="cellIs" dxfId="1059" priority="831" operator="greaterThan">
      <formula>B118</formula>
    </cfRule>
  </conditionalFormatting>
  <conditionalFormatting sqref="B119">
    <cfRule type="cellIs" dxfId="1058" priority="830" operator="greaterThan">
      <formula>E119</formula>
    </cfRule>
  </conditionalFormatting>
  <conditionalFormatting sqref="D119">
    <cfRule type="expression" dxfId="1057" priority="826">
      <formula>E119&gt;B119</formula>
    </cfRule>
    <cfRule type="expression" dxfId="1056" priority="829">
      <formula>V119&lt;&gt;0</formula>
    </cfRule>
  </conditionalFormatting>
  <conditionalFormatting sqref="C119">
    <cfRule type="expression" dxfId="1055" priority="827">
      <formula>B119&gt;E119</formula>
    </cfRule>
    <cfRule type="expression" dxfId="1054" priority="828">
      <formula>V119&lt;&gt;0</formula>
    </cfRule>
  </conditionalFormatting>
  <conditionalFormatting sqref="E119">
    <cfRule type="cellIs" dxfId="1053" priority="825" operator="greaterThan">
      <formula>B119</formula>
    </cfRule>
  </conditionalFormatting>
  <conditionalFormatting sqref="B120">
    <cfRule type="cellIs" dxfId="1052" priority="824" operator="greaterThan">
      <formula>E120</formula>
    </cfRule>
  </conditionalFormatting>
  <conditionalFormatting sqref="D120">
    <cfRule type="expression" dxfId="1051" priority="820">
      <formula>E120&gt;B120</formula>
    </cfRule>
    <cfRule type="expression" dxfId="1050" priority="823">
      <formula>V120&lt;&gt;0</formula>
    </cfRule>
  </conditionalFormatting>
  <conditionalFormatting sqref="C120">
    <cfRule type="expression" dxfId="1049" priority="821">
      <formula>B120&gt;E120</formula>
    </cfRule>
    <cfRule type="expression" dxfId="1048" priority="822">
      <formula>V120&lt;&gt;0</formula>
    </cfRule>
  </conditionalFormatting>
  <conditionalFormatting sqref="E120">
    <cfRule type="cellIs" dxfId="1047" priority="819" operator="greaterThan">
      <formula>B120</formula>
    </cfRule>
  </conditionalFormatting>
  <conditionalFormatting sqref="B121">
    <cfRule type="cellIs" dxfId="1046" priority="818" operator="greaterThan">
      <formula>E121</formula>
    </cfRule>
  </conditionalFormatting>
  <conditionalFormatting sqref="D121">
    <cfRule type="expression" dxfId="1045" priority="814">
      <formula>E121&gt;B121</formula>
    </cfRule>
    <cfRule type="expression" dxfId="1044" priority="817">
      <formula>V121&lt;&gt;0</formula>
    </cfRule>
  </conditionalFormatting>
  <conditionalFormatting sqref="C121">
    <cfRule type="expression" dxfId="1043" priority="815">
      <formula>B121&gt;E121</formula>
    </cfRule>
    <cfRule type="expression" dxfId="1042" priority="816">
      <formula>V121&lt;&gt;0</formula>
    </cfRule>
  </conditionalFormatting>
  <conditionalFormatting sqref="E121">
    <cfRule type="cellIs" dxfId="1041" priority="813" operator="greaterThan">
      <formula>B121</formula>
    </cfRule>
  </conditionalFormatting>
  <conditionalFormatting sqref="B122">
    <cfRule type="cellIs" dxfId="1040" priority="812" operator="greaterThan">
      <formula>E122</formula>
    </cfRule>
  </conditionalFormatting>
  <conditionalFormatting sqref="D122">
    <cfRule type="expression" dxfId="1039" priority="808">
      <formula>E122&gt;B122</formula>
    </cfRule>
    <cfRule type="expression" dxfId="1038" priority="811">
      <formula>V122&lt;&gt;0</formula>
    </cfRule>
  </conditionalFormatting>
  <conditionalFormatting sqref="C122">
    <cfRule type="expression" dxfId="1037" priority="809">
      <formula>B122&gt;E122</formula>
    </cfRule>
    <cfRule type="expression" dxfId="1036" priority="810">
      <formula>V122&lt;&gt;0</formula>
    </cfRule>
  </conditionalFormatting>
  <conditionalFormatting sqref="E122">
    <cfRule type="cellIs" dxfId="1035" priority="807" operator="greaterThan">
      <formula>B122</formula>
    </cfRule>
  </conditionalFormatting>
  <conditionalFormatting sqref="B123">
    <cfRule type="cellIs" dxfId="1034" priority="806" operator="greaterThan">
      <formula>E123</formula>
    </cfRule>
  </conditionalFormatting>
  <conditionalFormatting sqref="D123">
    <cfRule type="expression" dxfId="1033" priority="802">
      <formula>E123&gt;B123</formula>
    </cfRule>
    <cfRule type="expression" dxfId="1032" priority="805">
      <formula>V123&lt;&gt;0</formula>
    </cfRule>
  </conditionalFormatting>
  <conditionalFormatting sqref="C123">
    <cfRule type="expression" dxfId="1031" priority="803">
      <formula>B123&gt;E123</formula>
    </cfRule>
    <cfRule type="expression" dxfId="1030" priority="804">
      <formula>V123&lt;&gt;0</formula>
    </cfRule>
  </conditionalFormatting>
  <conditionalFormatting sqref="E123">
    <cfRule type="cellIs" dxfId="1029" priority="801" operator="greaterThan">
      <formula>B123</formula>
    </cfRule>
  </conditionalFormatting>
  <conditionalFormatting sqref="B124">
    <cfRule type="cellIs" dxfId="1028" priority="800" operator="greaterThan">
      <formula>E124</formula>
    </cfRule>
  </conditionalFormatting>
  <conditionalFormatting sqref="D124">
    <cfRule type="expression" dxfId="1027" priority="796">
      <formula>E124&gt;B124</formula>
    </cfRule>
    <cfRule type="expression" dxfId="1026" priority="799">
      <formula>V124&lt;&gt;0</formula>
    </cfRule>
  </conditionalFormatting>
  <conditionalFormatting sqref="C124">
    <cfRule type="expression" dxfId="1025" priority="797">
      <formula>B124&gt;E124</formula>
    </cfRule>
    <cfRule type="expression" dxfId="1024" priority="798">
      <formula>V124&lt;&gt;0</formula>
    </cfRule>
  </conditionalFormatting>
  <conditionalFormatting sqref="E124">
    <cfRule type="cellIs" dxfId="1023" priority="795" operator="greaterThan">
      <formula>B124</formula>
    </cfRule>
  </conditionalFormatting>
  <conditionalFormatting sqref="B125">
    <cfRule type="cellIs" dxfId="1022" priority="794" operator="greaterThan">
      <formula>E125</formula>
    </cfRule>
  </conditionalFormatting>
  <conditionalFormatting sqref="D125">
    <cfRule type="expression" dxfId="1021" priority="790">
      <formula>E125&gt;B125</formula>
    </cfRule>
    <cfRule type="expression" dxfId="1020" priority="793">
      <formula>V125&lt;&gt;0</formula>
    </cfRule>
  </conditionalFormatting>
  <conditionalFormatting sqref="C125">
    <cfRule type="expression" dxfId="1019" priority="791">
      <formula>B125&gt;E125</formula>
    </cfRule>
    <cfRule type="expression" dxfId="1018" priority="792">
      <formula>V125&lt;&gt;0</formula>
    </cfRule>
  </conditionalFormatting>
  <conditionalFormatting sqref="E125">
    <cfRule type="cellIs" dxfId="1017" priority="789" operator="greaterThan">
      <formula>B125</formula>
    </cfRule>
  </conditionalFormatting>
  <conditionalFormatting sqref="B126">
    <cfRule type="cellIs" dxfId="1016" priority="788" operator="greaterThan">
      <formula>E126</formula>
    </cfRule>
  </conditionalFormatting>
  <conditionalFormatting sqref="D126">
    <cfRule type="expression" dxfId="1015" priority="784">
      <formula>E126&gt;B126</formula>
    </cfRule>
    <cfRule type="expression" dxfId="1014" priority="787">
      <formula>V126&lt;&gt;0</formula>
    </cfRule>
  </conditionalFormatting>
  <conditionalFormatting sqref="C126">
    <cfRule type="expression" dxfId="1013" priority="785">
      <formula>B126&gt;E126</formula>
    </cfRule>
    <cfRule type="expression" dxfId="1012" priority="786">
      <formula>V126&lt;&gt;0</formula>
    </cfRule>
  </conditionalFormatting>
  <conditionalFormatting sqref="E126">
    <cfRule type="cellIs" dxfId="1011" priority="783" operator="greaterThan">
      <formula>B126</formula>
    </cfRule>
  </conditionalFormatting>
  <conditionalFormatting sqref="B127">
    <cfRule type="cellIs" dxfId="1010" priority="782" operator="greaterThan">
      <formula>E127</formula>
    </cfRule>
  </conditionalFormatting>
  <conditionalFormatting sqref="D127">
    <cfRule type="expression" dxfId="1009" priority="778">
      <formula>E127&gt;B127</formula>
    </cfRule>
    <cfRule type="expression" dxfId="1008" priority="781">
      <formula>V127&lt;&gt;0</formula>
    </cfRule>
  </conditionalFormatting>
  <conditionalFormatting sqref="C127">
    <cfRule type="expression" dxfId="1007" priority="779">
      <formula>B127&gt;E127</formula>
    </cfRule>
    <cfRule type="expression" dxfId="1006" priority="780">
      <formula>V127&lt;&gt;0</formula>
    </cfRule>
  </conditionalFormatting>
  <conditionalFormatting sqref="E127">
    <cfRule type="cellIs" dxfId="1005" priority="777" operator="greaterThan">
      <formula>B127</formula>
    </cfRule>
  </conditionalFormatting>
  <conditionalFormatting sqref="B128">
    <cfRule type="cellIs" dxfId="1004" priority="776" operator="greaterThan">
      <formula>E128</formula>
    </cfRule>
  </conditionalFormatting>
  <conditionalFormatting sqref="D128">
    <cfRule type="expression" dxfId="1003" priority="772">
      <formula>E128&gt;B128</formula>
    </cfRule>
    <cfRule type="expression" dxfId="1002" priority="775">
      <formula>V128&lt;&gt;0</formula>
    </cfRule>
  </conditionalFormatting>
  <conditionalFormatting sqref="C128">
    <cfRule type="expression" dxfId="1001" priority="773">
      <formula>B128&gt;E128</formula>
    </cfRule>
    <cfRule type="expression" dxfId="1000" priority="774">
      <formula>V128&lt;&gt;0</formula>
    </cfRule>
  </conditionalFormatting>
  <conditionalFormatting sqref="E128">
    <cfRule type="cellIs" dxfId="999" priority="771" operator="greaterThan">
      <formula>B128</formula>
    </cfRule>
  </conditionalFormatting>
  <conditionalFormatting sqref="B129">
    <cfRule type="cellIs" dxfId="998" priority="770" operator="greaterThan">
      <formula>E129</formula>
    </cfRule>
  </conditionalFormatting>
  <conditionalFormatting sqref="D129">
    <cfRule type="expression" dxfId="997" priority="766">
      <formula>E129&gt;B129</formula>
    </cfRule>
    <cfRule type="expression" dxfId="996" priority="769">
      <formula>V129&lt;&gt;0</formula>
    </cfRule>
  </conditionalFormatting>
  <conditionalFormatting sqref="C129">
    <cfRule type="expression" dxfId="995" priority="767">
      <formula>B129&gt;E129</formula>
    </cfRule>
    <cfRule type="expression" dxfId="994" priority="768">
      <formula>V129&lt;&gt;0</formula>
    </cfRule>
  </conditionalFormatting>
  <conditionalFormatting sqref="E129">
    <cfRule type="cellIs" dxfId="993" priority="765" operator="greaterThan">
      <formula>B129</formula>
    </cfRule>
  </conditionalFormatting>
  <conditionalFormatting sqref="B130">
    <cfRule type="cellIs" dxfId="992" priority="764" operator="greaterThan">
      <formula>E130</formula>
    </cfRule>
  </conditionalFormatting>
  <conditionalFormatting sqref="D130">
    <cfRule type="expression" dxfId="991" priority="760">
      <formula>E130&gt;B130</formula>
    </cfRule>
    <cfRule type="expression" dxfId="990" priority="763">
      <formula>V130&lt;&gt;0</formula>
    </cfRule>
  </conditionalFormatting>
  <conditionalFormatting sqref="C130">
    <cfRule type="expression" dxfId="989" priority="761">
      <formula>B130&gt;E130</formula>
    </cfRule>
    <cfRule type="expression" dxfId="988" priority="762">
      <formula>V130&lt;&gt;0</formula>
    </cfRule>
  </conditionalFormatting>
  <conditionalFormatting sqref="E130">
    <cfRule type="cellIs" dxfId="987" priority="759" operator="greaterThan">
      <formula>B130</formula>
    </cfRule>
  </conditionalFormatting>
  <conditionalFormatting sqref="B131">
    <cfRule type="cellIs" dxfId="986" priority="758" operator="greaterThan">
      <formula>E131</formula>
    </cfRule>
  </conditionalFormatting>
  <conditionalFormatting sqref="D131">
    <cfRule type="expression" dxfId="985" priority="754">
      <formula>E131&gt;B131</formula>
    </cfRule>
    <cfRule type="expression" dxfId="984" priority="757">
      <formula>V131&lt;&gt;0</formula>
    </cfRule>
  </conditionalFormatting>
  <conditionalFormatting sqref="C131">
    <cfRule type="expression" dxfId="983" priority="755">
      <formula>B131&gt;E131</formula>
    </cfRule>
    <cfRule type="expression" dxfId="982" priority="756">
      <formula>V131&lt;&gt;0</formula>
    </cfRule>
  </conditionalFormatting>
  <conditionalFormatting sqref="E131">
    <cfRule type="cellIs" dxfId="981" priority="753" operator="greaterThan">
      <formula>B131</formula>
    </cfRule>
  </conditionalFormatting>
  <conditionalFormatting sqref="B132">
    <cfRule type="cellIs" dxfId="980" priority="752" operator="greaterThan">
      <formula>E132</formula>
    </cfRule>
  </conditionalFormatting>
  <conditionalFormatting sqref="D132">
    <cfRule type="expression" dxfId="979" priority="748">
      <formula>E132&gt;B132</formula>
    </cfRule>
    <cfRule type="expression" dxfId="978" priority="751">
      <formula>V132&lt;&gt;0</formula>
    </cfRule>
  </conditionalFormatting>
  <conditionalFormatting sqref="C132">
    <cfRule type="expression" dxfId="977" priority="749">
      <formula>B132&gt;E132</formula>
    </cfRule>
    <cfRule type="expression" dxfId="976" priority="750">
      <formula>V132&lt;&gt;0</formula>
    </cfRule>
  </conditionalFormatting>
  <conditionalFormatting sqref="E132">
    <cfRule type="cellIs" dxfId="975" priority="747" operator="greaterThan">
      <formula>B132</formula>
    </cfRule>
  </conditionalFormatting>
  <conditionalFormatting sqref="B133">
    <cfRule type="cellIs" dxfId="974" priority="746" operator="greaterThan">
      <formula>E133</formula>
    </cfRule>
  </conditionalFormatting>
  <conditionalFormatting sqref="D133">
    <cfRule type="expression" dxfId="973" priority="742">
      <formula>E133&gt;B133</formula>
    </cfRule>
    <cfRule type="expression" dxfId="972" priority="745">
      <formula>V133&lt;&gt;0</formula>
    </cfRule>
  </conditionalFormatting>
  <conditionalFormatting sqref="C133">
    <cfRule type="expression" dxfId="971" priority="743">
      <formula>B133&gt;E133</formula>
    </cfRule>
    <cfRule type="expression" dxfId="970" priority="744">
      <formula>V133&lt;&gt;0</formula>
    </cfRule>
  </conditionalFormatting>
  <conditionalFormatting sqref="E133">
    <cfRule type="cellIs" dxfId="969" priority="741" operator="greaterThan">
      <formula>B133</formula>
    </cfRule>
  </conditionalFormatting>
  <conditionalFormatting sqref="B134">
    <cfRule type="cellIs" dxfId="968" priority="740" operator="greaterThan">
      <formula>E134</formula>
    </cfRule>
  </conditionalFormatting>
  <conditionalFormatting sqref="D134">
    <cfRule type="expression" dxfId="967" priority="736">
      <formula>E134&gt;B134</formula>
    </cfRule>
    <cfRule type="expression" dxfId="966" priority="739">
      <formula>V134&lt;&gt;0</formula>
    </cfRule>
  </conditionalFormatting>
  <conditionalFormatting sqref="C134">
    <cfRule type="expression" dxfId="965" priority="737">
      <formula>B134&gt;E134</formula>
    </cfRule>
    <cfRule type="expression" dxfId="964" priority="738">
      <formula>V134&lt;&gt;0</formula>
    </cfRule>
  </conditionalFormatting>
  <conditionalFormatting sqref="E134">
    <cfRule type="cellIs" dxfId="963" priority="735" operator="greaterThan">
      <formula>B134</formula>
    </cfRule>
  </conditionalFormatting>
  <conditionalFormatting sqref="B135">
    <cfRule type="cellIs" dxfId="962" priority="734" operator="greaterThan">
      <formula>E135</formula>
    </cfRule>
  </conditionalFormatting>
  <conditionalFormatting sqref="D135">
    <cfRule type="expression" dxfId="961" priority="730">
      <formula>E135&gt;B135</formula>
    </cfRule>
    <cfRule type="expression" dxfId="960" priority="733">
      <formula>V135&lt;&gt;0</formula>
    </cfRule>
  </conditionalFormatting>
  <conditionalFormatting sqref="C135">
    <cfRule type="expression" dxfId="959" priority="731">
      <formula>B135&gt;E135</formula>
    </cfRule>
    <cfRule type="expression" dxfId="958" priority="732">
      <formula>V135&lt;&gt;0</formula>
    </cfRule>
  </conditionalFormatting>
  <conditionalFormatting sqref="E135">
    <cfRule type="cellIs" dxfId="957" priority="729" operator="greaterThan">
      <formula>B135</formula>
    </cfRule>
  </conditionalFormatting>
  <conditionalFormatting sqref="B136">
    <cfRule type="cellIs" dxfId="956" priority="728" operator="greaterThan">
      <formula>E136</formula>
    </cfRule>
  </conditionalFormatting>
  <conditionalFormatting sqref="D136">
    <cfRule type="expression" dxfId="955" priority="724">
      <formula>E136&gt;B136</formula>
    </cfRule>
    <cfRule type="expression" dxfId="954" priority="727">
      <formula>V136&lt;&gt;0</formula>
    </cfRule>
  </conditionalFormatting>
  <conditionalFormatting sqref="C136">
    <cfRule type="expression" dxfId="953" priority="725">
      <formula>B136&gt;E136</formula>
    </cfRule>
    <cfRule type="expression" dxfId="952" priority="726">
      <formula>V136&lt;&gt;0</formula>
    </cfRule>
  </conditionalFormatting>
  <conditionalFormatting sqref="E136">
    <cfRule type="cellIs" dxfId="951" priority="723" operator="greaterThan">
      <formula>B136</formula>
    </cfRule>
  </conditionalFormatting>
  <conditionalFormatting sqref="B137">
    <cfRule type="cellIs" dxfId="950" priority="722" operator="greaterThan">
      <formula>E137</formula>
    </cfRule>
  </conditionalFormatting>
  <conditionalFormatting sqref="D137">
    <cfRule type="expression" dxfId="949" priority="718">
      <formula>E137&gt;B137</formula>
    </cfRule>
    <cfRule type="expression" dxfId="948" priority="721">
      <formula>V137&lt;&gt;0</formula>
    </cfRule>
  </conditionalFormatting>
  <conditionalFormatting sqref="C137">
    <cfRule type="expression" dxfId="947" priority="719">
      <formula>B137&gt;E137</formula>
    </cfRule>
    <cfRule type="expression" dxfId="946" priority="720">
      <formula>V137&lt;&gt;0</formula>
    </cfRule>
  </conditionalFormatting>
  <conditionalFormatting sqref="E137">
    <cfRule type="cellIs" dxfId="945" priority="717" operator="greaterThan">
      <formula>B137</formula>
    </cfRule>
  </conditionalFormatting>
  <conditionalFormatting sqref="B138">
    <cfRule type="cellIs" dxfId="944" priority="716" operator="greaterThan">
      <formula>E138</formula>
    </cfRule>
  </conditionalFormatting>
  <conditionalFormatting sqref="D138">
    <cfRule type="expression" dxfId="943" priority="712">
      <formula>E138&gt;B138</formula>
    </cfRule>
    <cfRule type="expression" dxfId="942" priority="715">
      <formula>V138&lt;&gt;0</formula>
    </cfRule>
  </conditionalFormatting>
  <conditionalFormatting sqref="C138">
    <cfRule type="expression" dxfId="941" priority="713">
      <formula>B138&gt;E138</formula>
    </cfRule>
    <cfRule type="expression" dxfId="940" priority="714">
      <formula>V138&lt;&gt;0</formula>
    </cfRule>
  </conditionalFormatting>
  <conditionalFormatting sqref="E138">
    <cfRule type="cellIs" dxfId="939" priority="711" operator="greaterThan">
      <formula>B138</formula>
    </cfRule>
  </conditionalFormatting>
  <conditionalFormatting sqref="B139">
    <cfRule type="cellIs" dxfId="938" priority="710" operator="greaterThan">
      <formula>E139</formula>
    </cfRule>
  </conditionalFormatting>
  <conditionalFormatting sqref="D139">
    <cfRule type="expression" dxfId="937" priority="706">
      <formula>E139&gt;B139</formula>
    </cfRule>
    <cfRule type="expression" dxfId="936" priority="709">
      <formula>V139&lt;&gt;0</formula>
    </cfRule>
  </conditionalFormatting>
  <conditionalFormatting sqref="C139">
    <cfRule type="expression" dxfId="935" priority="707">
      <formula>B139&gt;E139</formula>
    </cfRule>
    <cfRule type="expression" dxfId="934" priority="708">
      <formula>V139&lt;&gt;0</formula>
    </cfRule>
  </conditionalFormatting>
  <conditionalFormatting sqref="E139">
    <cfRule type="cellIs" dxfId="933" priority="705" operator="greaterThan">
      <formula>B139</formula>
    </cfRule>
  </conditionalFormatting>
  <conditionalFormatting sqref="B140">
    <cfRule type="cellIs" dxfId="932" priority="704" operator="greaterThan">
      <formula>E140</formula>
    </cfRule>
  </conditionalFormatting>
  <conditionalFormatting sqref="D140">
    <cfRule type="expression" dxfId="931" priority="700">
      <formula>E140&gt;B140</formula>
    </cfRule>
    <cfRule type="expression" dxfId="930" priority="703">
      <formula>V140&lt;&gt;0</formula>
    </cfRule>
  </conditionalFormatting>
  <conditionalFormatting sqref="C140">
    <cfRule type="expression" dxfId="929" priority="701">
      <formula>B140&gt;E140</formula>
    </cfRule>
    <cfRule type="expression" dxfId="928" priority="702">
      <formula>V140&lt;&gt;0</formula>
    </cfRule>
  </conditionalFormatting>
  <conditionalFormatting sqref="E140">
    <cfRule type="cellIs" dxfId="927" priority="699" operator="greaterThan">
      <formula>B140</formula>
    </cfRule>
  </conditionalFormatting>
  <conditionalFormatting sqref="B141">
    <cfRule type="cellIs" dxfId="926" priority="698" operator="greaterThan">
      <formula>E141</formula>
    </cfRule>
  </conditionalFormatting>
  <conditionalFormatting sqref="D141">
    <cfRule type="expression" dxfId="925" priority="694">
      <formula>E141&gt;B141</formula>
    </cfRule>
    <cfRule type="expression" dxfId="924" priority="697">
      <formula>V141&lt;&gt;0</formula>
    </cfRule>
  </conditionalFormatting>
  <conditionalFormatting sqref="C141">
    <cfRule type="expression" dxfId="923" priority="695">
      <formula>B141&gt;E141</formula>
    </cfRule>
    <cfRule type="expression" dxfId="922" priority="696">
      <formula>V141&lt;&gt;0</formula>
    </cfRule>
  </conditionalFormatting>
  <conditionalFormatting sqref="E141">
    <cfRule type="cellIs" dxfId="921" priority="693" operator="greaterThan">
      <formula>B141</formula>
    </cfRule>
  </conditionalFormatting>
  <conditionalFormatting sqref="B142">
    <cfRule type="cellIs" dxfId="920" priority="692" operator="greaterThan">
      <formula>E142</formula>
    </cfRule>
  </conditionalFormatting>
  <conditionalFormatting sqref="D142">
    <cfRule type="expression" dxfId="919" priority="688">
      <formula>E142&gt;B142</formula>
    </cfRule>
    <cfRule type="expression" dxfId="918" priority="691">
      <formula>V142&lt;&gt;0</formula>
    </cfRule>
  </conditionalFormatting>
  <conditionalFormatting sqref="C142">
    <cfRule type="expression" dxfId="917" priority="689">
      <formula>B142&gt;E142</formula>
    </cfRule>
    <cfRule type="expression" dxfId="916" priority="690">
      <formula>V142&lt;&gt;0</formula>
    </cfRule>
  </conditionalFormatting>
  <conditionalFormatting sqref="E142">
    <cfRule type="cellIs" dxfId="915" priority="687" operator="greaterThan">
      <formula>B142</formula>
    </cfRule>
  </conditionalFormatting>
  <conditionalFormatting sqref="B143">
    <cfRule type="cellIs" dxfId="914" priority="686" operator="greaterThan">
      <formula>E143</formula>
    </cfRule>
  </conditionalFormatting>
  <conditionalFormatting sqref="D143">
    <cfRule type="expression" dxfId="913" priority="682">
      <formula>E143&gt;B143</formula>
    </cfRule>
    <cfRule type="expression" dxfId="912" priority="685">
      <formula>V143&lt;&gt;0</formula>
    </cfRule>
  </conditionalFormatting>
  <conditionalFormatting sqref="C143">
    <cfRule type="expression" dxfId="911" priority="683">
      <formula>B143&gt;E143</formula>
    </cfRule>
    <cfRule type="expression" dxfId="910" priority="684">
      <formula>V143&lt;&gt;0</formula>
    </cfRule>
  </conditionalFormatting>
  <conditionalFormatting sqref="E143">
    <cfRule type="cellIs" dxfId="909" priority="681" operator="greaterThan">
      <formula>B143</formula>
    </cfRule>
  </conditionalFormatting>
  <conditionalFormatting sqref="B144">
    <cfRule type="cellIs" dxfId="908" priority="680" operator="greaterThan">
      <formula>E144</formula>
    </cfRule>
  </conditionalFormatting>
  <conditionalFormatting sqref="D144">
    <cfRule type="expression" dxfId="907" priority="676">
      <formula>E144&gt;B144</formula>
    </cfRule>
    <cfRule type="expression" dxfId="906" priority="679">
      <formula>V144&lt;&gt;0</formula>
    </cfRule>
  </conditionalFormatting>
  <conditionalFormatting sqref="C144">
    <cfRule type="expression" dxfId="905" priority="677">
      <formula>B144&gt;E144</formula>
    </cfRule>
    <cfRule type="expression" dxfId="904" priority="678">
      <formula>V144&lt;&gt;0</formula>
    </cfRule>
  </conditionalFormatting>
  <conditionalFormatting sqref="E144">
    <cfRule type="cellIs" dxfId="903" priority="675" operator="greaterThan">
      <formula>B144</formula>
    </cfRule>
  </conditionalFormatting>
  <conditionalFormatting sqref="B145">
    <cfRule type="cellIs" dxfId="902" priority="674" operator="greaterThan">
      <formula>E145</formula>
    </cfRule>
  </conditionalFormatting>
  <conditionalFormatting sqref="D145">
    <cfRule type="expression" dxfId="901" priority="670">
      <formula>E145&gt;B145</formula>
    </cfRule>
    <cfRule type="expression" dxfId="900" priority="673">
      <formula>V145&lt;&gt;0</formula>
    </cfRule>
  </conditionalFormatting>
  <conditionalFormatting sqref="C145">
    <cfRule type="expression" dxfId="899" priority="671">
      <formula>B145&gt;E145</formula>
    </cfRule>
    <cfRule type="expression" dxfId="898" priority="672">
      <formula>V145&lt;&gt;0</formula>
    </cfRule>
  </conditionalFormatting>
  <conditionalFormatting sqref="E145">
    <cfRule type="cellIs" dxfId="897" priority="669" operator="greaterThan">
      <formula>B145</formula>
    </cfRule>
  </conditionalFormatting>
  <conditionalFormatting sqref="B146">
    <cfRule type="cellIs" dxfId="896" priority="668" operator="greaterThan">
      <formula>E146</formula>
    </cfRule>
  </conditionalFormatting>
  <conditionalFormatting sqref="D146">
    <cfRule type="expression" dxfId="895" priority="664">
      <formula>E146&gt;B146</formula>
    </cfRule>
    <cfRule type="expression" dxfId="894" priority="667">
      <formula>V146&lt;&gt;0</formula>
    </cfRule>
  </conditionalFormatting>
  <conditionalFormatting sqref="C146">
    <cfRule type="expression" dxfId="893" priority="665">
      <formula>B146&gt;E146</formula>
    </cfRule>
    <cfRule type="expression" dxfId="892" priority="666">
      <formula>V146&lt;&gt;0</formula>
    </cfRule>
  </conditionalFormatting>
  <conditionalFormatting sqref="E146">
    <cfRule type="cellIs" dxfId="891" priority="663" operator="greaterThan">
      <formula>B146</formula>
    </cfRule>
  </conditionalFormatting>
  <conditionalFormatting sqref="B147">
    <cfRule type="cellIs" dxfId="890" priority="662" operator="greaterThan">
      <formula>E147</formula>
    </cfRule>
  </conditionalFormatting>
  <conditionalFormatting sqref="D147">
    <cfRule type="expression" dxfId="889" priority="658">
      <formula>E147&gt;B147</formula>
    </cfRule>
    <cfRule type="expression" dxfId="888" priority="661">
      <formula>V147&lt;&gt;0</formula>
    </cfRule>
  </conditionalFormatting>
  <conditionalFormatting sqref="C147">
    <cfRule type="expression" dxfId="887" priority="659">
      <formula>B147&gt;E147</formula>
    </cfRule>
    <cfRule type="expression" dxfId="886" priority="660">
      <formula>V147&lt;&gt;0</formula>
    </cfRule>
  </conditionalFormatting>
  <conditionalFormatting sqref="E147">
    <cfRule type="cellIs" dxfId="885" priority="657" operator="greaterThan">
      <formula>B147</formula>
    </cfRule>
  </conditionalFormatting>
  <conditionalFormatting sqref="B148">
    <cfRule type="cellIs" dxfId="884" priority="656" operator="greaterThan">
      <formula>E148</formula>
    </cfRule>
  </conditionalFormatting>
  <conditionalFormatting sqref="D148">
    <cfRule type="expression" dxfId="883" priority="652">
      <formula>E148&gt;B148</formula>
    </cfRule>
    <cfRule type="expression" dxfId="882" priority="655">
      <formula>V148&lt;&gt;0</formula>
    </cfRule>
  </conditionalFormatting>
  <conditionalFormatting sqref="C148">
    <cfRule type="expression" dxfId="881" priority="653">
      <formula>B148&gt;E148</formula>
    </cfRule>
    <cfRule type="expression" dxfId="880" priority="654">
      <formula>V148&lt;&gt;0</formula>
    </cfRule>
  </conditionalFormatting>
  <conditionalFormatting sqref="E148">
    <cfRule type="cellIs" dxfId="879" priority="651" operator="greaterThan">
      <formula>B148</formula>
    </cfRule>
  </conditionalFormatting>
  <conditionalFormatting sqref="B149">
    <cfRule type="cellIs" dxfId="878" priority="650" operator="greaterThan">
      <formula>E149</formula>
    </cfRule>
  </conditionalFormatting>
  <conditionalFormatting sqref="D149">
    <cfRule type="expression" dxfId="877" priority="646">
      <formula>E149&gt;B149</formula>
    </cfRule>
    <cfRule type="expression" dxfId="876" priority="649">
      <formula>V149&lt;&gt;0</formula>
    </cfRule>
  </conditionalFormatting>
  <conditionalFormatting sqref="C149">
    <cfRule type="expression" dxfId="875" priority="647">
      <formula>B149&gt;E149</formula>
    </cfRule>
    <cfRule type="expression" dxfId="874" priority="648">
      <formula>V149&lt;&gt;0</formula>
    </cfRule>
  </conditionalFormatting>
  <conditionalFormatting sqref="E149">
    <cfRule type="cellIs" dxfId="873" priority="645" operator="greaterThan">
      <formula>B149</formula>
    </cfRule>
  </conditionalFormatting>
  <conditionalFormatting sqref="B150">
    <cfRule type="cellIs" dxfId="872" priority="644" operator="greaterThan">
      <formula>E150</formula>
    </cfRule>
  </conditionalFormatting>
  <conditionalFormatting sqref="D150">
    <cfRule type="expression" dxfId="871" priority="640">
      <formula>E150&gt;B150</formula>
    </cfRule>
    <cfRule type="expression" dxfId="870" priority="643">
      <formula>V150&lt;&gt;0</formula>
    </cfRule>
  </conditionalFormatting>
  <conditionalFormatting sqref="C150">
    <cfRule type="expression" dxfId="869" priority="641">
      <formula>B150&gt;E150</formula>
    </cfRule>
    <cfRule type="expression" dxfId="868" priority="642">
      <formula>V150&lt;&gt;0</formula>
    </cfRule>
  </conditionalFormatting>
  <conditionalFormatting sqref="E150">
    <cfRule type="cellIs" dxfId="867" priority="639" operator="greaterThan">
      <formula>B150</formula>
    </cfRule>
  </conditionalFormatting>
  <conditionalFormatting sqref="B151">
    <cfRule type="cellIs" dxfId="866" priority="638" operator="greaterThan">
      <formula>E151</formula>
    </cfRule>
  </conditionalFormatting>
  <conditionalFormatting sqref="D151">
    <cfRule type="expression" dxfId="865" priority="634">
      <formula>E151&gt;B151</formula>
    </cfRule>
    <cfRule type="expression" dxfId="864" priority="637">
      <formula>V151&lt;&gt;0</formula>
    </cfRule>
  </conditionalFormatting>
  <conditionalFormatting sqref="C151">
    <cfRule type="expression" dxfId="863" priority="635">
      <formula>B151&gt;E151</formula>
    </cfRule>
    <cfRule type="expression" dxfId="862" priority="636">
      <formula>V151&lt;&gt;0</formula>
    </cfRule>
  </conditionalFormatting>
  <conditionalFormatting sqref="E151">
    <cfRule type="cellIs" dxfId="861" priority="633" operator="greaterThan">
      <formula>B151</formula>
    </cfRule>
  </conditionalFormatting>
  <conditionalFormatting sqref="B152">
    <cfRule type="cellIs" dxfId="860" priority="632" operator="greaterThan">
      <formula>E152</formula>
    </cfRule>
  </conditionalFormatting>
  <conditionalFormatting sqref="D152">
    <cfRule type="expression" dxfId="859" priority="628">
      <formula>E152&gt;B152</formula>
    </cfRule>
    <cfRule type="expression" dxfId="858" priority="631">
      <formula>V152&lt;&gt;0</formula>
    </cfRule>
  </conditionalFormatting>
  <conditionalFormatting sqref="C152">
    <cfRule type="expression" dxfId="857" priority="629">
      <formula>B152&gt;E152</formula>
    </cfRule>
    <cfRule type="expression" dxfId="856" priority="630">
      <formula>V152&lt;&gt;0</formula>
    </cfRule>
  </conditionalFormatting>
  <conditionalFormatting sqref="E152">
    <cfRule type="cellIs" dxfId="855" priority="627" operator="greaterThan">
      <formula>B152</formula>
    </cfRule>
  </conditionalFormatting>
  <conditionalFormatting sqref="B153">
    <cfRule type="cellIs" dxfId="854" priority="626" operator="greaterThan">
      <formula>E153</formula>
    </cfRule>
  </conditionalFormatting>
  <conditionalFormatting sqref="D153">
    <cfRule type="expression" dxfId="853" priority="622">
      <formula>E153&gt;B153</formula>
    </cfRule>
    <cfRule type="expression" dxfId="852" priority="625">
      <formula>V153&lt;&gt;0</formula>
    </cfRule>
  </conditionalFormatting>
  <conditionalFormatting sqref="C153">
    <cfRule type="expression" dxfId="851" priority="623">
      <formula>B153&gt;E153</formula>
    </cfRule>
    <cfRule type="expression" dxfId="850" priority="624">
      <formula>V153&lt;&gt;0</formula>
    </cfRule>
  </conditionalFormatting>
  <conditionalFormatting sqref="E153">
    <cfRule type="cellIs" dxfId="849" priority="621" operator="greaterThan">
      <formula>B153</formula>
    </cfRule>
  </conditionalFormatting>
  <conditionalFormatting sqref="B154">
    <cfRule type="cellIs" dxfId="848" priority="620" operator="greaterThan">
      <formula>E154</formula>
    </cfRule>
  </conditionalFormatting>
  <conditionalFormatting sqref="D154">
    <cfRule type="expression" dxfId="847" priority="616">
      <formula>E154&gt;B154</formula>
    </cfRule>
    <cfRule type="expression" dxfId="846" priority="619">
      <formula>V154&lt;&gt;0</formula>
    </cfRule>
  </conditionalFormatting>
  <conditionalFormatting sqref="C154">
    <cfRule type="expression" dxfId="845" priority="617">
      <formula>B154&gt;E154</formula>
    </cfRule>
    <cfRule type="expression" dxfId="844" priority="618">
      <formula>V154&lt;&gt;0</formula>
    </cfRule>
  </conditionalFormatting>
  <conditionalFormatting sqref="E154">
    <cfRule type="cellIs" dxfId="843" priority="615" operator="greaterThan">
      <formula>B154</formula>
    </cfRule>
  </conditionalFormatting>
  <conditionalFormatting sqref="B155">
    <cfRule type="cellIs" dxfId="842" priority="614" operator="greaterThan">
      <formula>E155</formula>
    </cfRule>
  </conditionalFormatting>
  <conditionalFormatting sqref="D155">
    <cfRule type="expression" dxfId="841" priority="610">
      <formula>E155&gt;B155</formula>
    </cfRule>
    <cfRule type="expression" dxfId="840" priority="613">
      <formula>V155&lt;&gt;0</formula>
    </cfRule>
  </conditionalFormatting>
  <conditionalFormatting sqref="C155">
    <cfRule type="expression" dxfId="839" priority="611">
      <formula>B155&gt;E155</formula>
    </cfRule>
    <cfRule type="expression" dxfId="838" priority="612">
      <formula>V155&lt;&gt;0</formula>
    </cfRule>
  </conditionalFormatting>
  <conditionalFormatting sqref="E155">
    <cfRule type="cellIs" dxfId="837" priority="609" operator="greaterThan">
      <formula>B155</formula>
    </cfRule>
  </conditionalFormatting>
  <conditionalFormatting sqref="B156">
    <cfRule type="cellIs" dxfId="836" priority="608" operator="greaterThan">
      <formula>E156</formula>
    </cfRule>
  </conditionalFormatting>
  <conditionalFormatting sqref="D156">
    <cfRule type="expression" dxfId="835" priority="604">
      <formula>E156&gt;B156</formula>
    </cfRule>
    <cfRule type="expression" dxfId="834" priority="607">
      <formula>V156&lt;&gt;0</formula>
    </cfRule>
  </conditionalFormatting>
  <conditionalFormatting sqref="C156">
    <cfRule type="expression" dxfId="833" priority="605">
      <formula>B156&gt;E156</formula>
    </cfRule>
    <cfRule type="expression" dxfId="832" priority="606">
      <formula>V156&lt;&gt;0</formula>
    </cfRule>
  </conditionalFormatting>
  <conditionalFormatting sqref="E156">
    <cfRule type="cellIs" dxfId="831" priority="603" operator="greaterThan">
      <formula>B156</formula>
    </cfRule>
  </conditionalFormatting>
  <conditionalFormatting sqref="B157">
    <cfRule type="cellIs" dxfId="830" priority="602" operator="greaterThan">
      <formula>E157</formula>
    </cfRule>
  </conditionalFormatting>
  <conditionalFormatting sqref="D157">
    <cfRule type="expression" dxfId="829" priority="598">
      <formula>E157&gt;B157</formula>
    </cfRule>
    <cfRule type="expression" dxfId="828" priority="601">
      <formula>V157&lt;&gt;0</formula>
    </cfRule>
  </conditionalFormatting>
  <conditionalFormatting sqref="C157">
    <cfRule type="expression" dxfId="827" priority="599">
      <formula>B157&gt;E157</formula>
    </cfRule>
    <cfRule type="expression" dxfId="826" priority="600">
      <formula>V157&lt;&gt;0</formula>
    </cfRule>
  </conditionalFormatting>
  <conditionalFormatting sqref="E157">
    <cfRule type="cellIs" dxfId="825" priority="597" operator="greaterThan">
      <formula>B157</formula>
    </cfRule>
  </conditionalFormatting>
  <conditionalFormatting sqref="B158">
    <cfRule type="cellIs" dxfId="824" priority="596" operator="greaterThan">
      <formula>E158</formula>
    </cfRule>
  </conditionalFormatting>
  <conditionalFormatting sqref="D158">
    <cfRule type="expression" dxfId="823" priority="592">
      <formula>E158&gt;B158</formula>
    </cfRule>
    <cfRule type="expression" dxfId="822" priority="595">
      <formula>V158&lt;&gt;0</formula>
    </cfRule>
  </conditionalFormatting>
  <conditionalFormatting sqref="C158">
    <cfRule type="expression" dxfId="821" priority="593">
      <formula>B158&gt;E158</formula>
    </cfRule>
    <cfRule type="expression" dxfId="820" priority="594">
      <formula>V158&lt;&gt;0</formula>
    </cfRule>
  </conditionalFormatting>
  <conditionalFormatting sqref="E158">
    <cfRule type="cellIs" dxfId="819" priority="591" operator="greaterThan">
      <formula>B158</formula>
    </cfRule>
  </conditionalFormatting>
  <conditionalFormatting sqref="B159">
    <cfRule type="cellIs" dxfId="818" priority="590" operator="greaterThan">
      <formula>E159</formula>
    </cfRule>
  </conditionalFormatting>
  <conditionalFormatting sqref="D159">
    <cfRule type="expression" dxfId="817" priority="586">
      <formula>E159&gt;B159</formula>
    </cfRule>
    <cfRule type="expression" dxfId="816" priority="589">
      <formula>V159&lt;&gt;0</formula>
    </cfRule>
  </conditionalFormatting>
  <conditionalFormatting sqref="C159">
    <cfRule type="expression" dxfId="815" priority="587">
      <formula>B159&gt;E159</formula>
    </cfRule>
    <cfRule type="expression" dxfId="814" priority="588">
      <formula>V159&lt;&gt;0</formula>
    </cfRule>
  </conditionalFormatting>
  <conditionalFormatting sqref="E159">
    <cfRule type="cellIs" dxfId="813" priority="585" operator="greaterThan">
      <formula>B159</formula>
    </cfRule>
  </conditionalFormatting>
  <conditionalFormatting sqref="B160">
    <cfRule type="cellIs" dxfId="812" priority="584" operator="greaterThan">
      <formula>E160</formula>
    </cfRule>
  </conditionalFormatting>
  <conditionalFormatting sqref="D160">
    <cfRule type="expression" dxfId="811" priority="580">
      <formula>E160&gt;B160</formula>
    </cfRule>
    <cfRule type="expression" dxfId="810" priority="583">
      <formula>V160&lt;&gt;0</formula>
    </cfRule>
  </conditionalFormatting>
  <conditionalFormatting sqref="C160">
    <cfRule type="expression" dxfId="809" priority="581">
      <formula>B160&gt;E160</formula>
    </cfRule>
    <cfRule type="expression" dxfId="808" priority="582">
      <formula>V160&lt;&gt;0</formula>
    </cfRule>
  </conditionalFormatting>
  <conditionalFormatting sqref="E160">
    <cfRule type="cellIs" dxfId="807" priority="579" operator="greaterThan">
      <formula>B160</formula>
    </cfRule>
  </conditionalFormatting>
  <conditionalFormatting sqref="B161">
    <cfRule type="cellIs" dxfId="806" priority="578" operator="greaterThan">
      <formula>E161</formula>
    </cfRule>
  </conditionalFormatting>
  <conditionalFormatting sqref="D161">
    <cfRule type="expression" dxfId="805" priority="574">
      <formula>E161&gt;B161</formula>
    </cfRule>
    <cfRule type="expression" dxfId="804" priority="577">
      <formula>V161&lt;&gt;0</formula>
    </cfRule>
  </conditionalFormatting>
  <conditionalFormatting sqref="C161">
    <cfRule type="expression" dxfId="803" priority="575">
      <formula>B161&gt;E161</formula>
    </cfRule>
    <cfRule type="expression" dxfId="802" priority="576">
      <formula>V161&lt;&gt;0</formula>
    </cfRule>
  </conditionalFormatting>
  <conditionalFormatting sqref="E161">
    <cfRule type="cellIs" dxfId="801" priority="573" operator="greaterThan">
      <formula>B161</formula>
    </cfRule>
  </conditionalFormatting>
  <conditionalFormatting sqref="B162">
    <cfRule type="cellIs" dxfId="800" priority="572" operator="greaterThan">
      <formula>E162</formula>
    </cfRule>
  </conditionalFormatting>
  <conditionalFormatting sqref="D162">
    <cfRule type="expression" dxfId="799" priority="568">
      <formula>E162&gt;B162</formula>
    </cfRule>
    <cfRule type="expression" dxfId="798" priority="571">
      <formula>V162&lt;&gt;0</formula>
    </cfRule>
  </conditionalFormatting>
  <conditionalFormatting sqref="C162">
    <cfRule type="expression" dxfId="797" priority="569">
      <formula>B162&gt;E162</formula>
    </cfRule>
    <cfRule type="expression" dxfId="796" priority="570">
      <formula>V162&lt;&gt;0</formula>
    </cfRule>
  </conditionalFormatting>
  <conditionalFormatting sqref="E162">
    <cfRule type="cellIs" dxfId="795" priority="567" operator="greaterThan">
      <formula>B162</formula>
    </cfRule>
  </conditionalFormatting>
  <conditionalFormatting sqref="B163">
    <cfRule type="cellIs" dxfId="794" priority="566" operator="greaterThan">
      <formula>E163</formula>
    </cfRule>
  </conditionalFormatting>
  <conditionalFormatting sqref="D163">
    <cfRule type="expression" dxfId="793" priority="562">
      <formula>E163&gt;B163</formula>
    </cfRule>
    <cfRule type="expression" dxfId="792" priority="565">
      <formula>V163&lt;&gt;0</formula>
    </cfRule>
  </conditionalFormatting>
  <conditionalFormatting sqref="C163">
    <cfRule type="expression" dxfId="791" priority="563">
      <formula>B163&gt;E163</formula>
    </cfRule>
    <cfRule type="expression" dxfId="790" priority="564">
      <formula>V163&lt;&gt;0</formula>
    </cfRule>
  </conditionalFormatting>
  <conditionalFormatting sqref="E163">
    <cfRule type="cellIs" dxfId="789" priority="561" operator="greaterThan">
      <formula>B163</formula>
    </cfRule>
  </conditionalFormatting>
  <conditionalFormatting sqref="B164">
    <cfRule type="cellIs" dxfId="788" priority="560" operator="greaterThan">
      <formula>E164</formula>
    </cfRule>
  </conditionalFormatting>
  <conditionalFormatting sqref="D164">
    <cfRule type="expression" dxfId="787" priority="556">
      <formula>E164&gt;B164</formula>
    </cfRule>
    <cfRule type="expression" dxfId="786" priority="559">
      <formula>V164&lt;&gt;0</formula>
    </cfRule>
  </conditionalFormatting>
  <conditionalFormatting sqref="C164">
    <cfRule type="expression" dxfId="785" priority="557">
      <formula>B164&gt;E164</formula>
    </cfRule>
    <cfRule type="expression" dxfId="784" priority="558">
      <formula>V164&lt;&gt;0</formula>
    </cfRule>
  </conditionalFormatting>
  <conditionalFormatting sqref="E164">
    <cfRule type="cellIs" dxfId="783" priority="555" operator="greaterThan">
      <formula>B164</formula>
    </cfRule>
  </conditionalFormatting>
  <conditionalFormatting sqref="B165">
    <cfRule type="cellIs" dxfId="782" priority="554" operator="greaterThan">
      <formula>E165</formula>
    </cfRule>
  </conditionalFormatting>
  <conditionalFormatting sqref="D165">
    <cfRule type="expression" dxfId="781" priority="550">
      <formula>E165&gt;B165</formula>
    </cfRule>
    <cfRule type="expression" dxfId="780" priority="553">
      <formula>V165&lt;&gt;0</formula>
    </cfRule>
  </conditionalFormatting>
  <conditionalFormatting sqref="C165">
    <cfRule type="expression" dxfId="779" priority="551">
      <formula>B165&gt;E165</formula>
    </cfRule>
    <cfRule type="expression" dxfId="778" priority="552">
      <formula>V165&lt;&gt;0</formula>
    </cfRule>
  </conditionalFormatting>
  <conditionalFormatting sqref="E165">
    <cfRule type="cellIs" dxfId="777" priority="549" operator="greaterThan">
      <formula>B165</formula>
    </cfRule>
  </conditionalFormatting>
  <conditionalFormatting sqref="B166">
    <cfRule type="cellIs" dxfId="776" priority="548" operator="greaterThan">
      <formula>E166</formula>
    </cfRule>
  </conditionalFormatting>
  <conditionalFormatting sqref="D166">
    <cfRule type="expression" dxfId="775" priority="544">
      <formula>E166&gt;B166</formula>
    </cfRule>
    <cfRule type="expression" dxfId="774" priority="547">
      <formula>V166&lt;&gt;0</formula>
    </cfRule>
  </conditionalFormatting>
  <conditionalFormatting sqref="C166">
    <cfRule type="expression" dxfId="773" priority="545">
      <formula>B166&gt;E166</formula>
    </cfRule>
    <cfRule type="expression" dxfId="772" priority="546">
      <formula>V166&lt;&gt;0</formula>
    </cfRule>
  </conditionalFormatting>
  <conditionalFormatting sqref="E166">
    <cfRule type="cellIs" dxfId="771" priority="543" operator="greaterThan">
      <formula>B166</formula>
    </cfRule>
  </conditionalFormatting>
  <conditionalFormatting sqref="B167">
    <cfRule type="cellIs" dxfId="770" priority="542" operator="greaterThan">
      <formula>E167</formula>
    </cfRule>
  </conditionalFormatting>
  <conditionalFormatting sqref="D167">
    <cfRule type="expression" dxfId="769" priority="538">
      <formula>E167&gt;B167</formula>
    </cfRule>
    <cfRule type="expression" dxfId="768" priority="541">
      <formula>V167&lt;&gt;0</formula>
    </cfRule>
  </conditionalFormatting>
  <conditionalFormatting sqref="C167">
    <cfRule type="expression" dxfId="767" priority="539">
      <formula>B167&gt;E167</formula>
    </cfRule>
    <cfRule type="expression" dxfId="766" priority="540">
      <formula>V167&lt;&gt;0</formula>
    </cfRule>
  </conditionalFormatting>
  <conditionalFormatting sqref="E167">
    <cfRule type="cellIs" dxfId="765" priority="537" operator="greaterThan">
      <formula>B167</formula>
    </cfRule>
  </conditionalFormatting>
  <conditionalFormatting sqref="B168">
    <cfRule type="cellIs" dxfId="764" priority="536" operator="greaterThan">
      <formula>E168</formula>
    </cfRule>
  </conditionalFormatting>
  <conditionalFormatting sqref="D168">
    <cfRule type="expression" dxfId="763" priority="532">
      <formula>E168&gt;B168</formula>
    </cfRule>
    <cfRule type="expression" dxfId="762" priority="535">
      <formula>V168&lt;&gt;0</formula>
    </cfRule>
  </conditionalFormatting>
  <conditionalFormatting sqref="C168">
    <cfRule type="expression" dxfId="761" priority="533">
      <formula>B168&gt;E168</formula>
    </cfRule>
    <cfRule type="expression" dxfId="760" priority="534">
      <formula>V168&lt;&gt;0</formula>
    </cfRule>
  </conditionalFormatting>
  <conditionalFormatting sqref="E168">
    <cfRule type="cellIs" dxfId="759" priority="531" operator="greaterThan">
      <formula>B168</formula>
    </cfRule>
  </conditionalFormatting>
  <conditionalFormatting sqref="B169">
    <cfRule type="cellIs" dxfId="758" priority="530" operator="greaterThan">
      <formula>E169</formula>
    </cfRule>
  </conditionalFormatting>
  <conditionalFormatting sqref="D169">
    <cfRule type="expression" dxfId="757" priority="526">
      <formula>E169&gt;B169</formula>
    </cfRule>
    <cfRule type="expression" dxfId="756" priority="529">
      <formula>V169&lt;&gt;0</formula>
    </cfRule>
  </conditionalFormatting>
  <conditionalFormatting sqref="C169">
    <cfRule type="expression" dxfId="755" priority="527">
      <formula>B169&gt;E169</formula>
    </cfRule>
    <cfRule type="expression" dxfId="754" priority="528">
      <formula>V169&lt;&gt;0</formula>
    </cfRule>
  </conditionalFormatting>
  <conditionalFormatting sqref="E169">
    <cfRule type="cellIs" dxfId="753" priority="525" operator="greaterThan">
      <formula>B169</formula>
    </cfRule>
  </conditionalFormatting>
  <conditionalFormatting sqref="B170">
    <cfRule type="cellIs" dxfId="752" priority="524" operator="greaterThan">
      <formula>E170</formula>
    </cfRule>
  </conditionalFormatting>
  <conditionalFormatting sqref="D170">
    <cfRule type="expression" dxfId="751" priority="520">
      <formula>E170&gt;B170</formula>
    </cfRule>
    <cfRule type="expression" dxfId="750" priority="523">
      <formula>V170&lt;&gt;0</formula>
    </cfRule>
  </conditionalFormatting>
  <conditionalFormatting sqref="C170">
    <cfRule type="expression" dxfId="749" priority="521">
      <formula>B170&gt;E170</formula>
    </cfRule>
    <cfRule type="expression" dxfId="748" priority="522">
      <formula>V170&lt;&gt;0</formula>
    </cfRule>
  </conditionalFormatting>
  <conditionalFormatting sqref="E170">
    <cfRule type="cellIs" dxfId="747" priority="519" operator="greaterThan">
      <formula>B170</formula>
    </cfRule>
  </conditionalFormatting>
  <conditionalFormatting sqref="B171">
    <cfRule type="cellIs" dxfId="746" priority="518" operator="greaterThan">
      <formula>E171</formula>
    </cfRule>
  </conditionalFormatting>
  <conditionalFormatting sqref="D171">
    <cfRule type="expression" dxfId="745" priority="514">
      <formula>E171&gt;B171</formula>
    </cfRule>
    <cfRule type="expression" dxfId="744" priority="517">
      <formula>V171&lt;&gt;0</formula>
    </cfRule>
  </conditionalFormatting>
  <conditionalFormatting sqref="C171">
    <cfRule type="expression" dxfId="743" priority="515">
      <formula>B171&gt;E171</formula>
    </cfRule>
    <cfRule type="expression" dxfId="742" priority="516">
      <formula>V171&lt;&gt;0</formula>
    </cfRule>
  </conditionalFormatting>
  <conditionalFormatting sqref="E171">
    <cfRule type="cellIs" dxfId="741" priority="513" operator="greaterThan">
      <formula>B171</formula>
    </cfRule>
  </conditionalFormatting>
  <conditionalFormatting sqref="Q45:T56">
    <cfRule type="cellIs" dxfId="740" priority="506" operator="equal">
      <formula>0</formula>
    </cfRule>
  </conditionalFormatting>
  <conditionalFormatting sqref="V45:V56">
    <cfRule type="cellIs" dxfId="739" priority="508" operator="lessThan">
      <formula>0</formula>
    </cfRule>
    <cfRule type="cellIs" dxfId="738" priority="509" operator="equal">
      <formula>0</formula>
    </cfRule>
  </conditionalFormatting>
  <conditionalFormatting sqref="Y45:Z51 Y53:Z56">
    <cfRule type="cellIs" dxfId="737" priority="510" operator="equal">
      <formula>0</formula>
    </cfRule>
  </conditionalFormatting>
  <conditionalFormatting sqref="A30">
    <cfRule type="expression" dxfId="736" priority="491">
      <formula>V30&lt;&gt;0</formula>
    </cfRule>
  </conditionalFormatting>
  <conditionalFormatting sqref="G30">
    <cfRule type="cellIs" dxfId="735" priority="489" operator="lessThan">
      <formula>0</formula>
    </cfRule>
  </conditionalFormatting>
  <conditionalFormatting sqref="D30">
    <cfRule type="expression" dxfId="734" priority="487">
      <formula>E30&gt;B30</formula>
    </cfRule>
  </conditionalFormatting>
  <conditionalFormatting sqref="C30">
    <cfRule type="expression" dxfId="733" priority="486">
      <formula>B30&gt;E30</formula>
    </cfRule>
  </conditionalFormatting>
  <conditionalFormatting sqref="G31">
    <cfRule type="cellIs" dxfId="732" priority="480" operator="lessThan">
      <formula>0</formula>
    </cfRule>
  </conditionalFormatting>
  <conditionalFormatting sqref="G32">
    <cfRule type="cellIs" dxfId="731" priority="424" operator="lessThan">
      <formula>0</formula>
    </cfRule>
  </conditionalFormatting>
  <conditionalFormatting sqref="G33">
    <cfRule type="cellIs" dxfId="730" priority="418" operator="lessThan">
      <formula>0</formula>
    </cfRule>
  </conditionalFormatting>
  <conditionalFormatting sqref="G34 G36 G38 G40 G45 G47 G49 G51 G53 G55">
    <cfRule type="cellIs" dxfId="729" priority="410" operator="lessThan">
      <formula>0</formula>
    </cfRule>
  </conditionalFormatting>
  <conditionalFormatting sqref="G35 G37 G39 G41 G46 G48 G50 G52 G54 G56">
    <cfRule type="cellIs" dxfId="728" priority="404" operator="lessThan">
      <formula>0</formula>
    </cfRule>
  </conditionalFormatting>
  <conditionalFormatting sqref="A45">
    <cfRule type="expression" dxfId="727" priority="383">
      <formula>V45&lt;&gt;0</formula>
    </cfRule>
  </conditionalFormatting>
  <conditionalFormatting sqref="B60">
    <cfRule type="cellIs" dxfId="726" priority="376" operator="greaterThan">
      <formula>E60</formula>
    </cfRule>
  </conditionalFormatting>
  <conditionalFormatting sqref="D60">
    <cfRule type="expression" dxfId="725" priority="372">
      <formula>E60&gt;B60</formula>
    </cfRule>
    <cfRule type="expression" dxfId="724" priority="375">
      <formula>V60&lt;&gt;0</formula>
    </cfRule>
  </conditionalFormatting>
  <conditionalFormatting sqref="C60">
    <cfRule type="expression" dxfId="723" priority="373">
      <formula>B60&gt;E60</formula>
    </cfRule>
    <cfRule type="expression" dxfId="722" priority="374">
      <formula>V60&lt;&gt;0</formula>
    </cfRule>
  </conditionalFormatting>
  <conditionalFormatting sqref="E60">
    <cfRule type="cellIs" dxfId="721" priority="371" operator="greaterThan">
      <formula>B60</formula>
    </cfRule>
  </conditionalFormatting>
  <conditionalFormatting sqref="B61">
    <cfRule type="cellIs" dxfId="720" priority="370" operator="greaterThan">
      <formula>E61</formula>
    </cfRule>
  </conditionalFormatting>
  <conditionalFormatting sqref="D61">
    <cfRule type="expression" dxfId="719" priority="366">
      <formula>E61&gt;B61</formula>
    </cfRule>
    <cfRule type="expression" dxfId="718" priority="369">
      <formula>V61&lt;&gt;0</formula>
    </cfRule>
  </conditionalFormatting>
  <conditionalFormatting sqref="C61">
    <cfRule type="expression" dxfId="717" priority="367">
      <formula>B61&gt;E61</formula>
    </cfRule>
    <cfRule type="expression" dxfId="716" priority="368">
      <formula>V61&lt;&gt;0</formula>
    </cfRule>
  </conditionalFormatting>
  <conditionalFormatting sqref="E61">
    <cfRule type="cellIs" dxfId="715" priority="365" operator="greaterThan">
      <formula>B61</formula>
    </cfRule>
  </conditionalFormatting>
  <conditionalFormatting sqref="X30">
    <cfRule type="cellIs" dxfId="714" priority="356" operator="equal">
      <formula>0</formula>
    </cfRule>
    <cfRule type="expression" dxfId="713" priority="359">
      <formula>F30*100&lt;X30</formula>
    </cfRule>
    <cfRule type="expression" dxfId="712" priority="360">
      <formula>X30&lt;F30*100</formula>
    </cfRule>
  </conditionalFormatting>
  <conditionalFormatting sqref="X31">
    <cfRule type="cellIs" dxfId="711" priority="353" operator="equal">
      <formula>0</formula>
    </cfRule>
    <cfRule type="expression" dxfId="710" priority="354">
      <formula>F31*100&lt;X31</formula>
    </cfRule>
    <cfRule type="expression" dxfId="709" priority="355">
      <formula>X31&lt;F31*100</formula>
    </cfRule>
  </conditionalFormatting>
  <conditionalFormatting sqref="D31">
    <cfRule type="expression" dxfId="708" priority="280">
      <formula>E31&gt;B31</formula>
    </cfRule>
  </conditionalFormatting>
  <conditionalFormatting sqref="C31">
    <cfRule type="expression" dxfId="707" priority="279">
      <formula>B31&gt;E31</formula>
    </cfRule>
  </conditionalFormatting>
  <conditionalFormatting sqref="D32 D34 D36 D38 D40 D45 D47 D49 D51 D53 D55">
    <cfRule type="expression" dxfId="706" priority="278">
      <formula>E32&gt;B32</formula>
    </cfRule>
  </conditionalFormatting>
  <conditionalFormatting sqref="C32 C34 C36 C38 C40 C45 C47 C49 C51 C53 C55">
    <cfRule type="expression" dxfId="705" priority="277">
      <formula>B32&gt;E32</formula>
    </cfRule>
  </conditionalFormatting>
  <conditionalFormatting sqref="D33 D35 D37 D39 D41 D46 D48 D50 D52 D54 D56">
    <cfRule type="expression" dxfId="704" priority="276">
      <formula>E33&gt;B33</formula>
    </cfRule>
  </conditionalFormatting>
  <conditionalFormatting sqref="C33 C35 C37 C39 C41 C46 C48 C50 C52 C54 C56">
    <cfRule type="expression" dxfId="703" priority="275">
      <formula>B33&gt;E33</formula>
    </cfRule>
  </conditionalFormatting>
  <conditionalFormatting sqref="A46">
    <cfRule type="expression" dxfId="702" priority="274">
      <formula>V46&lt;&gt;0</formula>
    </cfRule>
  </conditionalFormatting>
  <conditionalFormatting sqref="A47 A49 A51 A53 A55">
    <cfRule type="expression" dxfId="701" priority="273">
      <formula>V47&lt;&gt;0</formula>
    </cfRule>
  </conditionalFormatting>
  <conditionalFormatting sqref="A48 A50 A52 A54 A56">
    <cfRule type="expression" dxfId="700" priority="272">
      <formula>V48&lt;&gt;0</formula>
    </cfRule>
  </conditionalFormatting>
  <conditionalFormatting sqref="A31">
    <cfRule type="expression" dxfId="699" priority="271">
      <formula>V31&lt;&gt;0</formula>
    </cfRule>
  </conditionalFormatting>
  <conditionalFormatting sqref="A32 A34 A36 A38 A40">
    <cfRule type="expression" dxfId="698" priority="270">
      <formula>V32&lt;&gt;0</formula>
    </cfRule>
  </conditionalFormatting>
  <conditionalFormatting sqref="A33 A35 A37 A39 A41">
    <cfRule type="expression" dxfId="697" priority="269">
      <formula>V33&lt;&gt;0</formula>
    </cfRule>
  </conditionalFormatting>
  <conditionalFormatting sqref="Y30:Y34 Y37:Y41">
    <cfRule type="cellIs" dxfId="696" priority="232" operator="equal">
      <formula>0</formula>
    </cfRule>
  </conditionalFormatting>
  <conditionalFormatting sqref="X32 X34 X36 X38 X40 X45 X47 X49 X51 X53 X55">
    <cfRule type="cellIs" dxfId="695" priority="229" operator="equal">
      <formula>0</formula>
    </cfRule>
    <cfRule type="expression" dxfId="694" priority="230">
      <formula>F32*100&lt;X32</formula>
    </cfRule>
    <cfRule type="expression" dxfId="693" priority="231">
      <formula>X32&lt;F32*100</formula>
    </cfRule>
  </conditionalFormatting>
  <conditionalFormatting sqref="X33 X35 X37 X39 X41 X46 X48 X50 X52 X54 X56">
    <cfRule type="cellIs" dxfId="692" priority="226" operator="equal">
      <formula>0</formula>
    </cfRule>
    <cfRule type="expression" dxfId="691" priority="227">
      <formula>F33*100&lt;X33</formula>
    </cfRule>
    <cfRule type="expression" dxfId="690" priority="228">
      <formula>X33&lt;F33*100</formula>
    </cfRule>
  </conditionalFormatting>
  <conditionalFormatting sqref="AA15">
    <cfRule type="expression" dxfId="689" priority="15775">
      <formula>IF($Y26&gt;$Y15,AND(MID($A15,5,1)="D"))</formula>
    </cfRule>
    <cfRule type="expression" dxfId="688" priority="15776">
      <formula>IF($Y26&gt;$Y15,AND(MID($A15,5,1)="C"))</formula>
    </cfRule>
    <cfRule type="cellIs" dxfId="687" priority="15777" operator="equal">
      <formula>0</formula>
    </cfRule>
  </conditionalFormatting>
  <conditionalFormatting sqref="AA17">
    <cfRule type="expression" dxfId="686" priority="15781">
      <formula>IF($Y26&gt;$Y15,AND(MID($A26,5,1)="D"))</formula>
    </cfRule>
    <cfRule type="expression" dxfId="685" priority="15782">
      <formula>IF($Y26&gt;$Y15,AND(MID($A26,5,1)="C"))</formula>
    </cfRule>
    <cfRule type="cellIs" dxfId="684" priority="15783" operator="equal">
      <formula>0</formula>
    </cfRule>
  </conditionalFormatting>
  <conditionalFormatting sqref="A27:A29">
    <cfRule type="expression" dxfId="683" priority="15804">
      <formula>$V23&lt;&gt;0</formula>
    </cfRule>
    <cfRule type="expression" dxfId="682" priority="15805">
      <formula>IF($Y18&gt;$Y27,AND(MID($A27,5,1)=" "))</formula>
    </cfRule>
    <cfRule type="expression" dxfId="681" priority="15806">
      <formula>IF($Y18&gt;$Y27,AND(MID($A27,5,1)="C"))</formula>
    </cfRule>
    <cfRule type="expression" dxfId="680" priority="15807">
      <formula>IF($Y18&gt;$Y27,AND(MID($A27,5,1)="D"))</formula>
    </cfRule>
  </conditionalFormatting>
  <conditionalFormatting sqref="A15">
    <cfRule type="expression" dxfId="679" priority="15828">
      <formula>$V19&lt;&gt;0</formula>
    </cfRule>
    <cfRule type="expression" dxfId="678" priority="15829">
      <formula>IF($Y17&gt;$Y14,AND(MID($A15,5,1)=" "))</formula>
    </cfRule>
    <cfRule type="expression" dxfId="677" priority="15830">
      <formula>IF($Y17&gt;$Y14,AND(MID($A15,5,1)="C"))</formula>
    </cfRule>
    <cfRule type="expression" dxfId="676" priority="15831">
      <formula>IF($Y17&gt;$Y14,AND(MID($A15,5,1)="D"))</formula>
    </cfRule>
  </conditionalFormatting>
  <conditionalFormatting sqref="A16">
    <cfRule type="expression" dxfId="675" priority="15836">
      <formula>$V20&lt;&gt;0</formula>
    </cfRule>
    <cfRule type="expression" dxfId="674" priority="15837">
      <formula>IF($Y17&gt;$Y14,AND(MID($A16,5,1)=" "))</formula>
    </cfRule>
    <cfRule type="expression" dxfId="673" priority="15838">
      <formula>IF($Y17&gt;$Y14,AND(MID($A16,5,1)="C"))</formula>
    </cfRule>
    <cfRule type="expression" dxfId="672" priority="15839">
      <formula>IF($Y17&gt;$Y14,AND(MID($A16,5,1)="D"))</formula>
    </cfRule>
  </conditionalFormatting>
  <conditionalFormatting sqref="A14 A17">
    <cfRule type="expression" dxfId="671" priority="15848">
      <formula>$V18&lt;&gt;0</formula>
    </cfRule>
  </conditionalFormatting>
  <conditionalFormatting sqref="X26">
    <cfRule type="cellIs" dxfId="670" priority="222" operator="equal">
      <formula>0</formula>
    </cfRule>
    <cfRule type="expression" dxfId="669" priority="223">
      <formula>F26*100&lt;X26</formula>
    </cfRule>
    <cfRule type="expression" dxfId="668" priority="224">
      <formula>X26&lt;F26*100</formula>
    </cfRule>
  </conditionalFormatting>
  <conditionalFormatting sqref="X27">
    <cfRule type="cellIs" dxfId="667" priority="219" operator="equal">
      <formula>0</formula>
    </cfRule>
    <cfRule type="expression" dxfId="666" priority="220">
      <formula>F27*100&lt;X27</formula>
    </cfRule>
    <cfRule type="expression" dxfId="665" priority="221">
      <formula>X27&lt;F27*100</formula>
    </cfRule>
  </conditionalFormatting>
  <conditionalFormatting sqref="X28">
    <cfRule type="cellIs" dxfId="664" priority="216" operator="equal">
      <formula>0</formula>
    </cfRule>
    <cfRule type="expression" dxfId="663" priority="217">
      <formula>F28*100&lt;X28</formula>
    </cfRule>
    <cfRule type="expression" dxfId="662" priority="218">
      <formula>X28&lt;F28*100</formula>
    </cfRule>
  </conditionalFormatting>
  <conditionalFormatting sqref="X29">
    <cfRule type="cellIs" dxfId="661" priority="213" operator="equal">
      <formula>0</formula>
    </cfRule>
    <cfRule type="expression" dxfId="660" priority="214">
      <formula>F29*100&lt;X29</formula>
    </cfRule>
    <cfRule type="expression" dxfId="659" priority="215">
      <formula>X29&lt;F29*100</formula>
    </cfRule>
  </conditionalFormatting>
  <conditionalFormatting sqref="W26:W29">
    <cfRule type="cellIs" dxfId="658" priority="185" operator="equal">
      <formula>0</formula>
    </cfRule>
  </conditionalFormatting>
  <conditionalFormatting sqref="W26">
    <cfRule type="containsText" dxfId="657" priority="183" operator="containsText" text="STOP">
      <formula>NOT(ISERROR(SEARCH("STOP",W26)))</formula>
    </cfRule>
    <cfRule type="containsText" dxfId="656" priority="184" operator="containsText" text="TRAILING">
      <formula>NOT(ISERROR(SEARCH("TRAILING",W26)))</formula>
    </cfRule>
  </conditionalFormatting>
  <conditionalFormatting sqref="W27">
    <cfRule type="containsText" dxfId="655" priority="181" operator="containsText" text="STOP">
      <formula>NOT(ISERROR(SEARCH("STOP",W27)))</formula>
    </cfRule>
    <cfRule type="containsText" dxfId="654" priority="182" operator="containsText" text="TRAILING">
      <formula>NOT(ISERROR(SEARCH("TRAILING",W27)))</formula>
    </cfRule>
  </conditionalFormatting>
  <conditionalFormatting sqref="W28">
    <cfRule type="containsText" dxfId="653" priority="179" operator="containsText" text="STOP">
      <formula>NOT(ISERROR(SEARCH("STOP",W28)))</formula>
    </cfRule>
    <cfRule type="containsText" dxfId="652" priority="180" operator="containsText" text="TRAILING">
      <formula>NOT(ISERROR(SEARCH("TRAILING",W28)))</formula>
    </cfRule>
  </conditionalFormatting>
  <conditionalFormatting sqref="W29">
    <cfRule type="containsText" dxfId="651" priority="177" operator="containsText" text="STOP">
      <formula>NOT(ISERROR(SEARCH("STOP",W29)))</formula>
    </cfRule>
    <cfRule type="containsText" dxfId="650" priority="178" operator="containsText" text="TRAILING">
      <formula>NOT(ISERROR(SEARCH("TRAILING",W29)))</formula>
    </cfRule>
  </conditionalFormatting>
  <conditionalFormatting sqref="W30:W33">
    <cfRule type="cellIs" dxfId="649" priority="176" operator="equal">
      <formula>0</formula>
    </cfRule>
  </conditionalFormatting>
  <conditionalFormatting sqref="W30">
    <cfRule type="containsText" dxfId="648" priority="174" operator="containsText" text="STOP">
      <formula>NOT(ISERROR(SEARCH("STOP",W30)))</formula>
    </cfRule>
    <cfRule type="containsText" dxfId="647" priority="175" operator="containsText" text="TRAILING">
      <formula>NOT(ISERROR(SEARCH("TRAILING",W30)))</formula>
    </cfRule>
  </conditionalFormatting>
  <conditionalFormatting sqref="W31">
    <cfRule type="containsText" dxfId="646" priority="172" operator="containsText" text="STOP">
      <formula>NOT(ISERROR(SEARCH("STOP",W31)))</formula>
    </cfRule>
    <cfRule type="containsText" dxfId="645" priority="173" operator="containsText" text="TRAILING">
      <formula>NOT(ISERROR(SEARCH("TRAILING",W31)))</formula>
    </cfRule>
  </conditionalFormatting>
  <conditionalFormatting sqref="W32">
    <cfRule type="containsText" dxfId="644" priority="170" operator="containsText" text="STOP">
      <formula>NOT(ISERROR(SEARCH("STOP",W32)))</formula>
    </cfRule>
    <cfRule type="containsText" dxfId="643" priority="171" operator="containsText" text="TRAILING">
      <formula>NOT(ISERROR(SEARCH("TRAILING",W32)))</formula>
    </cfRule>
  </conditionalFormatting>
  <conditionalFormatting sqref="W33">
    <cfRule type="containsText" dxfId="642" priority="168" operator="containsText" text="STOP">
      <formula>NOT(ISERROR(SEARCH("STOP",W33)))</formula>
    </cfRule>
    <cfRule type="containsText" dxfId="641" priority="169" operator="containsText" text="TRAILING">
      <formula>NOT(ISERROR(SEARCH("TRAILING",W33)))</formula>
    </cfRule>
  </conditionalFormatting>
  <conditionalFormatting sqref="W34:W37">
    <cfRule type="cellIs" dxfId="640" priority="167" operator="equal">
      <formula>0</formula>
    </cfRule>
  </conditionalFormatting>
  <conditionalFormatting sqref="W34">
    <cfRule type="containsText" dxfId="639" priority="165" operator="containsText" text="STOP">
      <formula>NOT(ISERROR(SEARCH("STOP",W34)))</formula>
    </cfRule>
    <cfRule type="containsText" dxfId="638" priority="166" operator="containsText" text="TRAILING">
      <formula>NOT(ISERROR(SEARCH("TRAILING",W34)))</formula>
    </cfRule>
  </conditionalFormatting>
  <conditionalFormatting sqref="W35">
    <cfRule type="containsText" dxfId="637" priority="163" operator="containsText" text="STOP">
      <formula>NOT(ISERROR(SEARCH("STOP",W35)))</formula>
    </cfRule>
    <cfRule type="containsText" dxfId="636" priority="164" operator="containsText" text="TRAILING">
      <formula>NOT(ISERROR(SEARCH("TRAILING",W35)))</formula>
    </cfRule>
  </conditionalFormatting>
  <conditionalFormatting sqref="W36">
    <cfRule type="containsText" dxfId="635" priority="161" operator="containsText" text="STOP">
      <formula>NOT(ISERROR(SEARCH("STOP",W36)))</formula>
    </cfRule>
    <cfRule type="containsText" dxfId="634" priority="162" operator="containsText" text="TRAILING">
      <formula>NOT(ISERROR(SEARCH("TRAILING",W36)))</formula>
    </cfRule>
  </conditionalFormatting>
  <conditionalFormatting sqref="W37">
    <cfRule type="containsText" dxfId="633" priority="159" operator="containsText" text="STOP">
      <formula>NOT(ISERROR(SEARCH("STOP",W37)))</formula>
    </cfRule>
    <cfRule type="containsText" dxfId="632" priority="160" operator="containsText" text="TRAILING">
      <formula>NOT(ISERROR(SEARCH("TRAILING",W37)))</formula>
    </cfRule>
  </conditionalFormatting>
  <conditionalFormatting sqref="W38:W41">
    <cfRule type="cellIs" dxfId="631" priority="158" operator="equal">
      <formula>0</formula>
    </cfRule>
  </conditionalFormatting>
  <conditionalFormatting sqref="W38">
    <cfRule type="containsText" dxfId="630" priority="156" operator="containsText" text="STOP">
      <formula>NOT(ISERROR(SEARCH("STOP",W38)))</formula>
    </cfRule>
    <cfRule type="containsText" dxfId="629" priority="157" operator="containsText" text="TRAILING">
      <formula>NOT(ISERROR(SEARCH("TRAILING",W38)))</formula>
    </cfRule>
  </conditionalFormatting>
  <conditionalFormatting sqref="W39">
    <cfRule type="containsText" dxfId="628" priority="154" operator="containsText" text="STOP">
      <formula>NOT(ISERROR(SEARCH("STOP",W39)))</formula>
    </cfRule>
    <cfRule type="containsText" dxfId="627" priority="155" operator="containsText" text="TRAILING">
      <formula>NOT(ISERROR(SEARCH("TRAILING",W39)))</formula>
    </cfRule>
  </conditionalFormatting>
  <conditionalFormatting sqref="W40">
    <cfRule type="containsText" dxfId="626" priority="152" operator="containsText" text="STOP">
      <formula>NOT(ISERROR(SEARCH("STOP",W40)))</formula>
    </cfRule>
    <cfRule type="containsText" dxfId="625" priority="153" operator="containsText" text="TRAILING">
      <formula>NOT(ISERROR(SEARCH("TRAILING",W40)))</formula>
    </cfRule>
  </conditionalFormatting>
  <conditionalFormatting sqref="W41">
    <cfRule type="containsText" dxfId="624" priority="150" operator="containsText" text="STOP">
      <formula>NOT(ISERROR(SEARCH("STOP",W41)))</formula>
    </cfRule>
    <cfRule type="containsText" dxfId="623" priority="151" operator="containsText" text="TRAILING">
      <formula>NOT(ISERROR(SEARCH("TRAILING",W41)))</formula>
    </cfRule>
  </conditionalFormatting>
  <conditionalFormatting sqref="W45:W48">
    <cfRule type="cellIs" dxfId="622" priority="149" operator="equal">
      <formula>0</formula>
    </cfRule>
  </conditionalFormatting>
  <conditionalFormatting sqref="W45">
    <cfRule type="containsText" dxfId="621" priority="147" operator="containsText" text="STOP">
      <formula>NOT(ISERROR(SEARCH("STOP",W45)))</formula>
    </cfRule>
    <cfRule type="containsText" dxfId="620" priority="148" operator="containsText" text="TRAILING">
      <formula>NOT(ISERROR(SEARCH("TRAILING",W45)))</formula>
    </cfRule>
  </conditionalFormatting>
  <conditionalFormatting sqref="W46">
    <cfRule type="containsText" dxfId="619" priority="145" operator="containsText" text="STOP">
      <formula>NOT(ISERROR(SEARCH("STOP",W46)))</formula>
    </cfRule>
    <cfRule type="containsText" dxfId="618" priority="146" operator="containsText" text="TRAILING">
      <formula>NOT(ISERROR(SEARCH("TRAILING",W46)))</formula>
    </cfRule>
  </conditionalFormatting>
  <conditionalFormatting sqref="W47">
    <cfRule type="containsText" dxfId="617" priority="143" operator="containsText" text="STOP">
      <formula>NOT(ISERROR(SEARCH("STOP",W47)))</formula>
    </cfRule>
    <cfRule type="containsText" dxfId="616" priority="144" operator="containsText" text="TRAILING">
      <formula>NOT(ISERROR(SEARCH("TRAILING",W47)))</formula>
    </cfRule>
  </conditionalFormatting>
  <conditionalFormatting sqref="W48">
    <cfRule type="containsText" dxfId="615" priority="141" operator="containsText" text="STOP">
      <formula>NOT(ISERROR(SEARCH("STOP",W48)))</formula>
    </cfRule>
    <cfRule type="containsText" dxfId="614" priority="142" operator="containsText" text="TRAILING">
      <formula>NOT(ISERROR(SEARCH("TRAILING",W48)))</formula>
    </cfRule>
  </conditionalFormatting>
  <conditionalFormatting sqref="W49:W52">
    <cfRule type="cellIs" dxfId="613" priority="140" operator="equal">
      <formula>0</formula>
    </cfRule>
  </conditionalFormatting>
  <conditionalFormatting sqref="W49">
    <cfRule type="containsText" dxfId="612" priority="138" operator="containsText" text="STOP">
      <formula>NOT(ISERROR(SEARCH("STOP",W49)))</formula>
    </cfRule>
    <cfRule type="containsText" dxfId="611" priority="139" operator="containsText" text="TRAILING">
      <formula>NOT(ISERROR(SEARCH("TRAILING",W49)))</formula>
    </cfRule>
  </conditionalFormatting>
  <conditionalFormatting sqref="W50">
    <cfRule type="containsText" dxfId="610" priority="136" operator="containsText" text="STOP">
      <formula>NOT(ISERROR(SEARCH("STOP",W50)))</formula>
    </cfRule>
    <cfRule type="containsText" dxfId="609" priority="137" operator="containsText" text="TRAILING">
      <formula>NOT(ISERROR(SEARCH("TRAILING",W50)))</formula>
    </cfRule>
  </conditionalFormatting>
  <conditionalFormatting sqref="W51">
    <cfRule type="containsText" dxfId="608" priority="134" operator="containsText" text="STOP">
      <formula>NOT(ISERROR(SEARCH("STOP",W51)))</formula>
    </cfRule>
    <cfRule type="containsText" dxfId="607" priority="135" operator="containsText" text="TRAILING">
      <formula>NOT(ISERROR(SEARCH("TRAILING",W51)))</formula>
    </cfRule>
  </conditionalFormatting>
  <conditionalFormatting sqref="W52">
    <cfRule type="containsText" dxfId="606" priority="132" operator="containsText" text="STOP">
      <formula>NOT(ISERROR(SEARCH("STOP",W52)))</formula>
    </cfRule>
    <cfRule type="containsText" dxfId="605" priority="133" operator="containsText" text="TRAILING">
      <formula>NOT(ISERROR(SEARCH("TRAILING",W52)))</formula>
    </cfRule>
  </conditionalFormatting>
  <conditionalFormatting sqref="W53:W56">
    <cfRule type="cellIs" dxfId="604" priority="131" operator="equal">
      <formula>0</formula>
    </cfRule>
  </conditionalFormatting>
  <conditionalFormatting sqref="W53">
    <cfRule type="containsText" dxfId="603" priority="129" operator="containsText" text="STOP">
      <formula>NOT(ISERROR(SEARCH("STOP",W53)))</formula>
    </cfRule>
    <cfRule type="containsText" dxfId="602" priority="130" operator="containsText" text="TRAILING">
      <formula>NOT(ISERROR(SEARCH("TRAILING",W53)))</formula>
    </cfRule>
  </conditionalFormatting>
  <conditionalFormatting sqref="W54">
    <cfRule type="containsText" dxfId="601" priority="127" operator="containsText" text="STOP">
      <formula>NOT(ISERROR(SEARCH("STOP",W54)))</formula>
    </cfRule>
    <cfRule type="containsText" dxfId="600" priority="128" operator="containsText" text="TRAILING">
      <formula>NOT(ISERROR(SEARCH("TRAILING",W54)))</formula>
    </cfRule>
  </conditionalFormatting>
  <conditionalFormatting sqref="W55">
    <cfRule type="containsText" dxfId="599" priority="125" operator="containsText" text="STOP">
      <formula>NOT(ISERROR(SEARCH("STOP",W55)))</formula>
    </cfRule>
    <cfRule type="containsText" dxfId="598" priority="126" operator="containsText" text="TRAILING">
      <formula>NOT(ISERROR(SEARCH("TRAILING",W55)))</formula>
    </cfRule>
  </conditionalFormatting>
  <conditionalFormatting sqref="W56">
    <cfRule type="containsText" dxfId="597" priority="123" operator="containsText" text="STOP">
      <formula>NOT(ISERROR(SEARCH("STOP",W56)))</formula>
    </cfRule>
    <cfRule type="containsText" dxfId="596" priority="124" operator="containsText" text="TRAILING">
      <formula>NOT(ISERROR(SEARCH("TRAILING",W56)))</formula>
    </cfRule>
  </conditionalFormatting>
  <conditionalFormatting sqref="X60">
    <cfRule type="cellIs" dxfId="595" priority="120" operator="equal">
      <formula>0</formula>
    </cfRule>
    <cfRule type="expression" dxfId="594" priority="121">
      <formula>F60*100&lt;X60</formula>
    </cfRule>
    <cfRule type="expression" dxfId="593" priority="122">
      <formula>X60&lt;F60*100</formula>
    </cfRule>
  </conditionalFormatting>
  <conditionalFormatting sqref="X61">
    <cfRule type="cellIs" dxfId="592" priority="117" operator="equal">
      <formula>0</formula>
    </cfRule>
    <cfRule type="expression" dxfId="591" priority="118">
      <formula>F61*100&lt;X61</formula>
    </cfRule>
    <cfRule type="expression" dxfId="590" priority="119">
      <formula>X61&lt;F61*100</formula>
    </cfRule>
  </conditionalFormatting>
  <conditionalFormatting sqref="W60:W61">
    <cfRule type="cellIs" dxfId="589" priority="116" operator="equal">
      <formula>0</formula>
    </cfRule>
  </conditionalFormatting>
  <conditionalFormatting sqref="W60">
    <cfRule type="containsText" dxfId="588" priority="114" operator="containsText" text="STOP">
      <formula>NOT(ISERROR(SEARCH("STOP",W60)))</formula>
    </cfRule>
    <cfRule type="containsText" dxfId="587" priority="115" operator="containsText" text="TRAILING">
      <formula>NOT(ISERROR(SEARCH("TRAILING",W60)))</formula>
    </cfRule>
  </conditionalFormatting>
  <conditionalFormatting sqref="W61">
    <cfRule type="containsText" dxfId="586" priority="112" operator="containsText" text="STOP">
      <formula>NOT(ISERROR(SEARCH("STOP",W61)))</formula>
    </cfRule>
    <cfRule type="containsText" dxfId="585" priority="113" operator="containsText" text="TRAILING">
      <formula>NOT(ISERROR(SEARCH("TRAILING",W61)))</formula>
    </cfRule>
  </conditionalFormatting>
  <conditionalFormatting sqref="Q42:T44">
    <cfRule type="cellIs" dxfId="584" priority="108" operator="equal">
      <formula>0</formula>
    </cfRule>
  </conditionalFormatting>
  <conditionalFormatting sqref="V42:V44">
    <cfRule type="cellIs" dxfId="583" priority="109" operator="lessThan">
      <formula>0</formula>
    </cfRule>
    <cfRule type="cellIs" dxfId="582" priority="110" operator="equal">
      <formula>0</formula>
    </cfRule>
  </conditionalFormatting>
  <conditionalFormatting sqref="G43">
    <cfRule type="cellIs" dxfId="581" priority="106" operator="lessThan">
      <formula>0</formula>
    </cfRule>
  </conditionalFormatting>
  <conditionalFormatting sqref="G42 G44">
    <cfRule type="cellIs" dxfId="580" priority="104" operator="lessThan">
      <formula>0</formula>
    </cfRule>
  </conditionalFormatting>
  <conditionalFormatting sqref="D43">
    <cfRule type="expression" dxfId="579" priority="102">
      <formula>E43&gt;B43</formula>
    </cfRule>
  </conditionalFormatting>
  <conditionalFormatting sqref="C43">
    <cfRule type="expression" dxfId="578" priority="101">
      <formula>B43&gt;E43</formula>
    </cfRule>
  </conditionalFormatting>
  <conditionalFormatting sqref="D42 D44">
    <cfRule type="expression" dxfId="577" priority="100">
      <formula>E42&gt;B42</formula>
    </cfRule>
  </conditionalFormatting>
  <conditionalFormatting sqref="C42 C44">
    <cfRule type="expression" dxfId="576" priority="99">
      <formula>B42&gt;E42</formula>
    </cfRule>
  </conditionalFormatting>
  <conditionalFormatting sqref="A43">
    <cfRule type="expression" dxfId="575" priority="98">
      <formula>V43&lt;&gt;0</formula>
    </cfRule>
  </conditionalFormatting>
  <conditionalFormatting sqref="A42 A44">
    <cfRule type="expression" dxfId="574" priority="97">
      <formula>V42&lt;&gt;0</formula>
    </cfRule>
  </conditionalFormatting>
  <conditionalFormatting sqref="X43">
    <cfRule type="cellIs" dxfId="573" priority="93" operator="equal">
      <formula>0</formula>
    </cfRule>
    <cfRule type="expression" dxfId="572" priority="94">
      <formula>F43*100&lt;X43</formula>
    </cfRule>
    <cfRule type="expression" dxfId="571" priority="95">
      <formula>X43&lt;F43*100</formula>
    </cfRule>
  </conditionalFormatting>
  <conditionalFormatting sqref="X42 X44">
    <cfRule type="cellIs" dxfId="570" priority="90" operator="equal">
      <formula>0</formula>
    </cfRule>
    <cfRule type="expression" dxfId="569" priority="91">
      <formula>F42*100&lt;X42</formula>
    </cfRule>
    <cfRule type="expression" dxfId="568" priority="92">
      <formula>X42&lt;F42*100</formula>
    </cfRule>
  </conditionalFormatting>
  <conditionalFormatting sqref="W42:W44">
    <cfRule type="cellIs" dxfId="567" priority="89" operator="equal">
      <formula>0</formula>
    </cfRule>
  </conditionalFormatting>
  <conditionalFormatting sqref="W42">
    <cfRule type="containsText" dxfId="566" priority="87" operator="containsText" text="STOP">
      <formula>NOT(ISERROR(SEARCH("STOP",W42)))</formula>
    </cfRule>
    <cfRule type="containsText" dxfId="565" priority="88" operator="containsText" text="TRAILING">
      <formula>NOT(ISERROR(SEARCH("TRAILING",W42)))</formula>
    </cfRule>
  </conditionalFormatting>
  <conditionalFormatting sqref="W43">
    <cfRule type="containsText" dxfId="564" priority="85" operator="containsText" text="STOP">
      <formula>NOT(ISERROR(SEARCH("STOP",W43)))</formula>
    </cfRule>
    <cfRule type="containsText" dxfId="563" priority="86" operator="containsText" text="TRAILING">
      <formula>NOT(ISERROR(SEARCH("TRAILING",W43)))</formula>
    </cfRule>
  </conditionalFormatting>
  <conditionalFormatting sqref="W44">
    <cfRule type="containsText" dxfId="562" priority="83" operator="containsText" text="STOP">
      <formula>NOT(ISERROR(SEARCH("STOP",W44)))</formula>
    </cfRule>
    <cfRule type="containsText" dxfId="561" priority="84" operator="containsText" text="TRAILING">
      <formula>NOT(ISERROR(SEARCH("TRAILING",W44)))</formula>
    </cfRule>
  </conditionalFormatting>
  <conditionalFormatting sqref="Q57:T59">
    <cfRule type="cellIs" dxfId="560" priority="79" operator="equal">
      <formula>0</formula>
    </cfRule>
  </conditionalFormatting>
  <conditionalFormatting sqref="V57:V59">
    <cfRule type="cellIs" dxfId="559" priority="80" operator="lessThan">
      <formula>0</formula>
    </cfRule>
    <cfRule type="cellIs" dxfId="558" priority="81" operator="equal">
      <formula>0</formula>
    </cfRule>
  </conditionalFormatting>
  <conditionalFormatting sqref="Y57:Z59">
    <cfRule type="cellIs" dxfId="557" priority="82" operator="equal">
      <formula>0</formula>
    </cfRule>
  </conditionalFormatting>
  <conditionalFormatting sqref="G58">
    <cfRule type="cellIs" dxfId="556" priority="77" operator="lessThan">
      <formula>0</formula>
    </cfRule>
  </conditionalFormatting>
  <conditionalFormatting sqref="G57 G59">
    <cfRule type="cellIs" dxfId="555" priority="75" operator="lessThan">
      <formula>0</formula>
    </cfRule>
  </conditionalFormatting>
  <conditionalFormatting sqref="D58">
    <cfRule type="expression" dxfId="554" priority="73">
      <formula>E58&gt;B58</formula>
    </cfRule>
  </conditionalFormatting>
  <conditionalFormatting sqref="C58">
    <cfRule type="expression" dxfId="553" priority="72">
      <formula>B58&gt;E58</formula>
    </cfRule>
  </conditionalFormatting>
  <conditionalFormatting sqref="D57 D59">
    <cfRule type="expression" dxfId="552" priority="71">
      <formula>E57&gt;B57</formula>
    </cfRule>
  </conditionalFormatting>
  <conditionalFormatting sqref="C57 C59">
    <cfRule type="expression" dxfId="551" priority="70">
      <formula>B57&gt;E57</formula>
    </cfRule>
  </conditionalFormatting>
  <conditionalFormatting sqref="A58">
    <cfRule type="expression" dxfId="550" priority="69">
      <formula>V58&lt;&gt;0</formula>
    </cfRule>
  </conditionalFormatting>
  <conditionalFormatting sqref="A57 A59">
    <cfRule type="expression" dxfId="549" priority="68">
      <formula>V57&lt;&gt;0</formula>
    </cfRule>
  </conditionalFormatting>
  <conditionalFormatting sqref="X58">
    <cfRule type="cellIs" dxfId="548" priority="65" operator="equal">
      <formula>0</formula>
    </cfRule>
    <cfRule type="expression" dxfId="547" priority="66">
      <formula>F58*100&lt;X58</formula>
    </cfRule>
    <cfRule type="expression" dxfId="546" priority="67">
      <formula>X58&lt;F58*100</formula>
    </cfRule>
  </conditionalFormatting>
  <conditionalFormatting sqref="X57 X59">
    <cfRule type="cellIs" dxfId="545" priority="62" operator="equal">
      <formula>0</formula>
    </cfRule>
    <cfRule type="expression" dxfId="544" priority="63">
      <formula>F57*100&lt;X57</formula>
    </cfRule>
    <cfRule type="expression" dxfId="543" priority="64">
      <formula>X57&lt;F57*100</formula>
    </cfRule>
  </conditionalFormatting>
  <conditionalFormatting sqref="W57:W59">
    <cfRule type="cellIs" dxfId="542" priority="61" operator="equal">
      <formula>0</formula>
    </cfRule>
  </conditionalFormatting>
  <conditionalFormatting sqref="W57">
    <cfRule type="containsText" dxfId="541" priority="59" operator="containsText" text="STOP">
      <formula>NOT(ISERROR(SEARCH("STOP",W57)))</formula>
    </cfRule>
    <cfRule type="containsText" dxfId="540" priority="60" operator="containsText" text="TRAILING">
      <formula>NOT(ISERROR(SEARCH("TRAILING",W57)))</formula>
    </cfRule>
  </conditionalFormatting>
  <conditionalFormatting sqref="W58">
    <cfRule type="containsText" dxfId="539" priority="57" operator="containsText" text="STOP">
      <formula>NOT(ISERROR(SEARCH("STOP",W58)))</formula>
    </cfRule>
    <cfRule type="containsText" dxfId="538" priority="58" operator="containsText" text="TRAILING">
      <formula>NOT(ISERROR(SEARCH("TRAILING",W58)))</formula>
    </cfRule>
  </conditionalFormatting>
  <conditionalFormatting sqref="W59">
    <cfRule type="containsText" dxfId="537" priority="55" operator="containsText" text="STOP">
      <formula>NOT(ISERROR(SEARCH("STOP",W59)))</formula>
    </cfRule>
    <cfRule type="containsText" dxfId="536" priority="56" operator="containsText" text="TRAILING">
      <formula>NOT(ISERROR(SEARCH("TRAILING",W59)))</formula>
    </cfRule>
  </conditionalFormatting>
  <conditionalFormatting sqref="B45">
    <cfRule type="cellIs" dxfId="535" priority="51" operator="greaterThan">
      <formula>E45</formula>
    </cfRule>
  </conditionalFormatting>
  <conditionalFormatting sqref="B46">
    <cfRule type="cellIs" dxfId="534" priority="50" operator="greaterThan">
      <formula>E46</formula>
    </cfRule>
  </conditionalFormatting>
  <conditionalFormatting sqref="B47 B49 B51 B53 B55 B57 B59">
    <cfRule type="cellIs" dxfId="533" priority="49" operator="greaterThan">
      <formula>E47</formula>
    </cfRule>
  </conditionalFormatting>
  <conditionalFormatting sqref="B48 B50 B52 B54 B56 B58">
    <cfRule type="cellIs" dxfId="532" priority="48" operator="greaterThan">
      <formula>E48</formula>
    </cfRule>
  </conditionalFormatting>
  <conditionalFormatting sqref="E45">
    <cfRule type="cellIs" dxfId="531" priority="47" operator="greaterThan">
      <formula>B45</formula>
    </cfRule>
  </conditionalFormatting>
  <conditionalFormatting sqref="E46">
    <cfRule type="cellIs" dxfId="530" priority="46" operator="greaterThan">
      <formula>B46</formula>
    </cfRule>
  </conditionalFormatting>
  <conditionalFormatting sqref="E47 E49 E51 E55 E57 E59">
    <cfRule type="cellIs" dxfId="529" priority="45" operator="greaterThan">
      <formula>B47</formula>
    </cfRule>
  </conditionalFormatting>
  <conditionalFormatting sqref="E48 E50 E52 E54 E56 E58">
    <cfRule type="cellIs" dxfId="528" priority="44" operator="greaterThan">
      <formula>B48</formula>
    </cfRule>
  </conditionalFormatting>
  <conditionalFormatting sqref="E53">
    <cfRule type="cellIs" dxfId="527" priority="43" operator="greaterThan">
      <formula>H53</formula>
    </cfRule>
  </conditionalFormatting>
  <conditionalFormatting sqref="B30">
    <cfRule type="cellIs" dxfId="526" priority="42" operator="greaterThan">
      <formula>E30</formula>
    </cfRule>
  </conditionalFormatting>
  <conditionalFormatting sqref="B31">
    <cfRule type="cellIs" dxfId="525" priority="41" operator="greaterThan">
      <formula>E31</formula>
    </cfRule>
  </conditionalFormatting>
  <conditionalFormatting sqref="B32 B34 B36 B38 B40 B42 B44">
    <cfRule type="cellIs" dxfId="524" priority="40" operator="greaterThan">
      <formula>E32</formula>
    </cfRule>
  </conditionalFormatting>
  <conditionalFormatting sqref="B33 B35 B37 B39 B41 B43">
    <cfRule type="cellIs" dxfId="523" priority="39" operator="greaterThan">
      <formula>E33</formula>
    </cfRule>
  </conditionalFormatting>
  <conditionalFormatting sqref="E30">
    <cfRule type="cellIs" dxfId="522" priority="38" operator="greaterThan">
      <formula>B30</formula>
    </cfRule>
  </conditionalFormatting>
  <conditionalFormatting sqref="E31">
    <cfRule type="cellIs" dxfId="521" priority="37" operator="greaterThan">
      <formula>B31</formula>
    </cfRule>
  </conditionalFormatting>
  <conditionalFormatting sqref="E32 E34 E36 E40 E42 E44">
    <cfRule type="cellIs" dxfId="520" priority="36" operator="greaterThan">
      <formula>B32</formula>
    </cfRule>
  </conditionalFormatting>
  <conditionalFormatting sqref="E33 E35 E37 E39 E41 E43">
    <cfRule type="cellIs" dxfId="519" priority="35" operator="greaterThan">
      <formula>B33</formula>
    </cfRule>
  </conditionalFormatting>
  <conditionalFormatting sqref="E38">
    <cfRule type="cellIs" dxfId="518" priority="34" operator="greaterThan">
      <formula>H38</formula>
    </cfRule>
  </conditionalFormatting>
  <conditionalFormatting sqref="M45:M59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517" priority="23" operator="equal">
      <formula>0</formula>
    </cfRule>
    <cfRule type="expression" dxfId="516" priority="24">
      <formula>G35*100&lt;Y35</formula>
    </cfRule>
    <cfRule type="expression" dxfId="515" priority="25">
      <formula>Y35&lt;G35*100</formula>
    </cfRule>
  </conditionalFormatting>
  <conditionalFormatting sqref="Y44:Z44">
    <cfRule type="cellIs" dxfId="514" priority="20" operator="equal">
      <formula>0</formula>
    </cfRule>
    <cfRule type="expression" dxfId="513" priority="21">
      <formula>G44*100&lt;Y44</formula>
    </cfRule>
    <cfRule type="expression" dxfId="512" priority="22">
      <formula>Y44&lt;G44*100</formula>
    </cfRule>
  </conditionalFormatting>
  <conditionalFormatting sqref="Y36:Z36">
    <cfRule type="cellIs" dxfId="511" priority="17" operator="equal">
      <formula>0</formula>
    </cfRule>
    <cfRule type="expression" dxfId="510" priority="18">
      <formula>G36*100&lt;Y36</formula>
    </cfRule>
    <cfRule type="expression" dxfId="509" priority="19">
      <formula>Y36&lt;G36*100</formula>
    </cfRule>
  </conditionalFormatting>
  <conditionalFormatting sqref="Y52:Z52">
    <cfRule type="cellIs" dxfId="508" priority="14" operator="equal">
      <formula>0</formula>
    </cfRule>
    <cfRule type="expression" dxfId="507" priority="15">
      <formula>G52*100&lt;Y52</formula>
    </cfRule>
    <cfRule type="expression" dxfId="506" priority="16">
      <formula>Y52&lt;G52*100</formula>
    </cfRule>
  </conditionalFormatting>
  <conditionalFormatting sqref="D26">
    <cfRule type="expression" dxfId="505" priority="13">
      <formula>E26&gt;B26</formula>
    </cfRule>
  </conditionalFormatting>
  <conditionalFormatting sqref="C26">
    <cfRule type="expression" dxfId="504" priority="12">
      <formula>B26&gt;E26</formula>
    </cfRule>
  </conditionalFormatting>
  <conditionalFormatting sqref="Y43:Z43">
    <cfRule type="cellIs" dxfId="503" priority="9" operator="equal">
      <formula>0</formula>
    </cfRule>
    <cfRule type="expression" dxfId="502" priority="10">
      <formula>G43*100&lt;Y43</formula>
    </cfRule>
    <cfRule type="expression" dxfId="501" priority="11">
      <formula>Y43&lt;G43*100</formula>
    </cfRule>
  </conditionalFormatting>
  <conditionalFormatting sqref="Y42:Z42">
    <cfRule type="cellIs" dxfId="500" priority="6" operator="equal">
      <formula>0</formula>
    </cfRule>
    <cfRule type="expression" dxfId="499" priority="7">
      <formula>G42*100&lt;Y42</formula>
    </cfRule>
    <cfRule type="expression" dxfId="498" priority="8">
      <formula>Y42&lt;G42*100</formula>
    </cfRule>
  </conditionalFormatting>
  <conditionalFormatting sqref="A26">
    <cfRule type="expression" dxfId="497" priority="1">
      <formula>V26&lt;&gt;0</formula>
    </cfRule>
  </conditionalFormatting>
  <conditionalFormatting sqref="A26">
    <cfRule type="expression" dxfId="496" priority="2">
      <formula>$V22&lt;&gt;0</formula>
    </cfRule>
    <cfRule type="expression" dxfId="495" priority="3">
      <formula>IF($Y17&gt;$Y26,AND(MID($A26,5,1)=" "))</formula>
    </cfRule>
    <cfRule type="expression" dxfId="494" priority="4">
      <formula>IF($Y17&gt;$Y26,AND(MID($A26,5,1)="C"))</formula>
    </cfRule>
    <cfRule type="expression" dxfId="493" priority="5">
      <formula>IF($Y17&gt;$Y26,AND(MID($A26,5,1)="D"))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627</v>
      </c>
      <c r="W2" s="766" t="s">
        <v>355</v>
      </c>
      <c r="X2" s="767" t="s">
        <v>356</v>
      </c>
      <c r="Y2" s="766" t="s">
        <v>357</v>
      </c>
      <c r="Z2" s="266" t="s">
        <v>627</v>
      </c>
      <c r="AA2" s="793" t="s">
        <v>358</v>
      </c>
      <c r="AB2" s="792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627</v>
      </c>
      <c r="AI2" s="766" t="s">
        <v>355</v>
      </c>
      <c r="AJ2" s="767" t="s">
        <v>356</v>
      </c>
      <c r="AK2" s="766" t="s">
        <v>357</v>
      </c>
      <c r="AL2" s="266" t="s">
        <v>627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27" t="s">
        <v>401</v>
      </c>
      <c r="B3" s="204">
        <v>4</v>
      </c>
      <c r="C3" s="201">
        <v>2400</v>
      </c>
      <c r="D3" s="739">
        <v>400</v>
      </c>
      <c r="E3" s="740">
        <f t="shared" ref="E3:E72" si="0">+B3*D3*-100</f>
        <v>-160000</v>
      </c>
      <c r="F3" s="741">
        <f t="shared" ref="F3:F34" si="1">IF(B3&gt;0,+B3*D3*(1+($N$53+0.002)*1.21)*-100,B3*D3*(1-($N$53+0.002)*1.21)*-100)</f>
        <v>-161393.92000000001</v>
      </c>
      <c r="G3" s="203">
        <f t="shared" ref="G3:G37" si="2">IFERROR(VLOOKUP(C3,$R$3:$AA$50,7,0),"")</f>
        <v>302</v>
      </c>
      <c r="H3" s="745">
        <f>IFERROR(+G3*B3*-100,0)</f>
        <v>-120800</v>
      </c>
      <c r="I3" s="746">
        <f t="shared" ref="I3:I72" si="3">+IF(G3="",0,(F3-H3))</f>
        <v>-40593.920000000013</v>
      </c>
      <c r="J3" s="62"/>
      <c r="K3" s="106"/>
      <c r="L3" s="216">
        <f t="shared" ref="L3:L17" si="4">+L4*(1-$N$42)</f>
        <v>1083.1748961135024</v>
      </c>
      <c r="M3" s="768">
        <f t="shared" ref="M3:M34" si="5">ET3</f>
        <v>272681.71999999997</v>
      </c>
      <c r="N3" s="768">
        <f t="shared" ref="N3:N34" ca="1" si="6">GK3</f>
        <v>-50683.3</v>
      </c>
      <c r="O3" s="62"/>
      <c r="P3" s="199">
        <f>IF(R3="","-",ABS(R3-$L$18))</f>
        <v>62</v>
      </c>
      <c r="Q3" s="737">
        <f t="shared" ref="Q3:Q17" si="7">SUMIFS(B$3:B$37,C$3:C$37,R3)</f>
        <v>4</v>
      </c>
      <c r="R3" s="736">
        <v>2400</v>
      </c>
      <c r="S3" s="730">
        <f ca="1">IFERROR((NORMSDIST(((LN($L$18/$R3)+($N$48+($N$46^2)/2)*$N$51)/($N$46*SQRT($N$51))))*$L$18-NORMSDIST((((LN($L$18/$R3)+($N$48+($N$46^2)/2)*$N$51)/($N$46*SQRT($N$51)))-$N$46*SQRT(($N$51))))*$R3*EXP(-$N$48*$N$51)),0)</f>
        <v>319.93009165327953</v>
      </c>
      <c r="T3" s="44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1">
        <f>IFERROR(VLOOKUP($U3,HomeBroker!$A$18:$F$121,2,0),0)</f>
        <v>100</v>
      </c>
      <c r="W3" s="733">
        <f>IFERROR(VLOOKUP($U3,HomeBroker!$A$18:$F$121,3,0),0)</f>
        <v>290</v>
      </c>
      <c r="X3" s="785">
        <f>IFERROR(VLOOKUP($U3,HomeBroker!$A$18:$F$121,6,0),0)</f>
        <v>302</v>
      </c>
      <c r="Y3" s="732">
        <f>IFERROR(VLOOKUP($U3,HomeBroker!$A$18:$F$121,4,0),0)</f>
        <v>302</v>
      </c>
      <c r="Z3" s="441">
        <f>IFERROR(VLOOKUP($U3,HomeBroker!$A$18:$F$121,5,0),0)</f>
        <v>48</v>
      </c>
      <c r="AA3" s="444">
        <f>IFERROR(VLOOKUP($U3,HomeBroker!$A$18:$N$121,13,0),0)</f>
        <v>4349</v>
      </c>
      <c r="AB3" s="200">
        <f>IF(AD3="","-",AD3-$L$18)</f>
        <v>-988</v>
      </c>
      <c r="AC3" s="738">
        <f t="shared" ref="AC3:AC17" si="9">SUMIFS(B$38:B$72,C$38:C$72,AD3)</f>
        <v>0</v>
      </c>
      <c r="AD3" s="736">
        <v>1350</v>
      </c>
      <c r="AE3" s="731">
        <f ca="1">IFERROR((NORMSDIST(-(((LN($L$18/$AD3)+($N$48+($N$47^2)/2)*$N$51)/($N$47*SQRT($N$51)))-$N$47*SQRT($N$51)))*$AD3*EXP(-$N$48*$N$51)-NORMSDIST(-((LN($L$18/$AD3)+($N$48+($N$47^2)/2)*$N$51)/($N$47*SQRT($N$51))))*$L$18),0)</f>
        <v>0.67719345188371971</v>
      </c>
      <c r="AF3" s="44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1">
        <f>IFERROR(VLOOKUP($AG3,HomeBroker!$A$18:$F$121,2,0),0)</f>
        <v>52</v>
      </c>
      <c r="AI3" s="733">
        <f>IFERROR(VLOOKUP($AG3,HomeBroker!$A$18:$F$121,3,0),0)</f>
        <v>0.32</v>
      </c>
      <c r="AJ3" s="785">
        <f>IFERROR(VLOOKUP($AG3,HomeBroker!$A$18:$F$121,6,0),0)</f>
        <v>0.52</v>
      </c>
      <c r="AK3" s="733">
        <f>IFERROR(VLOOKUP($AG3,HomeBroker!$A$18:$F$121,4,0),0)</f>
        <v>0.98</v>
      </c>
      <c r="AL3" s="601">
        <f>IFERROR(VLOOKUP($AG3,HomeBroker!$A$18:$F$121,5,0),0)</f>
        <v>20</v>
      </c>
      <c r="AM3" s="734">
        <f>IFERROR(VLOOKUP($AG3,HomeBroker!$A$18:$N$121,13,0),0)</f>
        <v>417</v>
      </c>
      <c r="AN3" s="62"/>
      <c r="AO3" s="199">
        <f>IF(OR(R3="",X3=0,AJ3=0),"-",R3+X3-AJ3-$L$18)</f>
        <v>363.48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1083.1748961135024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-50683.296000000024</v>
      </c>
      <c r="ES3" s="122"/>
      <c r="ET3" s="123">
        <f t="shared" ref="ET3:ET34" si="54">ROUND($ER$3+EP3+ET36+ET70+ET103,2)</f>
        <v>272681.71999999997</v>
      </c>
      <c r="EU3" s="72"/>
      <c r="EV3" s="117">
        <f t="shared" ref="EV3:EV34" si="55">$L3</f>
        <v>1083.1748961135024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-50683.296000000024</v>
      </c>
      <c r="GJ3" s="122"/>
      <c r="GK3" s="123">
        <f t="shared" ref="GK3:GK34" ca="1" si="57">ROUND($GI$3+GG3+GK36+GK70+GK103,2)</f>
        <v>-50683.3</v>
      </c>
    </row>
    <row r="4" spans="1:193" ht="15">
      <c r="A4" s="727" t="s">
        <v>401</v>
      </c>
      <c r="B4" s="204">
        <v>-4</v>
      </c>
      <c r="C4" s="201">
        <v>2500</v>
      </c>
      <c r="D4" s="739">
        <v>325</v>
      </c>
      <c r="E4" s="740">
        <f t="shared" si="0"/>
        <v>130000</v>
      </c>
      <c r="F4" s="741">
        <f t="shared" si="1"/>
        <v>128867.43999999999</v>
      </c>
      <c r="G4" s="203">
        <f t="shared" si="2"/>
        <v>245.5</v>
      </c>
      <c r="H4" s="745">
        <f t="shared" ref="H4:H67" si="58">IFERROR(+G4*B4*-100,0)</f>
        <v>98200</v>
      </c>
      <c r="I4" s="746">
        <f t="shared" si="3"/>
        <v>30667.439999999988</v>
      </c>
      <c r="J4" s="62"/>
      <c r="K4" s="106"/>
      <c r="L4" s="217">
        <f t="shared" si="4"/>
        <v>1140.1841011721078</v>
      </c>
      <c r="M4" s="769">
        <f t="shared" si="5"/>
        <v>261279.88</v>
      </c>
      <c r="N4" s="769">
        <f t="shared" ca="1" si="6"/>
        <v>-50683.3</v>
      </c>
      <c r="O4" s="62"/>
      <c r="P4" s="199">
        <f t="shared" ref="P4:P17" si="59">IF(R4="","-",ABS(R4-$L$18))</f>
        <v>162</v>
      </c>
      <c r="Q4" s="737">
        <f t="shared" si="7"/>
        <v>-4</v>
      </c>
      <c r="R4" s="736">
        <v>2500</v>
      </c>
      <c r="S4" s="73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266.65823910307472</v>
      </c>
      <c r="T4" s="44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3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1">
        <f>IFERROR(VLOOKUP($U4,HomeBroker!$A$18:$F$121,2,0),0)</f>
        <v>9</v>
      </c>
      <c r="W4" s="733">
        <f>IFERROR(VLOOKUP($U4,HomeBroker!$A$18:$F$121,3,0),0)</f>
        <v>238</v>
      </c>
      <c r="X4" s="785">
        <f>IFERROR(VLOOKUP($U4,HomeBroker!$A$18:$F$121,6,0),0)</f>
        <v>245.5</v>
      </c>
      <c r="Y4" s="732">
        <f>IFERROR(VLOOKUP($U4,HomeBroker!$A$18:$F$121,4,0),0)</f>
        <v>245.89</v>
      </c>
      <c r="Z4" s="441">
        <f>IFERROR(VLOOKUP($U4,HomeBroker!$A$18:$F$121,5,0),0)</f>
        <v>3</v>
      </c>
      <c r="AA4" s="444">
        <f>IFERROR(VLOOKUP($U4,HomeBroker!$A$18:$N$121,13,0),0)</f>
        <v>7599</v>
      </c>
      <c r="AB4" s="200">
        <f t="shared" ref="AB4:AB17" si="63">IF(AD4="","-",AD4-$L$18)</f>
        <v>-888</v>
      </c>
      <c r="AC4" s="738">
        <f t="shared" si="9"/>
        <v>0</v>
      </c>
      <c r="AD4" s="736">
        <v>1450</v>
      </c>
      <c r="AE4" s="73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1.6145578979942812</v>
      </c>
      <c r="AF4" s="44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1">
        <f>IFERROR(VLOOKUP($AG4,HomeBroker!$A$18:$F$121,2,0),0)</f>
        <v>3</v>
      </c>
      <c r="AI4" s="733">
        <f>IFERROR(VLOOKUP($AG4,HomeBroker!$A$18:$F$121,3,0),0)</f>
        <v>0.73</v>
      </c>
      <c r="AJ4" s="785">
        <f>IFERROR(VLOOKUP($AG4,HomeBroker!$A$18:$F$121,6,0),0)</f>
        <v>0.81100000000000005</v>
      </c>
      <c r="AK4" s="733">
        <f>IFERROR(VLOOKUP($AG4,HomeBroker!$A$18:$F$121,4,0),0)</f>
        <v>0.99</v>
      </c>
      <c r="AL4" s="601">
        <f>IFERROR(VLOOKUP($AG4,HomeBroker!$A$18:$F$121,5,0),0)</f>
        <v>86</v>
      </c>
      <c r="AM4" s="735">
        <f>IFERROR(VLOOKUP($AG4,HomeBroker!$A$18:$N$121,13,0),0)</f>
        <v>1303</v>
      </c>
      <c r="AN4" s="62"/>
      <c r="AO4" s="199">
        <f t="shared" ref="AO4:AO42" si="67">IF(OR(R4="",X4=0,AJ4=0),"-",R4+X4-AJ4-$L$18)</f>
        <v>406.68899999999985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1140.1841011721078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261279.88</v>
      </c>
      <c r="EU4" s="72"/>
      <c r="EV4" s="117">
        <f t="shared" si="55"/>
        <v>1140.1841011721078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-50683.3</v>
      </c>
    </row>
    <row r="5" spans="1:193" ht="15">
      <c r="A5" s="727" t="s">
        <v>401</v>
      </c>
      <c r="B5" s="204"/>
      <c r="C5" s="201"/>
      <c r="D5" s="739"/>
      <c r="E5" s="740">
        <f t="shared" si="0"/>
        <v>0</v>
      </c>
      <c r="F5" s="741">
        <f t="shared" si="1"/>
        <v>0</v>
      </c>
      <c r="G5" s="203" t="str">
        <f t="shared" si="2"/>
        <v/>
      </c>
      <c r="H5" s="745">
        <f t="shared" si="58"/>
        <v>0</v>
      </c>
      <c r="I5" s="746">
        <f t="shared" si="3"/>
        <v>0</v>
      </c>
      <c r="J5" s="62"/>
      <c r="K5" s="106"/>
      <c r="L5" s="217">
        <f t="shared" si="4"/>
        <v>1200.1937907074821</v>
      </c>
      <c r="M5" s="769">
        <f t="shared" si="5"/>
        <v>249277.95</v>
      </c>
      <c r="N5" s="769">
        <f t="shared" ca="1" si="6"/>
        <v>-50683.3</v>
      </c>
      <c r="O5" s="62"/>
      <c r="P5" s="199">
        <f t="shared" si="59"/>
        <v>262</v>
      </c>
      <c r="Q5" s="737">
        <f t="shared" si="7"/>
        <v>0</v>
      </c>
      <c r="R5" s="736">
        <v>2600</v>
      </c>
      <c r="S5" s="730">
        <f t="shared" ca="1" si="60"/>
        <v>219.87815682461905</v>
      </c>
      <c r="T5" s="443" t="str">
        <f t="shared" si="61"/>
        <v>MERV - XMEV - GFGC2600AB - 24hs</v>
      </c>
      <c r="U5" s="443" t="str">
        <f t="shared" si="62"/>
        <v>GFGC2600AB</v>
      </c>
      <c r="V5" s="441">
        <f>IFERROR(VLOOKUP($U5,HomeBroker!$A$18:$F$121,2,0),0)</f>
        <v>56</v>
      </c>
      <c r="W5" s="733">
        <f>IFERROR(VLOOKUP($U5,HomeBroker!$A$18:$F$121,3,0),0)</f>
        <v>190</v>
      </c>
      <c r="X5" s="785">
        <f>IFERROR(VLOOKUP($U5,HomeBroker!$A$18:$F$121,6,0),0)</f>
        <v>193</v>
      </c>
      <c r="Y5" s="732">
        <f>IFERROR(VLOOKUP($U5,HomeBroker!$A$18:$F$121,4,0),0)</f>
        <v>199</v>
      </c>
      <c r="Z5" s="441">
        <f>IFERROR(VLOOKUP($U5,HomeBroker!$A$18:$F$121,5,0),0)</f>
        <v>2</v>
      </c>
      <c r="AA5" s="444">
        <f>IFERROR(VLOOKUP($U5,HomeBroker!$A$18:$N$121,13,0),0)</f>
        <v>4731</v>
      </c>
      <c r="AB5" s="200">
        <f t="shared" si="63"/>
        <v>-698</v>
      </c>
      <c r="AC5" s="738">
        <f t="shared" si="9"/>
        <v>0</v>
      </c>
      <c r="AD5" s="736">
        <v>1640</v>
      </c>
      <c r="AE5" s="731">
        <f t="shared" ca="1" si="64"/>
        <v>6.2325419873362691</v>
      </c>
      <c r="AF5" s="443" t="str">
        <f t="shared" si="65"/>
        <v>MERV - XMEV - GFGV1640AB - 24hs</v>
      </c>
      <c r="AG5" s="443" t="str">
        <f t="shared" si="66"/>
        <v>GFGV1640AB</v>
      </c>
      <c r="AH5" s="601">
        <f>IFERROR(VLOOKUP($AG5,HomeBroker!$A$18:$F$121,2,0),0)</f>
        <v>25</v>
      </c>
      <c r="AI5" s="733">
        <f>IFERROR(VLOOKUP($AG5,HomeBroker!$A$18:$F$121,3,0),0)</f>
        <v>1.02</v>
      </c>
      <c r="AJ5" s="785">
        <f>IFERROR(VLOOKUP($AG5,HomeBroker!$A$18:$F$121,6,0),0)</f>
        <v>1.6</v>
      </c>
      <c r="AK5" s="733">
        <f>IFERROR(VLOOKUP($AG5,HomeBroker!$A$18:$F$121,4,0),0)</f>
        <v>2.19</v>
      </c>
      <c r="AL5" s="601">
        <f>IFERROR(VLOOKUP($AG5,HomeBroker!$A$18:$F$121,5,0),0)</f>
        <v>34</v>
      </c>
      <c r="AM5" s="735">
        <f>IFERROR(VLOOKUP($AG5,HomeBroker!$A$18:$N$121,13,0),0)</f>
        <v>686</v>
      </c>
      <c r="AN5" s="62"/>
      <c r="AO5" s="199">
        <f t="shared" si="67"/>
        <v>453.40000000000009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1200.1937907074821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249277.95</v>
      </c>
      <c r="EU5" s="72"/>
      <c r="EV5" s="117">
        <f t="shared" si="55"/>
        <v>1200.1937907074821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-50683.3</v>
      </c>
    </row>
    <row r="6" spans="1:193" ht="15">
      <c r="A6" s="727" t="s">
        <v>401</v>
      </c>
      <c r="B6" s="204"/>
      <c r="C6" s="201"/>
      <c r="D6" s="739"/>
      <c r="E6" s="740">
        <f t="shared" si="0"/>
        <v>0</v>
      </c>
      <c r="F6" s="741">
        <f t="shared" si="1"/>
        <v>0</v>
      </c>
      <c r="G6" s="203" t="str">
        <f t="shared" si="2"/>
        <v/>
      </c>
      <c r="H6" s="745">
        <f t="shared" si="58"/>
        <v>0</v>
      </c>
      <c r="I6" s="746">
        <f t="shared" si="3"/>
        <v>0</v>
      </c>
      <c r="J6" s="62"/>
      <c r="K6" s="106"/>
      <c r="L6" s="217">
        <f t="shared" si="4"/>
        <v>1263.3618849552445</v>
      </c>
      <c r="M6" s="770">
        <f t="shared" si="5"/>
        <v>236644.33</v>
      </c>
      <c r="N6" s="770">
        <f t="shared" ca="1" si="6"/>
        <v>-50683.3</v>
      </c>
      <c r="O6" s="62"/>
      <c r="P6" s="199">
        <f t="shared" si="59"/>
        <v>362</v>
      </c>
      <c r="Q6" s="737">
        <f t="shared" si="7"/>
        <v>0</v>
      </c>
      <c r="R6" s="736">
        <v>2700</v>
      </c>
      <c r="S6" s="730">
        <f t="shared" ca="1" si="60"/>
        <v>179.43241023987173</v>
      </c>
      <c r="T6" s="443" t="str">
        <f t="shared" si="61"/>
        <v>MERV - XMEV - GFGC2700AB - 24hs</v>
      </c>
      <c r="U6" s="443" t="str">
        <f t="shared" si="62"/>
        <v>GFGC2700AB</v>
      </c>
      <c r="V6" s="441">
        <f>IFERROR(VLOOKUP($U6,HomeBroker!$A$18:$F$121,2,0),0)</f>
        <v>3</v>
      </c>
      <c r="W6" s="733">
        <f>IFERROR(VLOOKUP($U6,HomeBroker!$A$18:$F$121,3,0),0)</f>
        <v>158</v>
      </c>
      <c r="X6" s="785">
        <f>IFERROR(VLOOKUP($U6,HomeBroker!$A$18:$F$121,6,0),0)</f>
        <v>167.46600000000001</v>
      </c>
      <c r="Y6" s="732">
        <f>IFERROR(VLOOKUP($U6,HomeBroker!$A$18:$F$121,4,0),0)</f>
        <v>167.46600000000001</v>
      </c>
      <c r="Z6" s="441">
        <f>IFERROR(VLOOKUP($U6,HomeBroker!$A$18:$F$121,5,0),0)</f>
        <v>1</v>
      </c>
      <c r="AA6" s="444">
        <f>IFERROR(VLOOKUP($U6,HomeBroker!$A$18:$N$121,13,0),0)</f>
        <v>1594</v>
      </c>
      <c r="AB6" s="200">
        <f t="shared" si="63"/>
        <v>-628</v>
      </c>
      <c r="AC6" s="738">
        <f t="shared" si="9"/>
        <v>0</v>
      </c>
      <c r="AD6" s="736">
        <v>1710</v>
      </c>
      <c r="AE6" s="731">
        <f t="shared" ca="1" si="64"/>
        <v>9.461829432470438</v>
      </c>
      <c r="AF6" s="443" t="str">
        <f t="shared" si="65"/>
        <v>MERV - XMEV - GFGV1710AB - 24hs</v>
      </c>
      <c r="AG6" s="443" t="str">
        <f t="shared" si="66"/>
        <v>GFGV1710AB</v>
      </c>
      <c r="AH6" s="601">
        <f>IFERROR(VLOOKUP($AG6,HomeBroker!$A$18:$F$121,2,0),0)</f>
        <v>7</v>
      </c>
      <c r="AI6" s="733">
        <f>IFERROR(VLOOKUP($AG6,HomeBroker!$A$18:$F$121,3,0),0)</f>
        <v>1.64</v>
      </c>
      <c r="AJ6" s="785">
        <f>IFERROR(VLOOKUP($AG6,HomeBroker!$A$18:$F$121,6,0),0)</f>
        <v>2.2000000000000002</v>
      </c>
      <c r="AK6" s="733">
        <f>IFERROR(VLOOKUP($AG6,HomeBroker!$A$18:$F$121,4,0),0)</f>
        <v>2.1989999999999998</v>
      </c>
      <c r="AL6" s="601">
        <f>IFERROR(VLOOKUP($AG6,HomeBroker!$A$18:$F$121,5,0),0)</f>
        <v>3</v>
      </c>
      <c r="AM6" s="735">
        <f>IFERROR(VLOOKUP($AG6,HomeBroker!$A$18:$N$121,13,0),0)</f>
        <v>1496</v>
      </c>
      <c r="AN6" s="62"/>
      <c r="AO6" s="199">
        <f t="shared" si="67"/>
        <v>527.26600000000008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1263.3618849552445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236644.33</v>
      </c>
      <c r="EU6" s="72"/>
      <c r="EV6" s="117">
        <f t="shared" si="55"/>
        <v>1263.3618849552445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-50683.3</v>
      </c>
    </row>
    <row r="7" spans="1:193" ht="15">
      <c r="A7" s="727" t="s">
        <v>401</v>
      </c>
      <c r="B7" s="204"/>
      <c r="C7" s="201"/>
      <c r="D7" s="739"/>
      <c r="E7" s="740">
        <f t="shared" si="0"/>
        <v>0</v>
      </c>
      <c r="F7" s="741">
        <f t="shared" si="1"/>
        <v>0</v>
      </c>
      <c r="G7" s="203" t="str">
        <f t="shared" si="2"/>
        <v/>
      </c>
      <c r="H7" s="745">
        <f t="shared" si="58"/>
        <v>0</v>
      </c>
      <c r="I7" s="746">
        <f t="shared" si="3"/>
        <v>0</v>
      </c>
      <c r="J7" s="62"/>
      <c r="K7" s="106">
        <f>IFERROR(-1+(L7/$L$18),"")</f>
        <v>-0.43119990772354033</v>
      </c>
      <c r="L7" s="217">
        <f t="shared" si="4"/>
        <v>1329.8546157423627</v>
      </c>
      <c r="M7" s="769">
        <f t="shared" si="5"/>
        <v>223345.78</v>
      </c>
      <c r="N7" s="769">
        <f t="shared" ca="1" si="6"/>
        <v>-50683.3</v>
      </c>
      <c r="O7" s="62"/>
      <c r="P7" s="199">
        <f t="shared" si="59"/>
        <v>462</v>
      </c>
      <c r="Q7" s="737">
        <f t="shared" si="7"/>
        <v>0</v>
      </c>
      <c r="R7" s="736">
        <v>2800</v>
      </c>
      <c r="S7" s="730">
        <f t="shared" ca="1" si="60"/>
        <v>144.97900402957009</v>
      </c>
      <c r="T7" s="443" t="str">
        <f t="shared" si="61"/>
        <v>MERV - XMEV - GFGC2800AB - 24hs</v>
      </c>
      <c r="U7" s="443" t="str">
        <f t="shared" si="62"/>
        <v>GFGC2800AB</v>
      </c>
      <c r="V7" s="441">
        <f>IFERROR(VLOOKUP($U7,HomeBroker!$A$18:$F$121,2,0),0)</f>
        <v>1</v>
      </c>
      <c r="W7" s="733">
        <f>IFERROR(VLOOKUP($U7,HomeBroker!$A$18:$F$121,3,0),0)</f>
        <v>121</v>
      </c>
      <c r="X7" s="785">
        <f>IFERROR(VLOOKUP($U7,HomeBroker!$A$18:$F$121,6,0),0)</f>
        <v>123</v>
      </c>
      <c r="Y7" s="732">
        <f>IFERROR(VLOOKUP($U7,HomeBroker!$A$18:$F$121,4,0),0)</f>
        <v>129.94999999999999</v>
      </c>
      <c r="Z7" s="441">
        <f>IFERROR(VLOOKUP($U7,HomeBroker!$A$18:$F$121,5,0),0)</f>
        <v>10</v>
      </c>
      <c r="AA7" s="444">
        <f>IFERROR(VLOOKUP($U7,HomeBroker!$A$18:$N$121,13,0),0)</f>
        <v>3691</v>
      </c>
      <c r="AB7" s="200">
        <f t="shared" si="63"/>
        <v>-478</v>
      </c>
      <c r="AC7" s="738">
        <f t="shared" si="9"/>
        <v>0</v>
      </c>
      <c r="AD7" s="736">
        <v>1860</v>
      </c>
      <c r="AE7" s="731">
        <f t="shared" ca="1" si="64"/>
        <v>20.619236903199237</v>
      </c>
      <c r="AF7" s="443" t="str">
        <f t="shared" si="65"/>
        <v>MERV - XMEV - GFGV1860AB - 24hs</v>
      </c>
      <c r="AG7" s="443" t="str">
        <f t="shared" si="66"/>
        <v>GFGV1860AB</v>
      </c>
      <c r="AH7" s="601">
        <f>IFERROR(VLOOKUP($AG7,HomeBroker!$A$18:$F$121,2,0),0)</f>
        <v>89</v>
      </c>
      <c r="AI7" s="733">
        <f>IFERROR(VLOOKUP($AG7,HomeBroker!$A$18:$F$121,3,0),0)</f>
        <v>4.21</v>
      </c>
      <c r="AJ7" s="785">
        <f>IFERROR(VLOOKUP($AG7,HomeBroker!$A$18:$F$121,6,0),0)</f>
        <v>4.21</v>
      </c>
      <c r="AK7" s="733">
        <f>IFERROR(VLOOKUP($AG7,HomeBroker!$A$18:$F$121,4,0),0)</f>
        <v>7.45</v>
      </c>
      <c r="AL7" s="601">
        <f>IFERROR(VLOOKUP($AG7,HomeBroker!$A$18:$F$121,5,0),0)</f>
        <v>2</v>
      </c>
      <c r="AM7" s="735">
        <f>IFERROR(VLOOKUP($AG7,HomeBroker!$A$18:$N$121,13,0),0)</f>
        <v>655</v>
      </c>
      <c r="AN7" s="62"/>
      <c r="AO7" s="199">
        <f t="shared" si="67"/>
        <v>580.79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1329.8546157423627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223345.78</v>
      </c>
      <c r="EU7" s="72"/>
      <c r="EV7" s="117">
        <f t="shared" si="55"/>
        <v>1329.8546157423627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-50683.3</v>
      </c>
    </row>
    <row r="8" spans="1:193" ht="15">
      <c r="A8" s="727" t="s">
        <v>401</v>
      </c>
      <c r="B8" s="204"/>
      <c r="C8" s="201"/>
      <c r="D8" s="739"/>
      <c r="E8" s="740">
        <f t="shared" si="0"/>
        <v>0</v>
      </c>
      <c r="F8" s="741">
        <f t="shared" si="1"/>
        <v>0</v>
      </c>
      <c r="G8" s="203" t="str">
        <f t="shared" si="2"/>
        <v/>
      </c>
      <c r="H8" s="745">
        <f t="shared" si="58"/>
        <v>0</v>
      </c>
      <c r="I8" s="746">
        <f t="shared" si="3"/>
        <v>0</v>
      </c>
      <c r="J8" s="62"/>
      <c r="K8" s="700"/>
      <c r="L8" s="218">
        <f t="shared" si="4"/>
        <v>1399.8469639393293</v>
      </c>
      <c r="M8" s="769">
        <f t="shared" si="5"/>
        <v>209347.31</v>
      </c>
      <c r="N8" s="769">
        <f t="shared" ca="1" si="6"/>
        <v>-50683.3</v>
      </c>
      <c r="O8" s="62"/>
      <c r="P8" s="199">
        <f t="shared" si="59"/>
        <v>562</v>
      </c>
      <c r="Q8" s="737">
        <f t="shared" si="7"/>
        <v>0</v>
      </c>
      <c r="R8" s="736">
        <v>2900</v>
      </c>
      <c r="S8" s="730">
        <f t="shared" ca="1" si="60"/>
        <v>116.04014172441794</v>
      </c>
      <c r="T8" s="443" t="str">
        <f t="shared" si="61"/>
        <v>MERV - XMEV - GFGC2900AB - 24hs</v>
      </c>
      <c r="U8" s="443" t="str">
        <f t="shared" si="62"/>
        <v>GFGC2900AB</v>
      </c>
      <c r="V8" s="441">
        <f>IFERROR(VLOOKUP($U8,HomeBroker!$A$18:$F$121,2,0),0)</f>
        <v>4</v>
      </c>
      <c r="W8" s="733">
        <f>IFERROR(VLOOKUP($U8,HomeBroker!$A$18:$F$121,3,0),0)</f>
        <v>92.3</v>
      </c>
      <c r="X8" s="785">
        <f>IFERROR(VLOOKUP($U8,HomeBroker!$A$18:$F$121,6,0),0)</f>
        <v>98</v>
      </c>
      <c r="Y8" s="732">
        <f>IFERROR(VLOOKUP($U8,HomeBroker!$A$18:$F$121,4,0),0)</f>
        <v>98.9</v>
      </c>
      <c r="Z8" s="441">
        <f>IFERROR(VLOOKUP($U8,HomeBroker!$A$18:$F$121,5,0),0)</f>
        <v>10</v>
      </c>
      <c r="AA8" s="444">
        <f>IFERROR(VLOOKUP($U8,HomeBroker!$A$18:$N$121,13,0),0)</f>
        <v>4418</v>
      </c>
      <c r="AB8" s="200">
        <f t="shared" si="63"/>
        <v>-318</v>
      </c>
      <c r="AC8" s="738">
        <f t="shared" si="9"/>
        <v>0</v>
      </c>
      <c r="AD8" s="736">
        <v>2020</v>
      </c>
      <c r="AE8" s="731">
        <f t="shared" ca="1" si="64"/>
        <v>41.02907018338567</v>
      </c>
      <c r="AF8" s="443" t="str">
        <f t="shared" si="65"/>
        <v>MERV - XMEV - GFGV2020AB - 24hs</v>
      </c>
      <c r="AG8" s="443" t="str">
        <f t="shared" si="66"/>
        <v>GFGV2020AB</v>
      </c>
      <c r="AH8" s="601">
        <f>IFERROR(VLOOKUP($AG8,HomeBroker!$A$18:$F$121,2,0),0)</f>
        <v>77</v>
      </c>
      <c r="AI8" s="733">
        <f>IFERROR(VLOOKUP($AG8,HomeBroker!$A$18:$F$121,3,0),0)</f>
        <v>9</v>
      </c>
      <c r="AJ8" s="785">
        <f>IFERROR(VLOOKUP($AG8,HomeBroker!$A$18:$F$121,6,0),0)</f>
        <v>9</v>
      </c>
      <c r="AK8" s="733">
        <f>IFERROR(VLOOKUP($AG8,HomeBroker!$A$18:$F$121,4,0),0)</f>
        <v>11.4</v>
      </c>
      <c r="AL8" s="601">
        <f>IFERROR(VLOOKUP($AG8,HomeBroker!$A$18:$F$121,5,0),0)</f>
        <v>1</v>
      </c>
      <c r="AM8" s="735">
        <f>IFERROR(VLOOKUP($AG8,HomeBroker!$A$18:$N$121,13,0),0)</f>
        <v>1191</v>
      </c>
      <c r="AN8" s="62"/>
      <c r="AO8" s="199">
        <f t="shared" si="67"/>
        <v>651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1399.8469639393293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209347.31</v>
      </c>
      <c r="EU8" s="72"/>
      <c r="EV8" s="117">
        <f t="shared" si="55"/>
        <v>1399.8469639393293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-50683.3</v>
      </c>
    </row>
    <row r="9" spans="1:193" ht="15">
      <c r="A9" s="727" t="s">
        <v>401</v>
      </c>
      <c r="B9" s="204"/>
      <c r="C9" s="201"/>
      <c r="D9" s="739"/>
      <c r="E9" s="740">
        <f t="shared" si="0"/>
        <v>0</v>
      </c>
      <c r="F9" s="741">
        <f t="shared" si="1"/>
        <v>0</v>
      </c>
      <c r="G9" s="203" t="str">
        <f t="shared" si="2"/>
        <v/>
      </c>
      <c r="H9" s="745">
        <f t="shared" si="58"/>
        <v>0</v>
      </c>
      <c r="I9" s="746">
        <f t="shared" si="3"/>
        <v>0</v>
      </c>
      <c r="J9" s="62"/>
      <c r="K9" s="701"/>
      <c r="L9" s="218">
        <f t="shared" si="4"/>
        <v>1473.5231199361363</v>
      </c>
      <c r="M9" s="770">
        <f t="shared" si="5"/>
        <v>194612.08</v>
      </c>
      <c r="N9" s="770">
        <f t="shared" ca="1" si="6"/>
        <v>-50683.3</v>
      </c>
      <c r="O9" s="62"/>
      <c r="P9" s="199">
        <f t="shared" si="59"/>
        <v>662</v>
      </c>
      <c r="Q9" s="737">
        <f t="shared" si="7"/>
        <v>0</v>
      </c>
      <c r="R9" s="736">
        <v>3000</v>
      </c>
      <c r="S9" s="730">
        <f t="shared" ca="1" si="60"/>
        <v>92.052539269001386</v>
      </c>
      <c r="T9" s="443" t="str">
        <f t="shared" si="61"/>
        <v>MERV - XMEV - GFGC3000AB - 24hs</v>
      </c>
      <c r="U9" s="443" t="str">
        <f t="shared" si="62"/>
        <v>GFGC3000AB</v>
      </c>
      <c r="V9" s="441">
        <f>IFERROR(VLOOKUP($U9,HomeBroker!$A$18:$F$121,2,0),0)</f>
        <v>47</v>
      </c>
      <c r="W9" s="733">
        <f>IFERROR(VLOOKUP($U9,HomeBroker!$A$18:$F$121,3,0),0)</f>
        <v>75</v>
      </c>
      <c r="X9" s="785">
        <f>IFERROR(VLOOKUP($U9,HomeBroker!$A$18:$F$121,6,0),0)</f>
        <v>78</v>
      </c>
      <c r="Y9" s="732">
        <f>IFERROR(VLOOKUP($U9,HomeBroker!$A$18:$F$121,4,0),0)</f>
        <v>76</v>
      </c>
      <c r="Z9" s="441">
        <f>IFERROR(VLOOKUP($U9,HomeBroker!$A$18:$F$121,5,0),0)</f>
        <v>2</v>
      </c>
      <c r="AA9" s="444">
        <f>IFERROR(VLOOKUP($U9,HomeBroker!$A$18:$N$121,13,0),0)</f>
        <v>48643</v>
      </c>
      <c r="AB9" s="200">
        <f t="shared" si="63"/>
        <v>-238</v>
      </c>
      <c r="AC9" s="738">
        <f t="shared" si="9"/>
        <v>0</v>
      </c>
      <c r="AD9" s="736">
        <v>2100</v>
      </c>
      <c r="AE9" s="731">
        <f t="shared" ca="1" si="64"/>
        <v>55.308461378369032</v>
      </c>
      <c r="AF9" s="443" t="str">
        <f t="shared" si="65"/>
        <v>MERV - XMEV - GFGV2100AB - 24hs</v>
      </c>
      <c r="AG9" s="443" t="str">
        <f t="shared" si="66"/>
        <v>GFGV2100AB</v>
      </c>
      <c r="AH9" s="601">
        <f>IFERROR(VLOOKUP($AG9,HomeBroker!$A$18:$F$121,2,0),0)</f>
        <v>1</v>
      </c>
      <c r="AI9" s="733">
        <f>IFERROR(VLOOKUP($AG9,HomeBroker!$A$18:$F$121,3,0),0)</f>
        <v>17.5</v>
      </c>
      <c r="AJ9" s="785">
        <f>IFERROR(VLOOKUP($AG9,HomeBroker!$A$18:$F$121,6,0),0)</f>
        <v>18.39</v>
      </c>
      <c r="AK9" s="733">
        <f>IFERROR(VLOOKUP($AG9,HomeBroker!$A$18:$F$121,4,0),0)</f>
        <v>18.39</v>
      </c>
      <c r="AL9" s="601">
        <f>IFERROR(VLOOKUP($AG9,HomeBroker!$A$18:$F$121,5,0),0)</f>
        <v>18</v>
      </c>
      <c r="AM9" s="735">
        <f>IFERROR(VLOOKUP($AG9,HomeBroker!$A$18:$N$121,13,0),0)</f>
        <v>1585</v>
      </c>
      <c r="AN9" s="62"/>
      <c r="AO9" s="199">
        <f t="shared" si="67"/>
        <v>721.61000000000013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1473.5231199361363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194612.08</v>
      </c>
      <c r="EU9" s="72"/>
      <c r="EV9" s="117">
        <f t="shared" si="55"/>
        <v>1473.5231199361363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-50683.3</v>
      </c>
    </row>
    <row r="10" spans="1:193" ht="15">
      <c r="A10" s="727" t="s">
        <v>401</v>
      </c>
      <c r="B10" s="204"/>
      <c r="C10" s="201"/>
      <c r="D10" s="739"/>
      <c r="E10" s="740">
        <f t="shared" si="0"/>
        <v>0</v>
      </c>
      <c r="F10" s="741">
        <f t="shared" si="1"/>
        <v>0</v>
      </c>
      <c r="G10" s="203" t="str">
        <f t="shared" si="2"/>
        <v/>
      </c>
      <c r="H10" s="745">
        <f t="shared" si="58"/>
        <v>0</v>
      </c>
      <c r="I10" s="746">
        <f t="shared" si="3"/>
        <v>0</v>
      </c>
      <c r="J10" s="62"/>
      <c r="K10" s="701"/>
      <c r="L10" s="218">
        <f t="shared" si="4"/>
        <v>1551.0769683538276</v>
      </c>
      <c r="M10" s="769">
        <f t="shared" si="5"/>
        <v>179101.31</v>
      </c>
      <c r="N10" s="769">
        <f t="shared" ca="1" si="6"/>
        <v>-50683.3</v>
      </c>
      <c r="O10" s="62"/>
      <c r="P10" s="199">
        <f t="shared" si="59"/>
        <v>812</v>
      </c>
      <c r="Q10" s="737">
        <f t="shared" si="7"/>
        <v>0</v>
      </c>
      <c r="R10" s="736">
        <v>3150</v>
      </c>
      <c r="S10" s="730">
        <f t="shared" ca="1" si="60"/>
        <v>64.034802868579845</v>
      </c>
      <c r="T10" s="443" t="str">
        <f t="shared" si="61"/>
        <v>MERV - XMEV - GFGC3150AB - 24hs</v>
      </c>
      <c r="U10" s="443" t="str">
        <f t="shared" si="62"/>
        <v>GFGC3150AB</v>
      </c>
      <c r="V10" s="441">
        <f>IFERROR(VLOOKUP($U10,HomeBroker!$A$18:$F$121,2,0),0)</f>
        <v>1</v>
      </c>
      <c r="W10" s="733">
        <f>IFERROR(VLOOKUP($U10,HomeBroker!$A$18:$F$121,3,0),0)</f>
        <v>46</v>
      </c>
      <c r="X10" s="785">
        <f>IFERROR(VLOOKUP($U10,HomeBroker!$A$18:$F$121,6,0),0)</f>
        <v>47</v>
      </c>
      <c r="Y10" s="732">
        <f>IFERROR(VLOOKUP($U10,HomeBroker!$A$18:$F$121,4,0),0)</f>
        <v>50</v>
      </c>
      <c r="Z10" s="441">
        <f>IFERROR(VLOOKUP($U10,HomeBroker!$A$18:$F$121,5,0),0)</f>
        <v>4</v>
      </c>
      <c r="AA10" s="444">
        <f>IFERROR(VLOOKUP($U10,HomeBroker!$A$18:$N$121,13,0),0)</f>
        <v>1845</v>
      </c>
      <c r="AB10" s="200">
        <f t="shared" si="63"/>
        <v>-138</v>
      </c>
      <c r="AC10" s="738">
        <f t="shared" si="9"/>
        <v>0</v>
      </c>
      <c r="AD10" s="736">
        <v>2200</v>
      </c>
      <c r="AE10" s="731">
        <f t="shared" ca="1" si="64"/>
        <v>77.491445815407076</v>
      </c>
      <c r="AF10" s="443" t="str">
        <f t="shared" si="65"/>
        <v>MERV - XMEV - GFGV2200AB - 24hs</v>
      </c>
      <c r="AG10" s="443" t="str">
        <f t="shared" si="66"/>
        <v>GFGV2200AB</v>
      </c>
      <c r="AH10" s="601">
        <f>IFERROR(VLOOKUP($AG10,HomeBroker!$A$18:$F$121,2,0),0)</f>
        <v>33</v>
      </c>
      <c r="AI10" s="733">
        <f>IFERROR(VLOOKUP($AG10,HomeBroker!$A$18:$F$121,3,0),0)</f>
        <v>31</v>
      </c>
      <c r="AJ10" s="785">
        <f>IFERROR(VLOOKUP($AG10,HomeBroker!$A$18:$F$121,6,0),0)</f>
        <v>32</v>
      </c>
      <c r="AK10" s="733">
        <f>IFERROR(VLOOKUP($AG10,HomeBroker!$A$18:$F$121,4,0),0)</f>
        <v>33.979999999999997</v>
      </c>
      <c r="AL10" s="601">
        <f>IFERROR(VLOOKUP($AG10,HomeBroker!$A$18:$F$121,5,0),0)</f>
        <v>20</v>
      </c>
      <c r="AM10" s="735">
        <f>IFERROR(VLOOKUP($AG10,HomeBroker!$A$18:$N$121,13,0),0)</f>
        <v>8783</v>
      </c>
      <c r="AN10" s="62"/>
      <c r="AO10" s="199">
        <f t="shared" si="67"/>
        <v>827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1551.0769683538276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179101.31</v>
      </c>
      <c r="EU10" s="72"/>
      <c r="EV10" s="117">
        <f t="shared" si="55"/>
        <v>1551.0769683538276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-50683.3</v>
      </c>
    </row>
    <row r="11" spans="1:193" ht="15">
      <c r="A11" s="727" t="s">
        <v>401</v>
      </c>
      <c r="B11" s="204"/>
      <c r="C11" s="201"/>
      <c r="D11" s="739"/>
      <c r="E11" s="740">
        <f t="shared" si="0"/>
        <v>0</v>
      </c>
      <c r="F11" s="741">
        <f t="shared" si="1"/>
        <v>0</v>
      </c>
      <c r="G11" s="203" t="str">
        <f t="shared" si="2"/>
        <v/>
      </c>
      <c r="H11" s="745">
        <f t="shared" si="58"/>
        <v>0</v>
      </c>
      <c r="I11" s="746">
        <f t="shared" si="3"/>
        <v>0</v>
      </c>
      <c r="J11" s="62"/>
      <c r="K11" s="701"/>
      <c r="L11" s="218">
        <f t="shared" si="4"/>
        <v>1632.7125982671871</v>
      </c>
      <c r="M11" s="769">
        <f t="shared" si="5"/>
        <v>162774.18</v>
      </c>
      <c r="N11" s="769">
        <f t="shared" ca="1" si="6"/>
        <v>-50683.3</v>
      </c>
      <c r="O11" s="62"/>
      <c r="P11" s="199">
        <f t="shared" si="59"/>
        <v>962</v>
      </c>
      <c r="Q11" s="737">
        <f t="shared" si="7"/>
        <v>0</v>
      </c>
      <c r="R11" s="736">
        <v>3300</v>
      </c>
      <c r="S11" s="730">
        <f t="shared" ca="1" si="60"/>
        <v>43.790011136774638</v>
      </c>
      <c r="T11" s="443" t="str">
        <f t="shared" si="61"/>
        <v>MERV - XMEV - GFGC3300AB - 24hs</v>
      </c>
      <c r="U11" s="443" t="str">
        <f t="shared" si="62"/>
        <v>GFGC3300AB</v>
      </c>
      <c r="V11" s="441">
        <f>IFERROR(VLOOKUP($U11,HomeBroker!$A$18:$F$121,2,0),0)</f>
        <v>5</v>
      </c>
      <c r="W11" s="733">
        <f>IFERROR(VLOOKUP($U11,HomeBroker!$A$18:$F$121,3,0),0)</f>
        <v>30.1</v>
      </c>
      <c r="X11" s="785">
        <f>IFERROR(VLOOKUP($U11,HomeBroker!$A$18:$F$121,6,0),0)</f>
        <v>32.4</v>
      </c>
      <c r="Y11" s="732">
        <f>IFERROR(VLOOKUP($U11,HomeBroker!$A$18:$F$121,4,0),0)</f>
        <v>38.4</v>
      </c>
      <c r="Z11" s="441">
        <f>IFERROR(VLOOKUP($U11,HomeBroker!$A$18:$F$121,5,0),0)</f>
        <v>1</v>
      </c>
      <c r="AA11" s="444">
        <f>IFERROR(VLOOKUP($U11,HomeBroker!$A$18:$N$121,13,0),0)</f>
        <v>3077</v>
      </c>
      <c r="AB11" s="200">
        <f t="shared" si="63"/>
        <v>-38</v>
      </c>
      <c r="AC11" s="738">
        <f t="shared" si="9"/>
        <v>0</v>
      </c>
      <c r="AD11" s="736">
        <v>2300</v>
      </c>
      <c r="AE11" s="731">
        <f t="shared" ca="1" si="64"/>
        <v>104.82012032458647</v>
      </c>
      <c r="AF11" s="443" t="str">
        <f t="shared" si="65"/>
        <v>MERV - XMEV - GFGV2300AB - 24hs</v>
      </c>
      <c r="AG11" s="443" t="str">
        <f t="shared" si="66"/>
        <v>GFGV2300AB</v>
      </c>
      <c r="AH11" s="601">
        <f>IFERROR(VLOOKUP($AG11,HomeBroker!$A$18:$F$121,2,0),0)</f>
        <v>1</v>
      </c>
      <c r="AI11" s="733">
        <f>IFERROR(VLOOKUP($AG11,HomeBroker!$A$18:$F$121,3,0),0)</f>
        <v>58.500999999999998</v>
      </c>
      <c r="AJ11" s="785">
        <f>IFERROR(VLOOKUP($AG11,HomeBroker!$A$18:$F$121,6,0),0)</f>
        <v>58.5</v>
      </c>
      <c r="AK11" s="733">
        <f>IFERROR(VLOOKUP($AG11,HomeBroker!$A$18:$F$121,4,0),0)</f>
        <v>63.899000000000001</v>
      </c>
      <c r="AL11" s="601">
        <f>IFERROR(VLOOKUP($AG11,HomeBroker!$A$18:$F$121,5,0),0)</f>
        <v>1</v>
      </c>
      <c r="AM11" s="735">
        <f>IFERROR(VLOOKUP($AG11,HomeBroker!$A$18:$N$121,13,0),0)</f>
        <v>8675</v>
      </c>
      <c r="AN11" s="62"/>
      <c r="AO11" s="199">
        <f t="shared" si="67"/>
        <v>935.90000000000009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1632.7125982671871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162774.18</v>
      </c>
      <c r="EU11" s="72"/>
      <c r="EV11" s="117">
        <f t="shared" si="55"/>
        <v>1632.7125982671871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-50683.3</v>
      </c>
    </row>
    <row r="12" spans="1:193" ht="15">
      <c r="A12" s="727" t="s">
        <v>401</v>
      </c>
      <c r="B12" s="204"/>
      <c r="C12" s="201"/>
      <c r="D12" s="739"/>
      <c r="E12" s="740">
        <f t="shared" si="0"/>
        <v>0</v>
      </c>
      <c r="F12" s="741">
        <f t="shared" si="1"/>
        <v>0</v>
      </c>
      <c r="G12" s="203" t="str">
        <f t="shared" si="2"/>
        <v/>
      </c>
      <c r="H12" s="745">
        <f t="shared" si="58"/>
        <v>0</v>
      </c>
      <c r="I12" s="746">
        <f t="shared" si="3"/>
        <v>0</v>
      </c>
      <c r="J12" s="62"/>
      <c r="K12" s="701">
        <f>IFERROR(-1+(L12/$L$18),"")</f>
        <v>-0.2649081093750002</v>
      </c>
      <c r="L12" s="218">
        <f t="shared" si="4"/>
        <v>1718.6448402812496</v>
      </c>
      <c r="M12" s="770">
        <f t="shared" si="5"/>
        <v>145587.74</v>
      </c>
      <c r="N12" s="770">
        <f t="shared" ca="1" si="6"/>
        <v>-50683.3</v>
      </c>
      <c r="O12" s="62"/>
      <c r="P12" s="199">
        <f t="shared" si="59"/>
        <v>1112</v>
      </c>
      <c r="Q12" s="737">
        <f t="shared" si="7"/>
        <v>0</v>
      </c>
      <c r="R12" s="736">
        <v>3450</v>
      </c>
      <c r="S12" s="730">
        <f t="shared" ca="1" si="60"/>
        <v>29.489609443778875</v>
      </c>
      <c r="T12" s="443" t="str">
        <f t="shared" si="61"/>
        <v>MERV - XMEV - GFGC3450AB - 24hs</v>
      </c>
      <c r="U12" s="443" t="str">
        <f t="shared" si="62"/>
        <v>GFGC3450AB</v>
      </c>
      <c r="V12" s="441">
        <f>IFERROR(VLOOKUP($U12,HomeBroker!$A$18:$F$121,2,0),0)</f>
        <v>3</v>
      </c>
      <c r="W12" s="733">
        <f>IFERROR(VLOOKUP($U12,HomeBroker!$A$18:$F$121,3,0),0)</f>
        <v>20</v>
      </c>
      <c r="X12" s="785">
        <f>IFERROR(VLOOKUP($U12,HomeBroker!$A$18:$F$121,6,0),0)</f>
        <v>23</v>
      </c>
      <c r="Y12" s="732">
        <f>IFERROR(VLOOKUP($U12,HomeBroker!$A$18:$F$121,4,0),0)</f>
        <v>23</v>
      </c>
      <c r="Z12" s="441">
        <f>IFERROR(VLOOKUP($U12,HomeBroker!$A$18:$F$121,5,0),0)</f>
        <v>8</v>
      </c>
      <c r="AA12" s="444">
        <f>IFERROR(VLOOKUP($U12,HomeBroker!$A$18:$N$121,13,0),0)</f>
        <v>389</v>
      </c>
      <c r="AB12" s="200">
        <f t="shared" si="63"/>
        <v>62</v>
      </c>
      <c r="AC12" s="738">
        <f t="shared" si="9"/>
        <v>0</v>
      </c>
      <c r="AD12" s="736">
        <v>2400</v>
      </c>
      <c r="AE12" s="731">
        <f t="shared" ca="1" si="64"/>
        <v>137.50536369242911</v>
      </c>
      <c r="AF12" s="443" t="str">
        <f t="shared" si="65"/>
        <v>MERV - XMEV - GFGV2400AB - 24hs</v>
      </c>
      <c r="AG12" s="443" t="str">
        <f t="shared" si="66"/>
        <v>GFGV2400AB</v>
      </c>
      <c r="AH12" s="601">
        <f>IFERROR(VLOOKUP($AG12,HomeBroker!$A$18:$F$121,2,0),0)</f>
        <v>1</v>
      </c>
      <c r="AI12" s="733">
        <f>IFERROR(VLOOKUP($AG12,HomeBroker!$A$18:$F$121,3,0),0)</f>
        <v>95</v>
      </c>
      <c r="AJ12" s="785">
        <f>IFERROR(VLOOKUP($AG12,HomeBroker!$A$18:$F$121,6,0),0)</f>
        <v>97.001000000000005</v>
      </c>
      <c r="AK12" s="733">
        <f>IFERROR(VLOOKUP($AG12,HomeBroker!$A$18:$F$121,4,0),0)</f>
        <v>98.99</v>
      </c>
      <c r="AL12" s="601">
        <f>IFERROR(VLOOKUP($AG12,HomeBroker!$A$18:$F$121,5,0),0)</f>
        <v>4</v>
      </c>
      <c r="AM12" s="735">
        <f>IFERROR(VLOOKUP($AG12,HomeBroker!$A$18:$N$121,13,0),0)</f>
        <v>2628</v>
      </c>
      <c r="AN12" s="62"/>
      <c r="AO12" s="199">
        <f t="shared" si="67"/>
        <v>1037.9989999999998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1718.6448402812496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145587.74</v>
      </c>
      <c r="EU12" s="72"/>
      <c r="EV12" s="117">
        <f t="shared" si="55"/>
        <v>1718.6448402812496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-50683.3</v>
      </c>
    </row>
    <row r="13" spans="1:193" ht="15">
      <c r="A13" s="727" t="s">
        <v>401</v>
      </c>
      <c r="B13" s="204"/>
      <c r="C13" s="201"/>
      <c r="D13" s="739"/>
      <c r="E13" s="740">
        <f t="shared" si="0"/>
        <v>0</v>
      </c>
      <c r="F13" s="741">
        <f t="shared" si="1"/>
        <v>0</v>
      </c>
      <c r="G13" s="203" t="str">
        <f t="shared" si="2"/>
        <v/>
      </c>
      <c r="H13" s="745">
        <f t="shared" si="58"/>
        <v>0</v>
      </c>
      <c r="I13" s="746">
        <f t="shared" si="3"/>
        <v>0</v>
      </c>
      <c r="J13" s="62"/>
      <c r="K13" s="702">
        <f>IFERROR(-1+(L13/$L$18),"")</f>
        <v>-0.22621906250000012</v>
      </c>
      <c r="L13" s="219">
        <f t="shared" si="4"/>
        <v>1809.0998318749996</v>
      </c>
      <c r="M13" s="769">
        <f t="shared" si="5"/>
        <v>127496.74</v>
      </c>
      <c r="N13" s="769">
        <f t="shared" ca="1" si="6"/>
        <v>-50683.3</v>
      </c>
      <c r="O13" s="62"/>
      <c r="P13" s="199">
        <f t="shared" si="59"/>
        <v>1262</v>
      </c>
      <c r="Q13" s="737">
        <f t="shared" si="7"/>
        <v>0</v>
      </c>
      <c r="R13" s="736">
        <v>3600</v>
      </c>
      <c r="S13" s="730">
        <f t="shared" ca="1" si="60"/>
        <v>19.589135290314459</v>
      </c>
      <c r="T13" s="443" t="str">
        <f t="shared" si="61"/>
        <v>MERV - XMEV - GFGC3600AB - 24hs</v>
      </c>
      <c r="U13" s="443" t="str">
        <f t="shared" si="62"/>
        <v>GFGC3600AB</v>
      </c>
      <c r="V13" s="441">
        <f>IFERROR(VLOOKUP($U13,HomeBroker!$A$18:$F$121,2,0),0)</f>
        <v>18</v>
      </c>
      <c r="W13" s="733">
        <f>IFERROR(VLOOKUP($U13,HomeBroker!$A$18:$F$121,3,0),0)</f>
        <v>13</v>
      </c>
      <c r="X13" s="785">
        <f>IFERROR(VLOOKUP($U13,HomeBroker!$A$18:$F$121,6,0),0)</f>
        <v>14.499000000000001</v>
      </c>
      <c r="Y13" s="732">
        <f>IFERROR(VLOOKUP($U13,HomeBroker!$A$18:$F$121,4,0),0)</f>
        <v>17</v>
      </c>
      <c r="Z13" s="441">
        <f>IFERROR(VLOOKUP($U13,HomeBroker!$A$18:$F$121,5,0),0)</f>
        <v>20</v>
      </c>
      <c r="AA13" s="444">
        <f>IFERROR(VLOOKUP($U13,HomeBroker!$A$18:$N$121,13,0),0)</f>
        <v>3617</v>
      </c>
      <c r="AB13" s="200">
        <f t="shared" si="63"/>
        <v>162</v>
      </c>
      <c r="AC13" s="738">
        <f t="shared" si="9"/>
        <v>0</v>
      </c>
      <c r="AD13" s="736">
        <v>2500</v>
      </c>
      <c r="AE13" s="731">
        <f t="shared" ca="1" si="64"/>
        <v>175.60924716391139</v>
      </c>
      <c r="AF13" s="443" t="str">
        <f t="shared" si="65"/>
        <v>MERV - XMEV - GFGV2500AB - 24hs</v>
      </c>
      <c r="AG13" s="443" t="str">
        <f t="shared" si="66"/>
        <v>GFGV2500AB</v>
      </c>
      <c r="AH13" s="601">
        <f>IFERROR(VLOOKUP($AG13,HomeBroker!$A$18:$F$121,2,0),0)</f>
        <v>3</v>
      </c>
      <c r="AI13" s="733">
        <f>IFERROR(VLOOKUP($AG13,HomeBroker!$A$18:$F$121,3,0),0)</f>
        <v>172</v>
      </c>
      <c r="AJ13" s="785">
        <f>IFERROR(VLOOKUP($AG13,HomeBroker!$A$18:$F$121,6,0),0)</f>
        <v>189.999</v>
      </c>
      <c r="AK13" s="733">
        <f>IFERROR(VLOOKUP($AG13,HomeBroker!$A$18:$F$121,4,0),0)</f>
        <v>184</v>
      </c>
      <c r="AL13" s="601">
        <f>IFERROR(VLOOKUP($AG13,HomeBroker!$A$18:$F$121,5,0),0)</f>
        <v>2</v>
      </c>
      <c r="AM13" s="735">
        <f>IFERROR(VLOOKUP($AG13,HomeBroker!$A$18:$N$121,13,0),0)</f>
        <v>718</v>
      </c>
      <c r="AN13" s="62"/>
      <c r="AO13" s="199">
        <f t="shared" si="67"/>
        <v>1086.5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1809.0998318749996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127496.74</v>
      </c>
      <c r="EU13" s="72"/>
      <c r="EV13" s="117">
        <f t="shared" si="55"/>
        <v>1809.0998318749996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-50683.3</v>
      </c>
    </row>
    <row r="14" spans="1:193" ht="15">
      <c r="A14" s="727" t="s">
        <v>401</v>
      </c>
      <c r="B14" s="204"/>
      <c r="C14" s="201"/>
      <c r="D14" s="739"/>
      <c r="E14" s="740">
        <f t="shared" si="0"/>
        <v>0</v>
      </c>
      <c r="F14" s="741">
        <f t="shared" si="1"/>
        <v>0</v>
      </c>
      <c r="G14" s="203" t="str">
        <f t="shared" si="2"/>
        <v/>
      </c>
      <c r="H14" s="745">
        <f t="shared" si="58"/>
        <v>0</v>
      </c>
      <c r="I14" s="746">
        <f t="shared" si="3"/>
        <v>0</v>
      </c>
      <c r="J14" s="62"/>
      <c r="K14" s="703">
        <f>IFERROR(-1+(L14/$L$18),"")</f>
        <v>-0.18549375000000012</v>
      </c>
      <c r="L14" s="219">
        <f t="shared" si="4"/>
        <v>1904.3156124999996</v>
      </c>
      <c r="M14" s="769">
        <f t="shared" si="5"/>
        <v>108453.58</v>
      </c>
      <c r="N14" s="769">
        <f t="shared" ca="1" si="6"/>
        <v>-50683.3</v>
      </c>
      <c r="O14" s="62"/>
      <c r="P14" s="199">
        <f t="shared" si="59"/>
        <v>1412</v>
      </c>
      <c r="Q14" s="737">
        <f t="shared" si="7"/>
        <v>0</v>
      </c>
      <c r="R14" s="736">
        <v>3750</v>
      </c>
      <c r="S14" s="730">
        <f t="shared" ca="1" si="60"/>
        <v>12.855320915334545</v>
      </c>
      <c r="T14" s="443" t="str">
        <f t="shared" si="61"/>
        <v>MERV - XMEV - GFGC3750AB - 24hs</v>
      </c>
      <c r="U14" s="443" t="str">
        <f t="shared" si="62"/>
        <v>GFGC3750AB</v>
      </c>
      <c r="V14" s="441">
        <f>IFERROR(VLOOKUP($U14,HomeBroker!$A$18:$F$121,2,0),0)</f>
        <v>11</v>
      </c>
      <c r="W14" s="733">
        <f>IFERROR(VLOOKUP($U14,HomeBroker!$A$18:$F$121,3,0),0)</f>
        <v>9</v>
      </c>
      <c r="X14" s="785">
        <f>IFERROR(VLOOKUP($U14,HomeBroker!$A$18:$F$121,6,0),0)</f>
        <v>11</v>
      </c>
      <c r="Y14" s="732">
        <f>IFERROR(VLOOKUP($U14,HomeBroker!$A$18:$F$121,4,0),0)</f>
        <v>11.989000000000001</v>
      </c>
      <c r="Z14" s="441">
        <f>IFERROR(VLOOKUP($U14,HomeBroker!$A$18:$F$106,5,0),0)</f>
        <v>20</v>
      </c>
      <c r="AA14" s="444">
        <f>IFERROR(VLOOKUP($U14,HomeBroker!$A$18:$N$121,13,0),0)</f>
        <v>884</v>
      </c>
      <c r="AB14" s="200">
        <f t="shared" si="63"/>
        <v>262</v>
      </c>
      <c r="AC14" s="738">
        <f t="shared" si="9"/>
        <v>0</v>
      </c>
      <c r="AD14" s="736">
        <v>2600</v>
      </c>
      <c r="AE14" s="731">
        <f t="shared" ca="1" si="64"/>
        <v>219.05787586128292</v>
      </c>
      <c r="AF14" s="443" t="str">
        <f t="shared" si="65"/>
        <v>MERV - XMEV - GFGV2600AB - 24hs</v>
      </c>
      <c r="AG14" s="443" t="str">
        <f t="shared" si="66"/>
        <v>GFGV2600AB</v>
      </c>
      <c r="AH14" s="601">
        <f>IFERROR(VLOOKUP($AG14,HomeBroker!$A$18:$F$121,2,0),0)</f>
        <v>10</v>
      </c>
      <c r="AI14" s="733">
        <f>IFERROR(VLOOKUP($AG14,HomeBroker!$A$18:$F$121,3,0),0)</f>
        <v>240</v>
      </c>
      <c r="AJ14" s="785">
        <f>IFERROR(VLOOKUP($AG14,HomeBroker!$A$18:$F$121,6,0),0)</f>
        <v>268.99900000000002</v>
      </c>
      <c r="AK14" s="733">
        <f>IFERROR(VLOOKUP($AG14,HomeBroker!$A$18:$F$121,4,0),0)</f>
        <v>300</v>
      </c>
      <c r="AL14" s="601">
        <f>IFERROR(VLOOKUP($AG14,HomeBroker!$A$18:$F$121,5,0),0)</f>
        <v>11</v>
      </c>
      <c r="AM14" s="735">
        <f>IFERROR(VLOOKUP($AG14,HomeBroker!$A$18:$N$121,13,0),0)</f>
        <v>539</v>
      </c>
      <c r="AN14" s="62"/>
      <c r="AO14" s="199">
        <f t="shared" si="67"/>
        <v>1154.0010000000002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1904.3156124999996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108453.58</v>
      </c>
      <c r="EU14" s="72"/>
      <c r="EV14" s="117">
        <f t="shared" si="55"/>
        <v>1904.3156124999996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-50683.3</v>
      </c>
    </row>
    <row r="15" spans="1:193" ht="15">
      <c r="A15" s="727" t="s">
        <v>401</v>
      </c>
      <c r="B15" s="204"/>
      <c r="C15" s="201"/>
      <c r="D15" s="739"/>
      <c r="E15" s="740">
        <f t="shared" si="0"/>
        <v>0</v>
      </c>
      <c r="F15" s="741">
        <f t="shared" si="1"/>
        <v>0</v>
      </c>
      <c r="G15" s="203" t="str">
        <f t="shared" si="2"/>
        <v/>
      </c>
      <c r="H15" s="745">
        <f t="shared" si="58"/>
        <v>0</v>
      </c>
      <c r="I15" s="746">
        <f t="shared" si="3"/>
        <v>0</v>
      </c>
      <c r="J15" s="62"/>
      <c r="K15" s="703">
        <f t="shared" ref="K15:K17" si="68">IFERROR(-1+(L15/$L$18),"")</f>
        <v>-0.14262500000000011</v>
      </c>
      <c r="L15" s="219">
        <f t="shared" si="4"/>
        <v>2004.5427499999996</v>
      </c>
      <c r="M15" s="770">
        <f t="shared" si="5"/>
        <v>88408.15</v>
      </c>
      <c r="N15" s="770">
        <f t="shared" ca="1" si="6"/>
        <v>-50683.3</v>
      </c>
      <c r="O15" s="62"/>
      <c r="P15" s="199">
        <f t="shared" si="59"/>
        <v>1562</v>
      </c>
      <c r="Q15" s="737">
        <f t="shared" si="7"/>
        <v>0</v>
      </c>
      <c r="R15" s="736">
        <v>3900</v>
      </c>
      <c r="S15" s="730">
        <f t="shared" ca="1" si="60"/>
        <v>8.3462030347079121</v>
      </c>
      <c r="T15" s="443" t="str">
        <f t="shared" si="61"/>
        <v>MERV - XMEV - GFGC3900AB - 24hs</v>
      </c>
      <c r="U15" s="443" t="str">
        <f t="shared" si="62"/>
        <v>GFGC3900AB</v>
      </c>
      <c r="V15" s="441">
        <f>IFERROR(VLOOKUP($U15,HomeBroker!$A$18:$F$106,2,0),0)</f>
        <v>1</v>
      </c>
      <c r="W15" s="733">
        <f>IFERROR(VLOOKUP($U15,HomeBroker!$A$18:$F$106,3,0),0)</f>
        <v>6.25</v>
      </c>
      <c r="X15" s="785">
        <f>IFERROR(VLOOKUP($U15,HomeBroker!$A$18:$F$106,6,0),0)</f>
        <v>8.7919999999999998</v>
      </c>
      <c r="Y15" s="732">
        <f>IFERROR(VLOOKUP($U15,HomeBroker!$A$18:$F$106,4,0),0)</f>
        <v>8.9849999999999994</v>
      </c>
      <c r="Z15" s="441">
        <f>IFERROR(VLOOKUP($U15,HomeBroker!$A$18:$F$106,5,0),0)</f>
        <v>20</v>
      </c>
      <c r="AA15" s="444">
        <f>IFERROR(VLOOKUP($U15,HomeBroker!$A$18:$N$121,13,0),0)</f>
        <v>2626</v>
      </c>
      <c r="AB15" s="200">
        <f t="shared" si="63"/>
        <v>362</v>
      </c>
      <c r="AC15" s="738">
        <f t="shared" si="9"/>
        <v>1</v>
      </c>
      <c r="AD15" s="736">
        <v>2700</v>
      </c>
      <c r="AE15" s="731">
        <f t="shared" ca="1" si="64"/>
        <v>267.66191064528493</v>
      </c>
      <c r="AF15" s="443" t="str">
        <f t="shared" si="65"/>
        <v>MERV - XMEV - GFGV2700AB - 24hs</v>
      </c>
      <c r="AG15" s="443" t="str">
        <f t="shared" si="66"/>
        <v>GFGV2700AB</v>
      </c>
      <c r="AH15" s="601">
        <f>IFERROR(VLOOKUP($AG15,HomeBroker!$A$18:$F$106,2,0),0)</f>
        <v>10</v>
      </c>
      <c r="AI15" s="733">
        <f>IFERROR(VLOOKUP($AG15,HomeBroker!$A$18:$F$106,3,0),0)</f>
        <v>354</v>
      </c>
      <c r="AJ15" s="785">
        <f>IFERROR(VLOOKUP($AG15,HomeBroker!$A$18:$F$106,6,0),0)</f>
        <v>355</v>
      </c>
      <c r="AK15" s="733">
        <f>IFERROR(VLOOKUP($AG15,HomeBroker!$A$18:$F$106,4,0),0)</f>
        <v>389.99900000000002</v>
      </c>
      <c r="AL15" s="601">
        <f>IFERROR(VLOOKUP($AG15,HomeBroker!$A$18:$F$106,5,0),0)</f>
        <v>1</v>
      </c>
      <c r="AM15" s="735">
        <f>IFERROR(VLOOKUP($AG15,HomeBroker!$A$18:$N$121,13,0),0)</f>
        <v>459</v>
      </c>
      <c r="AN15" s="62"/>
      <c r="AO15" s="199">
        <f t="shared" si="67"/>
        <v>1215.7919999999999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2004.5427499999996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88408.15</v>
      </c>
      <c r="EU15" s="72"/>
      <c r="EV15" s="117">
        <f t="shared" si="55"/>
        <v>2004.5427499999996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-50683.3</v>
      </c>
    </row>
    <row r="16" spans="1:193" ht="15">
      <c r="A16" s="727" t="s">
        <v>401</v>
      </c>
      <c r="B16" s="204"/>
      <c r="C16" s="201"/>
      <c r="D16" s="739"/>
      <c r="E16" s="740">
        <f>+B16*D16*-100</f>
        <v>0</v>
      </c>
      <c r="F16" s="741">
        <f t="shared" si="1"/>
        <v>0</v>
      </c>
      <c r="G16" s="203" t="str">
        <f t="shared" si="2"/>
        <v/>
      </c>
      <c r="H16" s="745">
        <f>IFERROR(+G16*B16*-100,0)</f>
        <v>0</v>
      </c>
      <c r="I16" s="746">
        <f t="shared" si="3"/>
        <v>0</v>
      </c>
      <c r="J16" s="62"/>
      <c r="K16" s="703">
        <f t="shared" si="68"/>
        <v>-9.7500000000000142E-2</v>
      </c>
      <c r="L16" s="219">
        <f t="shared" si="4"/>
        <v>2110.0449999999996</v>
      </c>
      <c r="M16" s="769">
        <f t="shared" si="5"/>
        <v>67307.7</v>
      </c>
      <c r="N16" s="769">
        <f t="shared" ca="1" si="6"/>
        <v>-50683.3</v>
      </c>
      <c r="O16" s="62"/>
      <c r="P16" s="199">
        <f t="shared" si="59"/>
        <v>1712</v>
      </c>
      <c r="Q16" s="737">
        <f t="shared" si="7"/>
        <v>0</v>
      </c>
      <c r="R16" s="736">
        <v>4050</v>
      </c>
      <c r="S16" s="730">
        <f t="shared" ca="1" si="60"/>
        <v>5.3678139722031943</v>
      </c>
      <c r="T16" s="443" t="str">
        <f t="shared" si="61"/>
        <v>MERV - XMEV - GFGC4050AB - 24hs</v>
      </c>
      <c r="U16" s="443" t="str">
        <f t="shared" si="62"/>
        <v>GFGC4050AB</v>
      </c>
      <c r="V16" s="441">
        <f>IFERROR(VLOOKUP($U16,HomeBroker!$A$18:$F$106,2,0),0)</f>
        <v>10</v>
      </c>
      <c r="W16" s="733">
        <f>IFERROR(VLOOKUP($U16,HomeBroker!$A$18:$F$106,3,0),0)</f>
        <v>4.3600000000000003</v>
      </c>
      <c r="X16" s="785">
        <f>IFERROR(VLOOKUP($U16,HomeBroker!$A$18:$F$106,6,0),0)</f>
        <v>5.5</v>
      </c>
      <c r="Y16" s="732">
        <f>IFERROR(VLOOKUP($U16,HomeBroker!$A$18:$F$106,4,0),0)</f>
        <v>7</v>
      </c>
      <c r="Z16" s="441">
        <f>IFERROR(VLOOKUP($U16,HomeBroker!$A$18:$F$106,5,0),0)</f>
        <v>2</v>
      </c>
      <c r="AA16" s="444">
        <f>IFERROR(VLOOKUP($U16,HomeBroker!$A$18:$N$121,13,0),0)</f>
        <v>577</v>
      </c>
      <c r="AB16" s="200">
        <f t="shared" si="63"/>
        <v>562</v>
      </c>
      <c r="AC16" s="738">
        <f t="shared" si="9"/>
        <v>0</v>
      </c>
      <c r="AD16" s="736">
        <v>2900</v>
      </c>
      <c r="AE16" s="731">
        <f t="shared" ca="1" si="64"/>
        <v>379.15001934084171</v>
      </c>
      <c r="AF16" s="443" t="str">
        <f t="shared" si="65"/>
        <v>MERV - XMEV - GFGV2900AB - 24hs</v>
      </c>
      <c r="AG16" s="443" t="str">
        <f t="shared" si="66"/>
        <v>GFGV2900AB</v>
      </c>
      <c r="AH16" s="601">
        <f>IFERROR(VLOOKUP($AG16,HomeBroker!$A$18:$F$106,2,0),0)</f>
        <v>50</v>
      </c>
      <c r="AI16" s="733">
        <f>IFERROR(VLOOKUP($AG16,HomeBroker!$A$18:$F$106,3,0),0)</f>
        <v>400</v>
      </c>
      <c r="AJ16" s="785">
        <f>IFERROR(VLOOKUP($AG16,HomeBroker!$A$18:$F$106,6,0),0)</f>
        <v>599</v>
      </c>
      <c r="AK16" s="733">
        <f>IFERROR(VLOOKUP($AG16,HomeBroker!$A$18:$F$106,4,0),0)</f>
        <v>555</v>
      </c>
      <c r="AL16" s="601">
        <f>IFERROR(VLOOKUP($AG16,HomeBroker!$A$18:$F$106,5,0),0)</f>
        <v>2</v>
      </c>
      <c r="AM16" s="735">
        <f>IFERROR(VLOOKUP($AG16,HomeBroker!$A$18:$N$121,13,0),0)</f>
        <v>40</v>
      </c>
      <c r="AN16" s="62"/>
      <c r="AO16" s="199">
        <f t="shared" si="67"/>
        <v>1118.5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2110.0449999999996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67307.7</v>
      </c>
      <c r="EU16" s="72"/>
      <c r="EV16" s="117">
        <f t="shared" si="55"/>
        <v>2110.0449999999996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-50683.3</v>
      </c>
    </row>
    <row r="17" spans="1:193" ht="15.75">
      <c r="A17" s="727" t="s">
        <v>401</v>
      </c>
      <c r="B17" s="205"/>
      <c r="C17" s="201"/>
      <c r="D17" s="739"/>
      <c r="E17" s="740">
        <f>+B17*D17*-100</f>
        <v>0</v>
      </c>
      <c r="F17" s="741">
        <f t="shared" si="1"/>
        <v>0</v>
      </c>
      <c r="G17" s="203" t="str">
        <f t="shared" si="2"/>
        <v/>
      </c>
      <c r="H17" s="745">
        <f>IFERROR(+G17*B17*-100,0)</f>
        <v>0</v>
      </c>
      <c r="I17" s="746">
        <f t="shared" si="3"/>
        <v>0</v>
      </c>
      <c r="J17" s="62"/>
      <c r="K17" s="703">
        <f t="shared" si="68"/>
        <v>-5.0000000000000044E-2</v>
      </c>
      <c r="L17" s="219">
        <f t="shared" si="4"/>
        <v>2221.1</v>
      </c>
      <c r="M17" s="769">
        <f t="shared" si="5"/>
        <v>45096.7</v>
      </c>
      <c r="N17" s="769">
        <f t="shared" ca="1" si="6"/>
        <v>-50683.3</v>
      </c>
      <c r="O17" s="62"/>
      <c r="P17" s="199">
        <f t="shared" si="59"/>
        <v>1862</v>
      </c>
      <c r="Q17" s="737">
        <f t="shared" si="7"/>
        <v>0</v>
      </c>
      <c r="R17" s="736">
        <v>4200</v>
      </c>
      <c r="S17" s="730">
        <f t="shared" ca="1" si="60"/>
        <v>3.4239010570463506</v>
      </c>
      <c r="T17" s="443" t="str">
        <f t="shared" si="61"/>
        <v>MERV - XMEV - GFGC4200AB - 24hs</v>
      </c>
      <c r="U17" s="443" t="str">
        <f t="shared" si="62"/>
        <v>GFGC4200AB</v>
      </c>
      <c r="V17" s="441">
        <f>IFERROR(VLOOKUP($U17,HomeBroker!$A$18:$F$106,2,0),0)</f>
        <v>1</v>
      </c>
      <c r="W17" s="733">
        <f>IFERROR(VLOOKUP($U17,HomeBroker!$A$18:$F$106,3,0),0)</f>
        <v>4.3</v>
      </c>
      <c r="X17" s="785">
        <f>IFERROR(VLOOKUP($U17,HomeBroker!$A$18:$F$106,6,0),0)</f>
        <v>4.9800000000000004</v>
      </c>
      <c r="Y17" s="732">
        <f>IFERROR(VLOOKUP($U17,HomeBroker!$A$18:$F$106,4,0),0)</f>
        <v>4.9800000000000004</v>
      </c>
      <c r="Z17" s="441">
        <f>IFERROR(VLOOKUP($U17,HomeBroker!$A$18:$F$106,5,0),0)</f>
        <v>5</v>
      </c>
      <c r="AA17" s="444">
        <f>IFERROR(VLOOKUP($U17,HomeBroker!$A$18:$N$121,13,0),0)</f>
        <v>1758</v>
      </c>
      <c r="AB17" s="200">
        <f t="shared" si="63"/>
        <v>662</v>
      </c>
      <c r="AC17" s="738">
        <f t="shared" si="9"/>
        <v>0</v>
      </c>
      <c r="AD17" s="736">
        <v>3000</v>
      </c>
      <c r="AE17" s="731">
        <f t="shared" ca="1" si="64"/>
        <v>441.30183683130349</v>
      </c>
      <c r="AF17" s="443" t="str">
        <f t="shared" si="65"/>
        <v>MERV - XMEV - GFGV3000AB - 24hs</v>
      </c>
      <c r="AG17" s="443" t="str">
        <f t="shared" si="66"/>
        <v>GFGV3000AB</v>
      </c>
      <c r="AH17" s="601">
        <f>IFERROR(VLOOKUP($AG17,HomeBroker!$A$18:$F$106,2,0),0)</f>
        <v>1</v>
      </c>
      <c r="AI17" s="733">
        <f>IFERROR(VLOOKUP($AG17,HomeBroker!$A$18:$F$106,3,0),0)</f>
        <v>350</v>
      </c>
      <c r="AJ17" s="785">
        <f>IFERROR(VLOOKUP($AG17,HomeBroker!$A$18:$F$106,6,0),0)</f>
        <v>655</v>
      </c>
      <c r="AK17" s="733">
        <f>IFERROR(VLOOKUP($AG17,HomeBroker!$A$18:$F$106,4,0),0)</f>
        <v>700</v>
      </c>
      <c r="AL17" s="601">
        <f>IFERROR(VLOOKUP($AG17,HomeBroker!$A$18:$F$106,5,0),0)</f>
        <v>4</v>
      </c>
      <c r="AM17" s="735">
        <f>IFERROR(VLOOKUP($AG17,HomeBroker!$A$18:$N$121,13,0),0)</f>
        <v>17</v>
      </c>
      <c r="AN17" s="62"/>
      <c r="AO17" s="199">
        <f t="shared" si="67"/>
        <v>1211.9799999999996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2221.1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45096.7</v>
      </c>
      <c r="EU17" s="72"/>
      <c r="EV17" s="117">
        <f t="shared" si="55"/>
        <v>2221.1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-50683.3</v>
      </c>
    </row>
    <row r="18" spans="1:193" ht="15">
      <c r="A18" s="727" t="s">
        <v>401</v>
      </c>
      <c r="B18" s="204"/>
      <c r="C18" s="201"/>
      <c r="D18" s="739"/>
      <c r="E18" s="740">
        <f>+B18*D18*-100</f>
        <v>0</v>
      </c>
      <c r="F18" s="741">
        <f t="shared" si="1"/>
        <v>0</v>
      </c>
      <c r="G18" s="203" t="str">
        <f t="shared" si="2"/>
        <v/>
      </c>
      <c r="H18" s="745">
        <f>IFERROR(+G18*B18*-100,0)</f>
        <v>0</v>
      </c>
      <c r="I18" s="746">
        <f t="shared" si="3"/>
        <v>0</v>
      </c>
      <c r="J18" s="62"/>
      <c r="K18" s="131">
        <v>0</v>
      </c>
      <c r="L18" s="220">
        <f>IF($N$45&lt;&gt;"",$N$45,$B$76)</f>
        <v>2338</v>
      </c>
      <c r="M18" s="770">
        <f t="shared" si="5"/>
        <v>21716.7</v>
      </c>
      <c r="N18" s="770">
        <f t="shared" ca="1" si="6"/>
        <v>-50683.3</v>
      </c>
      <c r="O18" s="62"/>
      <c r="P18" s="199" t="str">
        <f t="shared" ref="P18:P42" si="69">IF(X18&gt;0,ABS((R18+X18)),"")</f>
        <v/>
      </c>
      <c r="Q18" s="600">
        <f t="shared" ref="Q18:Q42" si="70">SUMIFS(AU:AU,AV:AV,R18)</f>
        <v>0</v>
      </c>
      <c r="R18" s="194"/>
      <c r="S18" s="730">
        <f t="shared" ca="1" si="60"/>
        <v>0</v>
      </c>
      <c r="T18" s="443" t="str">
        <f t="shared" si="61"/>
        <v/>
      </c>
      <c r="U18" s="443" t="str">
        <f t="shared" si="62"/>
        <v/>
      </c>
      <c r="V18" s="441">
        <f>IFERROR(VLOOKUP($U18,HomeBroker!$A$18:$F$106,2,0),0)</f>
        <v>0</v>
      </c>
      <c r="W18" s="732">
        <f>IFERROR(VLOOKUP($U18,HomeBroker!$A$18:$F$106,3,0),0)</f>
        <v>0</v>
      </c>
      <c r="X18" s="196">
        <f>IFERROR(VLOOKUP($U18,HomeBroker!$A$18:$F$106,6,0),0)</f>
        <v>0</v>
      </c>
      <c r="Y18" s="732">
        <f>IFERROR(VLOOKUP($U18,HomeBroker!$A$18:$F$106,4,0),0)</f>
        <v>0</v>
      </c>
      <c r="Z18" s="441">
        <f>IFERROR(VLOOKUP($U18,HomeBroker!$A$18:$F$106,5,0),0)</f>
        <v>0</v>
      </c>
      <c r="AA18" s="444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2">
        <f t="shared" ca="1" si="64"/>
        <v>0</v>
      </c>
      <c r="AF18" s="443" t="str">
        <f t="shared" si="65"/>
        <v/>
      </c>
      <c r="AG18" s="443" t="str">
        <f t="shared" si="66"/>
        <v/>
      </c>
      <c r="AH18" s="601">
        <f>IFERROR(VLOOKUP($AG18,HomeBroker!$A$18:$F$106,2,0),0)</f>
        <v>0</v>
      </c>
      <c r="AI18" s="601">
        <f>IFERROR(VLOOKUP($AG18,HomeBroker!$A$18:$F$106,3,0),0)</f>
        <v>0</v>
      </c>
      <c r="AJ18" s="602">
        <f>IFERROR(VLOOKUP($AG18,HomeBroker!$A$18:$F$106,6,0),0)</f>
        <v>0</v>
      </c>
      <c r="AK18" s="601">
        <f>IFERROR(VLOOKUP($AG18,HomeBroker!$A$18:$F$106,4,0),0)</f>
        <v>0</v>
      </c>
      <c r="AL18" s="601">
        <f>IFERROR(VLOOKUP($AG18,HomeBroker!$A$18:$F$106,5,0),0)</f>
        <v>0</v>
      </c>
      <c r="AM18" s="601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2338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21716.7</v>
      </c>
      <c r="EU18" s="72"/>
      <c r="EV18" s="117">
        <f t="shared" si="55"/>
        <v>2338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-50683.3</v>
      </c>
    </row>
    <row r="19" spans="1:193" ht="15">
      <c r="A19" s="727" t="s">
        <v>401</v>
      </c>
      <c r="B19" s="204"/>
      <c r="C19" s="201"/>
      <c r="D19" s="739"/>
      <c r="E19" s="740">
        <f t="shared" si="0"/>
        <v>0</v>
      </c>
      <c r="F19" s="741">
        <f t="shared" si="1"/>
        <v>0</v>
      </c>
      <c r="G19" s="203" t="str">
        <f t="shared" si="2"/>
        <v/>
      </c>
      <c r="H19" s="745">
        <f t="shared" si="58"/>
        <v>0</v>
      </c>
      <c r="I19" s="746">
        <f t="shared" si="3"/>
        <v>0</v>
      </c>
      <c r="J19" s="62"/>
      <c r="K19" s="702">
        <f>IFERROR(+L19/$L$18-1,"")</f>
        <v>5.0000000000000044E-2</v>
      </c>
      <c r="L19" s="219">
        <f t="shared" ref="L19:L34" si="73">+L18*(1+$N$42)</f>
        <v>2454.9</v>
      </c>
      <c r="M19" s="769">
        <f t="shared" si="5"/>
        <v>42256.7</v>
      </c>
      <c r="N19" s="769">
        <f t="shared" ca="1" si="6"/>
        <v>-50683.3</v>
      </c>
      <c r="O19" s="62"/>
      <c r="P19" s="199" t="str">
        <f t="shared" si="69"/>
        <v/>
      </c>
      <c r="Q19" s="600">
        <f t="shared" si="70"/>
        <v>0</v>
      </c>
      <c r="R19" s="194"/>
      <c r="S19" s="730">
        <f t="shared" ca="1" si="60"/>
        <v>0</v>
      </c>
      <c r="T19" s="443" t="str">
        <f t="shared" si="61"/>
        <v/>
      </c>
      <c r="U19" s="443" t="str">
        <f t="shared" si="62"/>
        <v/>
      </c>
      <c r="V19" s="441">
        <f>IFERROR(VLOOKUP($U19,HomeBroker!$A$18:$F$106,2,0),0)</f>
        <v>0</v>
      </c>
      <c r="W19" s="732">
        <f>IFERROR(VLOOKUP($U19,HomeBroker!$A$18:$F$106,3,0),0)</f>
        <v>0</v>
      </c>
      <c r="X19" s="196">
        <f>IFERROR(VLOOKUP($U19,HomeBroker!$A$18:$F$106,6,0),0)</f>
        <v>0</v>
      </c>
      <c r="Y19" s="732">
        <f>IFERROR(VLOOKUP($U19,HomeBroker!$A$18:$F$106,4,0),0)</f>
        <v>0</v>
      </c>
      <c r="Z19" s="441">
        <f>IFERROR(VLOOKUP($U19,HomeBroker!$A$18:$F$106,5,0),0)</f>
        <v>0</v>
      </c>
      <c r="AA19" s="444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42">
        <f t="shared" ca="1" si="64"/>
        <v>0</v>
      </c>
      <c r="AF19" s="443" t="str">
        <f t="shared" si="65"/>
        <v/>
      </c>
      <c r="AG19" s="443" t="str">
        <f t="shared" si="66"/>
        <v/>
      </c>
      <c r="AH19" s="445">
        <f>IFERROR(VLOOKUP($AG19,HomeBroker!$A$18:$F$106,2,0),0)</f>
        <v>0</v>
      </c>
      <c r="AI19" s="441">
        <f>IFERROR(VLOOKUP($AG19,HomeBroker!$A$18:$F$106,3,0),0)</f>
        <v>0</v>
      </c>
      <c r="AJ19" s="196">
        <f>IFERROR(VLOOKUP($AG19,HomeBroker!$A$18:$F$106,6,0),0)</f>
        <v>0</v>
      </c>
      <c r="AK19" s="441">
        <f>IFERROR(VLOOKUP($AG19,HomeBroker!$A$18:$F$106,4,0),0)</f>
        <v>0</v>
      </c>
      <c r="AL19" s="445">
        <f>IFERROR(VLOOKUP($AG19,HomeBroker!$A$18:$F$106,5,0),0)</f>
        <v>0</v>
      </c>
      <c r="AM19" s="445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2454.9</v>
      </c>
      <c r="DF19" s="118">
        <f t="shared" si="18"/>
        <v>21960.000000000036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21960.000000000036</v>
      </c>
      <c r="EQ19" s="119"/>
      <c r="ER19" s="126"/>
      <c r="ES19" s="122"/>
      <c r="ET19" s="123">
        <f t="shared" si="54"/>
        <v>42256.7</v>
      </c>
      <c r="EU19" s="72"/>
      <c r="EV19" s="117">
        <f t="shared" si="55"/>
        <v>2454.9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-50683.3</v>
      </c>
    </row>
    <row r="20" spans="1:193" ht="15">
      <c r="A20" s="727" t="s">
        <v>401</v>
      </c>
      <c r="B20" s="204"/>
      <c r="C20" s="201"/>
      <c r="D20" s="739"/>
      <c r="E20" s="740">
        <f t="shared" si="0"/>
        <v>0</v>
      </c>
      <c r="F20" s="741">
        <f t="shared" si="1"/>
        <v>0</v>
      </c>
      <c r="G20" s="203" t="str">
        <f t="shared" si="2"/>
        <v/>
      </c>
      <c r="H20" s="745">
        <f t="shared" si="58"/>
        <v>0</v>
      </c>
      <c r="I20" s="746">
        <f t="shared" si="3"/>
        <v>0</v>
      </c>
      <c r="J20" s="62"/>
      <c r="K20" s="703">
        <f t="shared" ref="K20:K23" si="74">IFERROR(+L20/$L$18-1,"")</f>
        <v>0.10250000000000004</v>
      </c>
      <c r="L20" s="219">
        <f t="shared" si="73"/>
        <v>2577.645</v>
      </c>
      <c r="M20" s="769">
        <f t="shared" si="5"/>
        <v>53787.7</v>
      </c>
      <c r="N20" s="769">
        <f t="shared" ca="1" si="6"/>
        <v>-50683.3</v>
      </c>
      <c r="O20" s="62"/>
      <c r="P20" s="199" t="str">
        <f t="shared" si="69"/>
        <v/>
      </c>
      <c r="Q20" s="600">
        <f t="shared" si="70"/>
        <v>0</v>
      </c>
      <c r="R20" s="194"/>
      <c r="S20" s="730">
        <f t="shared" ca="1" si="60"/>
        <v>0</v>
      </c>
      <c r="T20" s="443" t="str">
        <f t="shared" si="61"/>
        <v/>
      </c>
      <c r="U20" s="443" t="str">
        <f t="shared" si="62"/>
        <v/>
      </c>
      <c r="V20" s="441">
        <f>IFERROR(VLOOKUP($U20,HomeBroker!$A$18:$F$106,2,0),0)</f>
        <v>0</v>
      </c>
      <c r="W20" s="732">
        <f>IFERROR(VLOOKUP($U20,HomeBroker!$A$18:$F$106,3,0),0)</f>
        <v>0</v>
      </c>
      <c r="X20" s="196">
        <f>IFERROR(VLOOKUP($U20,HomeBroker!$A$18:$F$106,6,0),0)</f>
        <v>0</v>
      </c>
      <c r="Y20" s="732">
        <f>IFERROR(VLOOKUP($U20,HomeBroker!$A$18:$F$106,4,0),0)</f>
        <v>0</v>
      </c>
      <c r="Z20" s="441">
        <f>IFERROR(VLOOKUP($U20,HomeBroker!$A$18:$F$106,5,0),0)</f>
        <v>0</v>
      </c>
      <c r="AA20" s="444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42">
        <f t="shared" ca="1" si="64"/>
        <v>0</v>
      </c>
      <c r="AF20" s="443" t="str">
        <f t="shared" si="65"/>
        <v/>
      </c>
      <c r="AG20" s="443" t="str">
        <f t="shared" si="66"/>
        <v/>
      </c>
      <c r="AH20" s="445">
        <f>IFERROR(VLOOKUP($AG20,HomeBroker!$A$18:$F$106,2,0),0)</f>
        <v>0</v>
      </c>
      <c r="AI20" s="441">
        <f>IFERROR(VLOOKUP($AG20,HomeBroker!$A$18:$F$106,3,0),0)</f>
        <v>0</v>
      </c>
      <c r="AJ20" s="196">
        <f>IFERROR(VLOOKUP($AG20,HomeBroker!$A$18:$F$106,6,0),0)</f>
        <v>0</v>
      </c>
      <c r="AK20" s="441">
        <f>IFERROR(VLOOKUP($AG20,HomeBroker!$A$18:$F$106,4,0),0)</f>
        <v>0</v>
      </c>
      <c r="AL20" s="445">
        <f>IFERROR(VLOOKUP($AG20,HomeBroker!$A$18:$F$106,5,0),0)</f>
        <v>0</v>
      </c>
      <c r="AM20" s="445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2577.645</v>
      </c>
      <c r="DF20" s="118">
        <f t="shared" si="18"/>
        <v>71058</v>
      </c>
      <c r="DG20" s="118">
        <f t="shared" si="19"/>
        <v>-31057.999999999993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40000.000000000007</v>
      </c>
      <c r="EQ20" s="119"/>
      <c r="ER20" s="126"/>
      <c r="ES20" s="122"/>
      <c r="ET20" s="123">
        <f t="shared" si="54"/>
        <v>53787.7</v>
      </c>
      <c r="EU20" s="72"/>
      <c r="EV20" s="117">
        <f t="shared" si="55"/>
        <v>2577.645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-50683.3</v>
      </c>
    </row>
    <row r="21" spans="1:193" ht="15">
      <c r="A21" s="727" t="s">
        <v>401</v>
      </c>
      <c r="B21" s="204"/>
      <c r="C21" s="201"/>
      <c r="D21" s="739"/>
      <c r="E21" s="740">
        <f t="shared" si="0"/>
        <v>0</v>
      </c>
      <c r="F21" s="741">
        <f t="shared" si="1"/>
        <v>0</v>
      </c>
      <c r="G21" s="203" t="str">
        <f t="shared" si="2"/>
        <v/>
      </c>
      <c r="H21" s="745">
        <f t="shared" si="58"/>
        <v>0</v>
      </c>
      <c r="I21" s="746">
        <f t="shared" si="3"/>
        <v>0</v>
      </c>
      <c r="J21" s="62"/>
      <c r="K21" s="703">
        <f t="shared" si="74"/>
        <v>0.15762500000000013</v>
      </c>
      <c r="L21" s="219">
        <f t="shared" si="73"/>
        <v>2706.5272500000001</v>
      </c>
      <c r="M21" s="770">
        <f t="shared" si="5"/>
        <v>29316.7</v>
      </c>
      <c r="N21" s="770">
        <f t="shared" ca="1" si="6"/>
        <v>-50683.3</v>
      </c>
      <c r="O21" s="62"/>
      <c r="P21" s="199" t="str">
        <f t="shared" si="69"/>
        <v/>
      </c>
      <c r="Q21" s="600">
        <f t="shared" si="70"/>
        <v>0</v>
      </c>
      <c r="R21" s="194"/>
      <c r="S21" s="730">
        <f t="shared" ca="1" si="60"/>
        <v>0</v>
      </c>
      <c r="T21" s="443" t="str">
        <f t="shared" si="61"/>
        <v/>
      </c>
      <c r="U21" s="443" t="str">
        <f t="shared" si="62"/>
        <v/>
      </c>
      <c r="V21" s="441">
        <f>IFERROR(VLOOKUP($U21,HomeBroker!$A$18:$F$106,2,0),0)</f>
        <v>0</v>
      </c>
      <c r="W21" s="732">
        <f>IFERROR(VLOOKUP($U21,HomeBroker!$A$18:$F$106,3,0),0)</f>
        <v>0</v>
      </c>
      <c r="X21" s="196">
        <f>IFERROR(VLOOKUP($U21,HomeBroker!$A$18:$F$106,6,0),0)</f>
        <v>0</v>
      </c>
      <c r="Y21" s="732">
        <f>IFERROR(VLOOKUP($U21,HomeBroker!$A$18:$F$106,4,0),0)</f>
        <v>0</v>
      </c>
      <c r="Z21" s="441">
        <f>IFERROR(VLOOKUP($U21,HomeBroker!$A$18:$F$106,5,0),0)</f>
        <v>0</v>
      </c>
      <c r="AA21" s="444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42">
        <f t="shared" ca="1" si="64"/>
        <v>0</v>
      </c>
      <c r="AF21" s="443" t="str">
        <f t="shared" si="65"/>
        <v/>
      </c>
      <c r="AG21" s="443" t="str">
        <f t="shared" si="66"/>
        <v/>
      </c>
      <c r="AH21" s="445">
        <f>IFERROR(VLOOKUP($AG21,HomeBroker!$A$18:$F$106,2,0),0)</f>
        <v>0</v>
      </c>
      <c r="AI21" s="441">
        <f>IFERROR(VLOOKUP($AG21,HomeBroker!$A$18:$F$106,3,0),0)</f>
        <v>0</v>
      </c>
      <c r="AJ21" s="196">
        <f>IFERROR(VLOOKUP($AG21,HomeBroker!$A$18:$F$106,6,0),0)</f>
        <v>0</v>
      </c>
      <c r="AK21" s="441">
        <f>IFERROR(VLOOKUP($AG21,HomeBroker!$A$18:$F$106,4,0),0)</f>
        <v>0</v>
      </c>
      <c r="AL21" s="445">
        <f>IFERROR(VLOOKUP($AG21,HomeBroker!$A$18:$F$106,5,0),0)</f>
        <v>0</v>
      </c>
      <c r="AM21" s="445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2706.5272500000001</v>
      </c>
      <c r="DF21" s="118">
        <f t="shared" si="18"/>
        <v>122610.90000000004</v>
      </c>
      <c r="DG21" s="118">
        <f t="shared" si="19"/>
        <v>-82610.900000000038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40000</v>
      </c>
      <c r="EQ21" s="119"/>
      <c r="ER21" s="126"/>
      <c r="ES21" s="122"/>
      <c r="ET21" s="123">
        <f t="shared" si="54"/>
        <v>29316.7</v>
      </c>
      <c r="EU21" s="72"/>
      <c r="EV21" s="117">
        <f t="shared" si="55"/>
        <v>2706.5272500000001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-50683.3</v>
      </c>
    </row>
    <row r="22" spans="1:193" ht="15">
      <c r="A22" s="727" t="s">
        <v>401</v>
      </c>
      <c r="B22" s="204"/>
      <c r="C22" s="201"/>
      <c r="D22" s="739"/>
      <c r="E22" s="740">
        <f t="shared" si="0"/>
        <v>0</v>
      </c>
      <c r="F22" s="741">
        <f t="shared" si="1"/>
        <v>0</v>
      </c>
      <c r="G22" s="203" t="str">
        <f t="shared" si="2"/>
        <v/>
      </c>
      <c r="H22" s="745">
        <f t="shared" si="58"/>
        <v>0</v>
      </c>
      <c r="I22" s="746">
        <f t="shared" si="3"/>
        <v>0</v>
      </c>
      <c r="J22" s="62"/>
      <c r="K22" s="703">
        <f t="shared" si="74"/>
        <v>0.21550625000000001</v>
      </c>
      <c r="L22" s="219">
        <f t="shared" si="73"/>
        <v>2841.8536125000001</v>
      </c>
      <c r="M22" s="769">
        <f t="shared" si="5"/>
        <v>29316.7</v>
      </c>
      <c r="N22" s="769">
        <f t="shared" ca="1" si="6"/>
        <v>-50683.3</v>
      </c>
      <c r="O22" s="62"/>
      <c r="P22" s="199" t="str">
        <f t="shared" si="69"/>
        <v/>
      </c>
      <c r="Q22" s="600">
        <f t="shared" si="70"/>
        <v>0</v>
      </c>
      <c r="R22" s="194"/>
      <c r="S22" s="730">
        <f t="shared" ca="1" si="60"/>
        <v>0</v>
      </c>
      <c r="T22" s="443" t="str">
        <f t="shared" si="61"/>
        <v/>
      </c>
      <c r="U22" s="443" t="str">
        <f t="shared" si="62"/>
        <v/>
      </c>
      <c r="V22" s="441">
        <f>IFERROR(VLOOKUP($U22,HomeBroker!$A$18:$F$106,2,0),0)</f>
        <v>0</v>
      </c>
      <c r="W22" s="732">
        <f>IFERROR(VLOOKUP($U22,HomeBroker!$A$18:$F$106,3,0),0)</f>
        <v>0</v>
      </c>
      <c r="X22" s="196">
        <f>IFERROR(VLOOKUP($U22,HomeBroker!$A$18:$F$106,6,0),0)</f>
        <v>0</v>
      </c>
      <c r="Y22" s="732">
        <f>IFERROR(VLOOKUP($U22,HomeBroker!$A$18:$F$106,4,0),0)</f>
        <v>0</v>
      </c>
      <c r="Z22" s="441">
        <f>IFERROR(VLOOKUP($U22,HomeBroker!$A$18:$F$106,5,0),0)</f>
        <v>0</v>
      </c>
      <c r="AA22" s="444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42">
        <f t="shared" ca="1" si="64"/>
        <v>0</v>
      </c>
      <c r="AF22" s="443" t="str">
        <f t="shared" si="65"/>
        <v/>
      </c>
      <c r="AG22" s="443" t="str">
        <f t="shared" si="66"/>
        <v/>
      </c>
      <c r="AH22" s="445">
        <f>IFERROR(VLOOKUP($AG22,HomeBroker!$A$18:$F$106,2,0),0)</f>
        <v>0</v>
      </c>
      <c r="AI22" s="441">
        <f>IFERROR(VLOOKUP($AG22,HomeBroker!$A$18:$F$106,3,0),0)</f>
        <v>0</v>
      </c>
      <c r="AJ22" s="196">
        <f>IFERROR(VLOOKUP($AG22,HomeBroker!$A$18:$F$106,6,0),0)</f>
        <v>0</v>
      </c>
      <c r="AK22" s="441">
        <f>IFERROR(VLOOKUP($AG22,HomeBroker!$A$18:$F$106,4,0),0)</f>
        <v>0</v>
      </c>
      <c r="AL22" s="445">
        <f>IFERROR(VLOOKUP($AG22,HomeBroker!$A$18:$F$106,5,0),0)</f>
        <v>0</v>
      </c>
      <c r="AM22" s="445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2841.8536125000001</v>
      </c>
      <c r="DF22" s="118">
        <f t="shared" si="18"/>
        <v>176741.44500000001</v>
      </c>
      <c r="DG22" s="118">
        <f t="shared" si="19"/>
        <v>-136741.44500000001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40000</v>
      </c>
      <c r="EQ22" s="119"/>
      <c r="ER22" s="126"/>
      <c r="ES22" s="122"/>
      <c r="ET22" s="123">
        <f t="shared" si="54"/>
        <v>29316.7</v>
      </c>
      <c r="EU22" s="72"/>
      <c r="EV22" s="117">
        <f t="shared" si="55"/>
        <v>2841.8536125000001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-50683.3</v>
      </c>
    </row>
    <row r="23" spans="1:193" ht="15">
      <c r="A23" s="727" t="s">
        <v>401</v>
      </c>
      <c r="B23" s="204"/>
      <c r="C23" s="201"/>
      <c r="D23" s="739"/>
      <c r="E23" s="740">
        <f t="shared" si="0"/>
        <v>0</v>
      </c>
      <c r="F23" s="741">
        <f t="shared" si="1"/>
        <v>0</v>
      </c>
      <c r="G23" s="203" t="str">
        <f t="shared" si="2"/>
        <v/>
      </c>
      <c r="H23" s="745">
        <f t="shared" si="58"/>
        <v>0</v>
      </c>
      <c r="I23" s="746">
        <f t="shared" si="3"/>
        <v>0</v>
      </c>
      <c r="J23" s="62"/>
      <c r="K23" s="703">
        <f t="shared" si="74"/>
        <v>0.27628156249999991</v>
      </c>
      <c r="L23" s="219">
        <f t="shared" si="73"/>
        <v>2983.946293125</v>
      </c>
      <c r="M23" s="769">
        <f t="shared" si="5"/>
        <v>29316.7</v>
      </c>
      <c r="N23" s="769">
        <f t="shared" ca="1" si="6"/>
        <v>-50683.3</v>
      </c>
      <c r="O23" s="62"/>
      <c r="P23" s="199" t="str">
        <f t="shared" si="69"/>
        <v/>
      </c>
      <c r="Q23" s="600">
        <f t="shared" si="70"/>
        <v>0</v>
      </c>
      <c r="R23" s="194"/>
      <c r="S23" s="730">
        <f t="shared" ca="1" si="60"/>
        <v>0</v>
      </c>
      <c r="T23" s="443" t="str">
        <f t="shared" si="61"/>
        <v/>
      </c>
      <c r="U23" s="443" t="str">
        <f t="shared" si="62"/>
        <v/>
      </c>
      <c r="V23" s="441">
        <f>IFERROR(VLOOKUP($U23,HomeBroker!$A$18:$F$106,2,0),0)</f>
        <v>0</v>
      </c>
      <c r="W23" s="732">
        <f>IFERROR(VLOOKUP($U23,HomeBroker!$A$18:$F$106,3,0),0)</f>
        <v>0</v>
      </c>
      <c r="X23" s="196">
        <f>IFERROR(VLOOKUP($U23,HomeBroker!$A$18:$F$106,6,0),0)</f>
        <v>0</v>
      </c>
      <c r="Y23" s="732">
        <f>IFERROR(VLOOKUP($U23,HomeBroker!$A$18:$F$106,4,0),0)</f>
        <v>0</v>
      </c>
      <c r="Z23" s="441">
        <f>IFERROR(VLOOKUP($U23,HomeBroker!$A$18:$F$106,5,0),0)</f>
        <v>0</v>
      </c>
      <c r="AA23" s="444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42">
        <f t="shared" ca="1" si="64"/>
        <v>0</v>
      </c>
      <c r="AF23" s="443" t="str">
        <f t="shared" si="65"/>
        <v/>
      </c>
      <c r="AG23" s="443" t="str">
        <f t="shared" si="66"/>
        <v/>
      </c>
      <c r="AH23" s="445">
        <f>IFERROR(VLOOKUP($AG23,HomeBroker!$A$18:$F$106,2,0),0)</f>
        <v>0</v>
      </c>
      <c r="AI23" s="441">
        <f>IFERROR(VLOOKUP($AG23,HomeBroker!$A$18:$F$106,3,0),0)</f>
        <v>0</v>
      </c>
      <c r="AJ23" s="196">
        <f>IFERROR(VLOOKUP($AG23,HomeBroker!$A$18:$F$106,6,0),0)</f>
        <v>0</v>
      </c>
      <c r="AK23" s="441">
        <f>IFERROR(VLOOKUP($AG23,HomeBroker!$A$18:$F$106,4,0),0)</f>
        <v>0</v>
      </c>
      <c r="AL23" s="445">
        <f>IFERROR(VLOOKUP($AG23,HomeBroker!$A$18:$F$106,5,0),0)</f>
        <v>0</v>
      </c>
      <c r="AM23" s="445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2983.946293125</v>
      </c>
      <c r="DF23" s="118">
        <f t="shared" si="18"/>
        <v>233578.51725</v>
      </c>
      <c r="DG23" s="118">
        <f t="shared" si="19"/>
        <v>-193578.51725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40000</v>
      </c>
      <c r="EQ23" s="119"/>
      <c r="ER23" s="126"/>
      <c r="ES23" s="122"/>
      <c r="ET23" s="123">
        <f t="shared" si="54"/>
        <v>29316.7</v>
      </c>
      <c r="EU23" s="72"/>
      <c r="EV23" s="117">
        <f t="shared" si="55"/>
        <v>2983.946293125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-50683.3</v>
      </c>
    </row>
    <row r="24" spans="1:193" ht="15">
      <c r="A24" s="727" t="s">
        <v>401</v>
      </c>
      <c r="B24" s="204"/>
      <c r="C24" s="201"/>
      <c r="D24" s="739"/>
      <c r="E24" s="740">
        <f t="shared" si="0"/>
        <v>0</v>
      </c>
      <c r="F24" s="741">
        <f t="shared" si="1"/>
        <v>0</v>
      </c>
      <c r="G24" s="203" t="str">
        <f t="shared" si="2"/>
        <v/>
      </c>
      <c r="H24" s="745">
        <f t="shared" si="58"/>
        <v>0</v>
      </c>
      <c r="I24" s="746">
        <f t="shared" si="3"/>
        <v>0</v>
      </c>
      <c r="J24" s="62"/>
      <c r="K24" s="700">
        <f>IFERROR(+L24/$L$18-1,"")</f>
        <v>0.34009564062499997</v>
      </c>
      <c r="L24" s="218">
        <f t="shared" si="73"/>
        <v>3133.14360778125</v>
      </c>
      <c r="M24" s="770">
        <f t="shared" si="5"/>
        <v>29316.7</v>
      </c>
      <c r="N24" s="770">
        <f t="shared" ca="1" si="6"/>
        <v>-50683.3</v>
      </c>
      <c r="O24" s="62"/>
      <c r="P24" s="199" t="str">
        <f t="shared" si="69"/>
        <v/>
      </c>
      <c r="Q24" s="600">
        <f t="shared" si="70"/>
        <v>0</v>
      </c>
      <c r="R24" s="194"/>
      <c r="S24" s="730">
        <f t="shared" ca="1" si="60"/>
        <v>0</v>
      </c>
      <c r="T24" s="443" t="str">
        <f t="shared" si="61"/>
        <v/>
      </c>
      <c r="U24" s="443" t="str">
        <f t="shared" si="62"/>
        <v/>
      </c>
      <c r="V24" s="441">
        <f>IFERROR(VLOOKUP($U24,HomeBroker!$A$18:$F$106,2,0),0)</f>
        <v>0</v>
      </c>
      <c r="W24" s="732">
        <f>IFERROR(VLOOKUP($U24,HomeBroker!$A$18:$F$106,3,0),0)</f>
        <v>0</v>
      </c>
      <c r="X24" s="196">
        <f>IFERROR(VLOOKUP($U24,HomeBroker!$A$18:$F$106,6,0),0)</f>
        <v>0</v>
      </c>
      <c r="Y24" s="732">
        <f>IFERROR(VLOOKUP($U24,HomeBroker!$A$18:$F$106,4,0),0)</f>
        <v>0</v>
      </c>
      <c r="Z24" s="441">
        <f>IFERROR(VLOOKUP($U24,HomeBroker!$A$18:$F$106,5,0),0)</f>
        <v>0</v>
      </c>
      <c r="AA24" s="444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42">
        <f t="shared" ca="1" si="64"/>
        <v>0</v>
      </c>
      <c r="AF24" s="443" t="str">
        <f t="shared" si="65"/>
        <v/>
      </c>
      <c r="AG24" s="443" t="str">
        <f t="shared" si="66"/>
        <v/>
      </c>
      <c r="AH24" s="445">
        <f>IFERROR(VLOOKUP($AG24,HomeBroker!$A$18:$F$106,2,0),0)</f>
        <v>0</v>
      </c>
      <c r="AI24" s="441">
        <f>IFERROR(VLOOKUP($AG24,HomeBroker!$A$18:$F$106,3,0),0)</f>
        <v>0</v>
      </c>
      <c r="AJ24" s="196">
        <f>IFERROR(VLOOKUP($AG24,HomeBroker!$A$18:$F$106,6,0),0)</f>
        <v>0</v>
      </c>
      <c r="AK24" s="441">
        <f>IFERROR(VLOOKUP($AG24,HomeBroker!$A$18:$F$106,4,0),0)</f>
        <v>0</v>
      </c>
      <c r="AL24" s="445">
        <f>IFERROR(VLOOKUP($AG24,HomeBroker!$A$18:$F$106,5,0),0)</f>
        <v>0</v>
      </c>
      <c r="AM24" s="445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3133.14360778125</v>
      </c>
      <c r="DF24" s="118">
        <f t="shared" si="18"/>
        <v>293257.44311250001</v>
      </c>
      <c r="DG24" s="118">
        <f t="shared" si="19"/>
        <v>-253257.44311250001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40000</v>
      </c>
      <c r="EQ24" s="119"/>
      <c r="ER24" s="126"/>
      <c r="ES24" s="122"/>
      <c r="ET24" s="123">
        <f t="shared" si="54"/>
        <v>29316.7</v>
      </c>
      <c r="EU24" s="72"/>
      <c r="EV24" s="117">
        <f t="shared" si="55"/>
        <v>3133.14360778125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-50683.3</v>
      </c>
    </row>
    <row r="25" spans="1:193" ht="15">
      <c r="A25" s="727" t="s">
        <v>401</v>
      </c>
      <c r="B25" s="204"/>
      <c r="C25" s="201"/>
      <c r="D25" s="739"/>
      <c r="E25" s="740">
        <f t="shared" si="0"/>
        <v>0</v>
      </c>
      <c r="F25" s="741">
        <f t="shared" si="1"/>
        <v>0</v>
      </c>
      <c r="G25" s="203" t="str">
        <f t="shared" si="2"/>
        <v/>
      </c>
      <c r="H25" s="745">
        <f t="shared" si="58"/>
        <v>0</v>
      </c>
      <c r="I25" s="746">
        <f t="shared" si="3"/>
        <v>0</v>
      </c>
      <c r="J25" s="62"/>
      <c r="K25" s="701"/>
      <c r="L25" s="218">
        <f t="shared" si="73"/>
        <v>3289.8007881703124</v>
      </c>
      <c r="M25" s="769">
        <f t="shared" si="5"/>
        <v>29316.7</v>
      </c>
      <c r="N25" s="769">
        <f t="shared" ca="1" si="6"/>
        <v>-50683.3</v>
      </c>
      <c r="O25" s="62"/>
      <c r="P25" s="199" t="str">
        <f t="shared" si="69"/>
        <v/>
      </c>
      <c r="Q25" s="600">
        <f t="shared" si="70"/>
        <v>0</v>
      </c>
      <c r="R25" s="194"/>
      <c r="S25" s="730">
        <f t="shared" ca="1" si="60"/>
        <v>0</v>
      </c>
      <c r="T25" s="443" t="str">
        <f t="shared" si="61"/>
        <v/>
      </c>
      <c r="U25" s="443" t="str">
        <f t="shared" si="62"/>
        <v/>
      </c>
      <c r="V25" s="441">
        <f>IFERROR(VLOOKUP($U25,HomeBroker!$A$18:$F$106,2,0),0)</f>
        <v>0</v>
      </c>
      <c r="W25" s="732">
        <f>IFERROR(VLOOKUP($U25,HomeBroker!$A$18:$F$106,3,0),0)</f>
        <v>0</v>
      </c>
      <c r="X25" s="196">
        <f>IFERROR(VLOOKUP($U25,HomeBroker!$A$18:$F$106,6,0),0)</f>
        <v>0</v>
      </c>
      <c r="Y25" s="732">
        <f>IFERROR(VLOOKUP($U25,HomeBroker!$A$18:$F$106,4,0),0)</f>
        <v>0</v>
      </c>
      <c r="Z25" s="441">
        <f>IFERROR(VLOOKUP($U25,HomeBroker!$A$18:$F$106,5,0),0)</f>
        <v>0</v>
      </c>
      <c r="AA25" s="444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42">
        <f t="shared" ca="1" si="64"/>
        <v>0</v>
      </c>
      <c r="AF25" s="443" t="str">
        <f t="shared" si="65"/>
        <v/>
      </c>
      <c r="AG25" s="443" t="str">
        <f t="shared" si="66"/>
        <v/>
      </c>
      <c r="AH25" s="445">
        <f>IFERROR(VLOOKUP($AG25,HomeBroker!$A$18:$F$106,2,0),0)</f>
        <v>0</v>
      </c>
      <c r="AI25" s="441">
        <f>IFERROR(VLOOKUP($AG25,HomeBroker!$A$18:$F$106,3,0),0)</f>
        <v>0</v>
      </c>
      <c r="AJ25" s="196">
        <f>IFERROR(VLOOKUP($AG25,HomeBroker!$A$18:$F$106,6,0),0)</f>
        <v>0</v>
      </c>
      <c r="AK25" s="441">
        <f>IFERROR(VLOOKUP($AG25,HomeBroker!$A$18:$F$106,4,0),0)</f>
        <v>0</v>
      </c>
      <c r="AL25" s="445">
        <f>IFERROR(VLOOKUP($AG25,HomeBroker!$A$18:$F$106,5,0),0)</f>
        <v>0</v>
      </c>
      <c r="AM25" s="445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3289.8007881703124</v>
      </c>
      <c r="DF25" s="118">
        <f t="shared" si="18"/>
        <v>355920.31526812498</v>
      </c>
      <c r="DG25" s="118">
        <f t="shared" si="19"/>
        <v>-315920.31526812498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40000</v>
      </c>
      <c r="EQ25" s="119"/>
      <c r="ER25" s="126"/>
      <c r="ES25" s="122"/>
      <c r="ET25" s="123">
        <f t="shared" si="54"/>
        <v>29316.7</v>
      </c>
      <c r="EU25" s="72"/>
      <c r="EV25" s="117">
        <f t="shared" si="55"/>
        <v>3289.8007881703124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-50683.3</v>
      </c>
    </row>
    <row r="26" spans="1:193" ht="15">
      <c r="A26" s="727" t="s">
        <v>401</v>
      </c>
      <c r="B26" s="204"/>
      <c r="C26" s="201"/>
      <c r="D26" s="739"/>
      <c r="E26" s="740">
        <f t="shared" si="0"/>
        <v>0</v>
      </c>
      <c r="F26" s="741">
        <f t="shared" si="1"/>
        <v>0</v>
      </c>
      <c r="G26" s="203" t="str">
        <f t="shared" si="2"/>
        <v/>
      </c>
      <c r="H26" s="745">
        <f t="shared" si="58"/>
        <v>0</v>
      </c>
      <c r="I26" s="746">
        <f t="shared" si="3"/>
        <v>0</v>
      </c>
      <c r="J26" s="62"/>
      <c r="K26" s="701"/>
      <c r="L26" s="218">
        <f t="shared" si="73"/>
        <v>3454.2908275788282</v>
      </c>
      <c r="M26" s="769">
        <f t="shared" si="5"/>
        <v>29316.7</v>
      </c>
      <c r="N26" s="769">
        <f t="shared" ca="1" si="6"/>
        <v>-50683.3</v>
      </c>
      <c r="O26" s="62"/>
      <c r="P26" s="199" t="str">
        <f t="shared" si="69"/>
        <v/>
      </c>
      <c r="Q26" s="600">
        <f t="shared" si="70"/>
        <v>0</v>
      </c>
      <c r="R26" s="194"/>
      <c r="S26" s="730">
        <f t="shared" ca="1" si="60"/>
        <v>0</v>
      </c>
      <c r="T26" s="443" t="str">
        <f t="shared" si="61"/>
        <v/>
      </c>
      <c r="U26" s="443" t="str">
        <f t="shared" si="62"/>
        <v/>
      </c>
      <c r="V26" s="441">
        <f>IFERROR(VLOOKUP($U26,HomeBroker!$A$18:$F$106,2,0),0)</f>
        <v>0</v>
      </c>
      <c r="W26" s="732">
        <f>IFERROR(VLOOKUP($U26,HomeBroker!$A$18:$F$106,3,0),0)</f>
        <v>0</v>
      </c>
      <c r="X26" s="196">
        <f>IFERROR(VLOOKUP($U26,HomeBroker!$A$18:$F$106,6,0),0)</f>
        <v>0</v>
      </c>
      <c r="Y26" s="732">
        <f>IFERROR(VLOOKUP($U26,HomeBroker!$A$18:$F$106,4,0),0)</f>
        <v>0</v>
      </c>
      <c r="Z26" s="441">
        <f>IFERROR(VLOOKUP($U26,HomeBroker!$A$18:$F$106,5,0),0)</f>
        <v>0</v>
      </c>
      <c r="AA26" s="444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42">
        <f t="shared" ca="1" si="64"/>
        <v>0</v>
      </c>
      <c r="AF26" s="443" t="str">
        <f t="shared" si="65"/>
        <v/>
      </c>
      <c r="AG26" s="443" t="str">
        <f t="shared" si="66"/>
        <v/>
      </c>
      <c r="AH26" s="445">
        <f>IFERROR(VLOOKUP($AG26,HomeBroker!$A$18:$F$106,2,0),0)</f>
        <v>0</v>
      </c>
      <c r="AI26" s="441">
        <f>IFERROR(VLOOKUP($AG26,HomeBroker!$A$18:$F$106,3,0),0)</f>
        <v>0</v>
      </c>
      <c r="AJ26" s="196">
        <f>IFERROR(VLOOKUP($AG26,HomeBroker!$A$18:$F$106,6,0),0)</f>
        <v>0</v>
      </c>
      <c r="AK26" s="441">
        <f>IFERROR(VLOOKUP($AG26,HomeBroker!$A$18:$F$106,4,0),0)</f>
        <v>0</v>
      </c>
      <c r="AL26" s="445">
        <f>IFERROR(VLOOKUP($AG26,HomeBroker!$A$18:$F$106,5,0),0)</f>
        <v>0</v>
      </c>
      <c r="AM26" s="445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3454.2908275788282</v>
      </c>
      <c r="DF26" s="118">
        <f t="shared" si="18"/>
        <v>421716.33103153127</v>
      </c>
      <c r="DG26" s="118">
        <f t="shared" si="19"/>
        <v>-381716.33103153127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40000</v>
      </c>
      <c r="EQ26" s="119"/>
      <c r="ER26" s="126"/>
      <c r="ES26" s="122"/>
      <c r="ET26" s="123">
        <f t="shared" si="54"/>
        <v>29316.7</v>
      </c>
      <c r="EU26" s="72"/>
      <c r="EV26" s="117">
        <f t="shared" si="55"/>
        <v>3454.2908275788282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-50683.3</v>
      </c>
    </row>
    <row r="27" spans="1:193" ht="15">
      <c r="A27" s="727" t="s">
        <v>401</v>
      </c>
      <c r="B27" s="206"/>
      <c r="C27" s="201"/>
      <c r="D27" s="739"/>
      <c r="E27" s="740">
        <f t="shared" si="0"/>
        <v>0</v>
      </c>
      <c r="F27" s="741">
        <f t="shared" si="1"/>
        <v>0</v>
      </c>
      <c r="G27" s="203" t="str">
        <f t="shared" si="2"/>
        <v/>
      </c>
      <c r="H27" s="745">
        <f t="shared" si="58"/>
        <v>0</v>
      </c>
      <c r="I27" s="746">
        <f t="shared" si="3"/>
        <v>0</v>
      </c>
      <c r="J27" s="62"/>
      <c r="K27" s="701"/>
      <c r="L27" s="218">
        <f t="shared" si="73"/>
        <v>3627.0053689577699</v>
      </c>
      <c r="M27" s="770">
        <f t="shared" si="5"/>
        <v>29316.7</v>
      </c>
      <c r="N27" s="770">
        <f t="shared" ca="1" si="6"/>
        <v>-50683.3</v>
      </c>
      <c r="O27" s="62"/>
      <c r="P27" s="199" t="str">
        <f t="shared" si="69"/>
        <v/>
      </c>
      <c r="Q27" s="600">
        <f t="shared" si="70"/>
        <v>0</v>
      </c>
      <c r="R27" s="194"/>
      <c r="S27" s="730">
        <f t="shared" ca="1" si="60"/>
        <v>0</v>
      </c>
      <c r="T27" s="443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3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1">
        <f>IFERROR(VLOOKUP($U27,HomeBroker!$A$18:$F$106,2,0),0)</f>
        <v>0</v>
      </c>
      <c r="W27" s="732">
        <f>IFERROR(VLOOKUP($U27,HomeBroker!$A$18:$F$106,3,0),0)</f>
        <v>0</v>
      </c>
      <c r="X27" s="196">
        <f>IFERROR(VLOOKUP($U27,HomeBroker!$A$18:$F$106,6,0),0)</f>
        <v>0</v>
      </c>
      <c r="Y27" s="732">
        <f>IFERROR(VLOOKUP($U27,HomeBroker!$A$18:$F$106,4,0),0)</f>
        <v>0</v>
      </c>
      <c r="Z27" s="441">
        <f>IFERROR(VLOOKUP($U27,HomeBroker!$A$18:$F$106,5,0),0)</f>
        <v>0</v>
      </c>
      <c r="AA27" s="444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42">
        <f t="shared" ca="1" si="64"/>
        <v>0</v>
      </c>
      <c r="AF27" s="443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3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5">
        <f>IFERROR(VLOOKUP($AG27,HomeBroker!$A$18:$F$106,2,0),0)</f>
        <v>0</v>
      </c>
      <c r="AI27" s="441">
        <f>IFERROR(VLOOKUP($AG27,HomeBroker!$A$18:$F$106,3,0),0)</f>
        <v>0</v>
      </c>
      <c r="AJ27" s="196">
        <f>IFERROR(VLOOKUP($AG27,HomeBroker!$A$18:$F$106,6,0),0)</f>
        <v>0</v>
      </c>
      <c r="AK27" s="441">
        <f>IFERROR(VLOOKUP($AG27,HomeBroker!$A$18:$F$106,4,0),0)</f>
        <v>0</v>
      </c>
      <c r="AL27" s="445">
        <f>IFERROR(VLOOKUP($AG27,HomeBroker!$A$18:$F$106,5,0),0)</f>
        <v>0</v>
      </c>
      <c r="AM27" s="445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3627.0053689577699</v>
      </c>
      <c r="DF27" s="118">
        <f t="shared" si="18"/>
        <v>490802.14758310793</v>
      </c>
      <c r="DG27" s="118">
        <f t="shared" si="19"/>
        <v>-450802.14758310793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40000</v>
      </c>
      <c r="EQ27" s="119"/>
      <c r="ER27" s="126"/>
      <c r="ES27" s="122"/>
      <c r="ET27" s="123">
        <f t="shared" si="54"/>
        <v>29316.7</v>
      </c>
      <c r="EU27" s="72"/>
      <c r="EV27" s="117">
        <f t="shared" si="55"/>
        <v>3627.0053689577699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-50683.3</v>
      </c>
    </row>
    <row r="28" spans="1:193" ht="15">
      <c r="A28" s="727" t="s">
        <v>401</v>
      </c>
      <c r="B28" s="204"/>
      <c r="C28" s="201"/>
      <c r="D28" s="739"/>
      <c r="E28" s="740">
        <f t="shared" si="0"/>
        <v>0</v>
      </c>
      <c r="F28" s="741">
        <f t="shared" si="1"/>
        <v>0</v>
      </c>
      <c r="G28" s="203" t="str">
        <f t="shared" si="2"/>
        <v/>
      </c>
      <c r="H28" s="745">
        <f t="shared" si="58"/>
        <v>0</v>
      </c>
      <c r="I28" s="746">
        <f t="shared" si="3"/>
        <v>0</v>
      </c>
      <c r="J28" s="62"/>
      <c r="K28" s="704"/>
      <c r="L28" s="218">
        <f t="shared" si="73"/>
        <v>3808.3556374056584</v>
      </c>
      <c r="M28" s="769">
        <f t="shared" si="5"/>
        <v>29316.7</v>
      </c>
      <c r="N28" s="769">
        <f t="shared" ca="1" si="6"/>
        <v>-50683.3</v>
      </c>
      <c r="O28" s="62"/>
      <c r="P28" s="199" t="str">
        <f t="shared" si="69"/>
        <v/>
      </c>
      <c r="Q28" s="600">
        <f t="shared" si="70"/>
        <v>0</v>
      </c>
      <c r="R28" s="194"/>
      <c r="S28" s="730">
        <f t="shared" ca="1" si="60"/>
        <v>0</v>
      </c>
      <c r="T28" s="443" t="str">
        <f t="shared" si="75"/>
        <v/>
      </c>
      <c r="U28" s="443" t="str">
        <f t="shared" si="76"/>
        <v/>
      </c>
      <c r="V28" s="441">
        <f>IFERROR(VLOOKUP($U28,HomeBroker!$A$18:$F$106,2,0),0)</f>
        <v>0</v>
      </c>
      <c r="W28" s="732">
        <f>IFERROR(VLOOKUP($U28,HomeBroker!$A$18:$F$106,3,0),0)</f>
        <v>0</v>
      </c>
      <c r="X28" s="196">
        <f>IFERROR(VLOOKUP($U28,HomeBroker!$A$18:$F$106,6,0),0)</f>
        <v>0</v>
      </c>
      <c r="Y28" s="732">
        <f>IFERROR(VLOOKUP($U28,HomeBroker!$A$18:$F$106,4,0),0)</f>
        <v>0</v>
      </c>
      <c r="Z28" s="441">
        <f>IFERROR(VLOOKUP($U28,HomeBroker!$A$18:$F$106,5,0),0)</f>
        <v>0</v>
      </c>
      <c r="AA28" s="444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42">
        <f t="shared" ca="1" si="64"/>
        <v>0</v>
      </c>
      <c r="AF28" s="443" t="str">
        <f t="shared" si="77"/>
        <v/>
      </c>
      <c r="AG28" s="443" t="str">
        <f t="shared" si="78"/>
        <v/>
      </c>
      <c r="AH28" s="445">
        <f>IFERROR(VLOOKUP($AG28,HomeBroker!$A$18:$F$106,2,0),0)</f>
        <v>0</v>
      </c>
      <c r="AI28" s="441">
        <f>IFERROR(VLOOKUP($AG28,HomeBroker!$A$18:$F$106,3,0),0)</f>
        <v>0</v>
      </c>
      <c r="AJ28" s="196">
        <f>IFERROR(VLOOKUP($AG28,HomeBroker!$A$18:$F$106,6,0),0)</f>
        <v>0</v>
      </c>
      <c r="AK28" s="441">
        <f>IFERROR(VLOOKUP($AG28,HomeBroker!$A$18:$F$106,4,0),0)</f>
        <v>0</v>
      </c>
      <c r="AL28" s="445">
        <f>IFERROR(VLOOKUP($AG28,HomeBroker!$A$18:$F$106,5,0),0)</f>
        <v>0</v>
      </c>
      <c r="AM28" s="445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3808.3556374056584</v>
      </c>
      <c r="DF28" s="118">
        <f t="shared" si="18"/>
        <v>563342.2549622634</v>
      </c>
      <c r="DG28" s="118">
        <f t="shared" si="19"/>
        <v>-523342.25496226334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40000.000000000058</v>
      </c>
      <c r="EQ28" s="119"/>
      <c r="ER28" s="126"/>
      <c r="ES28" s="122"/>
      <c r="ET28" s="123">
        <f t="shared" si="54"/>
        <v>29316.7</v>
      </c>
      <c r="EU28" s="72"/>
      <c r="EV28" s="117">
        <f t="shared" si="55"/>
        <v>3808.3556374056584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-50683.3</v>
      </c>
    </row>
    <row r="29" spans="1:193" ht="15">
      <c r="A29" s="727" t="s">
        <v>401</v>
      </c>
      <c r="B29" s="204"/>
      <c r="C29" s="201"/>
      <c r="D29" s="739"/>
      <c r="E29" s="740">
        <f t="shared" si="0"/>
        <v>0</v>
      </c>
      <c r="F29" s="741">
        <f t="shared" si="1"/>
        <v>0</v>
      </c>
      <c r="G29" s="203" t="str">
        <f t="shared" si="2"/>
        <v/>
      </c>
      <c r="H29" s="745">
        <f t="shared" si="58"/>
        <v>0</v>
      </c>
      <c r="I29" s="746">
        <f t="shared" si="3"/>
        <v>0</v>
      </c>
      <c r="J29" s="62"/>
      <c r="K29" s="106">
        <f>IFERROR(+L29/$L$18-1,"")</f>
        <v>0.71033935811631377</v>
      </c>
      <c r="L29" s="221">
        <f t="shared" si="73"/>
        <v>3998.7734192759417</v>
      </c>
      <c r="M29" s="769">
        <f t="shared" si="5"/>
        <v>29316.7</v>
      </c>
      <c r="N29" s="769">
        <f t="shared" ca="1" si="6"/>
        <v>-50683.3</v>
      </c>
      <c r="O29" s="62"/>
      <c r="P29" s="199" t="str">
        <f t="shared" si="69"/>
        <v/>
      </c>
      <c r="Q29" s="600">
        <f t="shared" si="70"/>
        <v>0</v>
      </c>
      <c r="R29" s="194"/>
      <c r="S29" s="730">
        <f t="shared" ca="1" si="60"/>
        <v>0</v>
      </c>
      <c r="T29" s="443" t="str">
        <f t="shared" si="75"/>
        <v/>
      </c>
      <c r="U29" s="443" t="str">
        <f t="shared" si="76"/>
        <v/>
      </c>
      <c r="V29" s="441">
        <f>IFERROR(VLOOKUP($U29,HomeBroker!$A$18:$F$106,2,0),0)</f>
        <v>0</v>
      </c>
      <c r="W29" s="732">
        <f>IFERROR(VLOOKUP($U29,HomeBroker!$A$18:$F$106,3,0),0)</f>
        <v>0</v>
      </c>
      <c r="X29" s="196">
        <f>IFERROR(VLOOKUP($U29,HomeBroker!$A$18:$F$106,6,0),0)</f>
        <v>0</v>
      </c>
      <c r="Y29" s="732">
        <f>IFERROR(VLOOKUP($U29,HomeBroker!$A$18:$F$106,4,0),0)</f>
        <v>0</v>
      </c>
      <c r="Z29" s="441">
        <f>IFERROR(VLOOKUP($U29,HomeBroker!$A$18:$F$106,5,0),0)</f>
        <v>0</v>
      </c>
      <c r="AA29" s="444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42">
        <f t="shared" ca="1" si="64"/>
        <v>0</v>
      </c>
      <c r="AF29" s="443" t="str">
        <f t="shared" si="77"/>
        <v/>
      </c>
      <c r="AG29" s="443" t="str">
        <f t="shared" si="78"/>
        <v/>
      </c>
      <c r="AH29" s="445">
        <f>IFERROR(VLOOKUP($AG29,HomeBroker!$A$18:$F$106,2,0),0)</f>
        <v>0</v>
      </c>
      <c r="AI29" s="441">
        <f>IFERROR(VLOOKUP($AG29,HomeBroker!$A$18:$F$106,3,0),0)</f>
        <v>0</v>
      </c>
      <c r="AJ29" s="196">
        <f>IFERROR(VLOOKUP($AG29,HomeBroker!$A$18:$F$106,6,0),0)</f>
        <v>0</v>
      </c>
      <c r="AK29" s="441">
        <f>IFERROR(VLOOKUP($AG29,HomeBroker!$A$18:$F$106,4,0),0)</f>
        <v>0</v>
      </c>
      <c r="AL29" s="445">
        <f>IFERROR(VLOOKUP($AG29,HomeBroker!$A$18:$F$106,5,0),0)</f>
        <v>0</v>
      </c>
      <c r="AM29" s="445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3998.7734192759417</v>
      </c>
      <c r="DF29" s="118">
        <f t="shared" si="18"/>
        <v>639509.36771037662</v>
      </c>
      <c r="DG29" s="118">
        <f t="shared" si="19"/>
        <v>-599509.36771037662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40000</v>
      </c>
      <c r="EQ29" s="119"/>
      <c r="ER29" s="126"/>
      <c r="ES29" s="122"/>
      <c r="ET29" s="123">
        <f t="shared" si="54"/>
        <v>29316.7</v>
      </c>
      <c r="EU29" s="72"/>
      <c r="EV29" s="117">
        <f t="shared" si="55"/>
        <v>3998.7734192759417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-50683.3</v>
      </c>
    </row>
    <row r="30" spans="1:193" ht="15">
      <c r="A30" s="727" t="s">
        <v>401</v>
      </c>
      <c r="B30" s="204"/>
      <c r="C30" s="201"/>
      <c r="D30" s="739"/>
      <c r="E30" s="740">
        <f t="shared" si="0"/>
        <v>0</v>
      </c>
      <c r="F30" s="741">
        <f t="shared" si="1"/>
        <v>0</v>
      </c>
      <c r="G30" s="203" t="str">
        <f t="shared" si="2"/>
        <v/>
      </c>
      <c r="H30" s="745">
        <f t="shared" si="58"/>
        <v>0</v>
      </c>
      <c r="I30" s="746">
        <f t="shared" si="3"/>
        <v>0</v>
      </c>
      <c r="J30" s="62"/>
      <c r="K30" s="106"/>
      <c r="L30" s="221">
        <f t="shared" si="73"/>
        <v>4198.7120902397392</v>
      </c>
      <c r="M30" s="770">
        <f t="shared" si="5"/>
        <v>29316.7</v>
      </c>
      <c r="N30" s="770">
        <f t="shared" ca="1" si="6"/>
        <v>-50683.3</v>
      </c>
      <c r="O30" s="62"/>
      <c r="P30" s="199" t="str">
        <f t="shared" si="69"/>
        <v/>
      </c>
      <c r="Q30" s="600">
        <f t="shared" si="70"/>
        <v>0</v>
      </c>
      <c r="R30" s="194"/>
      <c r="S30" s="730">
        <f t="shared" ca="1" si="60"/>
        <v>0</v>
      </c>
      <c r="T30" s="443" t="str">
        <f t="shared" si="75"/>
        <v/>
      </c>
      <c r="U30" s="443" t="str">
        <f t="shared" si="76"/>
        <v/>
      </c>
      <c r="V30" s="441">
        <f>IFERROR(VLOOKUP($U30,HomeBroker!$A$18:$F$106,2,0),0)</f>
        <v>0</v>
      </c>
      <c r="W30" s="732">
        <f>IFERROR(VLOOKUP($U30,HomeBroker!$A$18:$F$106,3,0),0)</f>
        <v>0</v>
      </c>
      <c r="X30" s="196">
        <f>IFERROR(VLOOKUP($U30,HomeBroker!$A$18:$F$106,6,0),0)</f>
        <v>0</v>
      </c>
      <c r="Y30" s="732">
        <f>IFERROR(VLOOKUP($U30,HomeBroker!$A$18:$F$106,4,0),0)</f>
        <v>0</v>
      </c>
      <c r="Z30" s="441">
        <f>IFERROR(VLOOKUP($U30,HomeBroker!$A$18:$F$106,5,0),0)</f>
        <v>0</v>
      </c>
      <c r="AA30" s="444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42">
        <f t="shared" ca="1" si="64"/>
        <v>0</v>
      </c>
      <c r="AF30" s="443" t="str">
        <f t="shared" si="77"/>
        <v/>
      </c>
      <c r="AG30" s="443" t="str">
        <f t="shared" si="78"/>
        <v/>
      </c>
      <c r="AH30" s="445">
        <f>IFERROR(VLOOKUP($AG30,HomeBroker!$A$18:$F$106,2,0),0)</f>
        <v>0</v>
      </c>
      <c r="AI30" s="441">
        <f>IFERROR(VLOOKUP($AG30,HomeBroker!$A$18:$F$106,3,0),0)</f>
        <v>0</v>
      </c>
      <c r="AJ30" s="196">
        <f>IFERROR(VLOOKUP($AG30,HomeBroker!$A$18:$F$106,6,0),0)</f>
        <v>0</v>
      </c>
      <c r="AK30" s="441">
        <f>IFERROR(VLOOKUP($AG30,HomeBroker!$A$18:$F$106,4,0),0)</f>
        <v>0</v>
      </c>
      <c r="AL30" s="445">
        <f>IFERROR(VLOOKUP($AG30,HomeBroker!$A$18:$F$106,5,0),0)</f>
        <v>0</v>
      </c>
      <c r="AM30" s="445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4198.7120902397392</v>
      </c>
      <c r="DF30" s="118">
        <f t="shared" si="18"/>
        <v>719484.83609589562</v>
      </c>
      <c r="DG30" s="118">
        <f t="shared" si="19"/>
        <v>-679484.83609589562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40000</v>
      </c>
      <c r="EQ30" s="119"/>
      <c r="ER30" s="126"/>
      <c r="ES30" s="122"/>
      <c r="ET30" s="123">
        <f t="shared" si="54"/>
        <v>29316.7</v>
      </c>
      <c r="EU30" s="72"/>
      <c r="EV30" s="117">
        <f t="shared" si="55"/>
        <v>4198.7120902397392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-50683.3</v>
      </c>
    </row>
    <row r="31" spans="1:193" ht="15">
      <c r="A31" s="727" t="s">
        <v>401</v>
      </c>
      <c r="B31" s="204"/>
      <c r="C31" s="201"/>
      <c r="D31" s="739"/>
      <c r="E31" s="740">
        <f t="shared" si="0"/>
        <v>0</v>
      </c>
      <c r="F31" s="741">
        <f t="shared" si="1"/>
        <v>0</v>
      </c>
      <c r="G31" s="203" t="str">
        <f t="shared" si="2"/>
        <v/>
      </c>
      <c r="H31" s="745">
        <f t="shared" si="58"/>
        <v>0</v>
      </c>
      <c r="I31" s="746">
        <f t="shared" si="3"/>
        <v>0</v>
      </c>
      <c r="J31" s="62"/>
      <c r="K31" s="106"/>
      <c r="L31" s="221">
        <f t="shared" si="73"/>
        <v>4408.6476947517267</v>
      </c>
      <c r="M31" s="769">
        <f t="shared" si="5"/>
        <v>29316.7</v>
      </c>
      <c r="N31" s="769">
        <f t="shared" ca="1" si="6"/>
        <v>-50683.3</v>
      </c>
      <c r="O31" s="62"/>
      <c r="P31" s="199" t="str">
        <f t="shared" si="69"/>
        <v/>
      </c>
      <c r="Q31" s="600">
        <f t="shared" si="70"/>
        <v>0</v>
      </c>
      <c r="R31" s="194"/>
      <c r="S31" s="730">
        <f t="shared" ca="1" si="60"/>
        <v>0</v>
      </c>
      <c r="T31" s="443" t="str">
        <f t="shared" si="75"/>
        <v/>
      </c>
      <c r="U31" s="443" t="str">
        <f t="shared" si="76"/>
        <v/>
      </c>
      <c r="V31" s="441">
        <f>IFERROR(VLOOKUP($U31,HomeBroker!$A$18:$F$106,2,0),0)</f>
        <v>0</v>
      </c>
      <c r="W31" s="732">
        <f>IFERROR(VLOOKUP($U31,HomeBroker!$A$18:$F$106,3,0),0)</f>
        <v>0</v>
      </c>
      <c r="X31" s="196">
        <f>IFERROR(VLOOKUP($U31,HomeBroker!$A$18:$F$106,6,0),0)</f>
        <v>0</v>
      </c>
      <c r="Y31" s="732">
        <f>IFERROR(VLOOKUP($U31,HomeBroker!$A$18:$F$106,4,0),0)</f>
        <v>0</v>
      </c>
      <c r="Z31" s="441">
        <f>IFERROR(VLOOKUP($U31,HomeBroker!$A$18:$F$106,5,0),0)</f>
        <v>0</v>
      </c>
      <c r="AA31" s="444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42">
        <f t="shared" ca="1" si="64"/>
        <v>0</v>
      </c>
      <c r="AF31" s="443" t="str">
        <f t="shared" si="77"/>
        <v/>
      </c>
      <c r="AG31" s="443" t="str">
        <f t="shared" si="78"/>
        <v/>
      </c>
      <c r="AH31" s="445">
        <f>IFERROR(VLOOKUP($AG31,HomeBroker!$A$18:$F$106,2,0),0)</f>
        <v>0</v>
      </c>
      <c r="AI31" s="441">
        <f>IFERROR(VLOOKUP($AG31,HomeBroker!$A$18:$F$106,3,0),0)</f>
        <v>0</v>
      </c>
      <c r="AJ31" s="196">
        <f>IFERROR(VLOOKUP($AG31,HomeBroker!$A$18:$F$106,6,0),0)</f>
        <v>0</v>
      </c>
      <c r="AK31" s="441">
        <f>IFERROR(VLOOKUP($AG31,HomeBroker!$A$18:$F$106,4,0),0)</f>
        <v>0</v>
      </c>
      <c r="AL31" s="445">
        <f>IFERROR(VLOOKUP($AG31,HomeBroker!$A$18:$F$106,5,0),0)</f>
        <v>0</v>
      </c>
      <c r="AM31" s="445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4408.6476947517267</v>
      </c>
      <c r="DF31" s="118">
        <f t="shared" si="18"/>
        <v>803459.07790069073</v>
      </c>
      <c r="DG31" s="118">
        <f t="shared" si="19"/>
        <v>-763459.07790069073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40000</v>
      </c>
      <c r="EQ31" s="119"/>
      <c r="ER31" s="126"/>
      <c r="ES31" s="122"/>
      <c r="ET31" s="123">
        <f t="shared" si="54"/>
        <v>29316.7</v>
      </c>
      <c r="EU31" s="72"/>
      <c r="EV31" s="117">
        <f t="shared" si="55"/>
        <v>4408.6476947517267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-50683.3</v>
      </c>
    </row>
    <row r="32" spans="1:193" ht="15">
      <c r="A32" s="727" t="s">
        <v>401</v>
      </c>
      <c r="B32" s="204"/>
      <c r="C32" s="201"/>
      <c r="D32" s="739"/>
      <c r="E32" s="740">
        <f t="shared" si="0"/>
        <v>0</v>
      </c>
      <c r="F32" s="741">
        <f t="shared" si="1"/>
        <v>0</v>
      </c>
      <c r="G32" s="203" t="str">
        <f t="shared" si="2"/>
        <v/>
      </c>
      <c r="H32" s="745">
        <f t="shared" si="58"/>
        <v>0</v>
      </c>
      <c r="I32" s="746">
        <f t="shared" si="3"/>
        <v>0</v>
      </c>
      <c r="J32" s="62"/>
      <c r="K32" s="106"/>
      <c r="L32" s="221">
        <f t="shared" si="73"/>
        <v>4629.080079489313</v>
      </c>
      <c r="M32" s="769">
        <f t="shared" si="5"/>
        <v>29316.7</v>
      </c>
      <c r="N32" s="769">
        <f t="shared" ca="1" si="6"/>
        <v>-50683.3</v>
      </c>
      <c r="O32" s="62"/>
      <c r="P32" s="199" t="str">
        <f t="shared" si="69"/>
        <v/>
      </c>
      <c r="Q32" s="600">
        <f t="shared" si="70"/>
        <v>0</v>
      </c>
      <c r="R32" s="194"/>
      <c r="S32" s="730">
        <f t="shared" ca="1" si="60"/>
        <v>0</v>
      </c>
      <c r="T32" s="443" t="str">
        <f t="shared" si="75"/>
        <v/>
      </c>
      <c r="U32" s="443" t="str">
        <f t="shared" si="76"/>
        <v/>
      </c>
      <c r="V32" s="441">
        <f>IFERROR(VLOOKUP($U32,HomeBroker!$A$18:$F$106,2,0),0)</f>
        <v>0</v>
      </c>
      <c r="W32" s="732">
        <f>IFERROR(VLOOKUP($U32,HomeBroker!$A$18:$F$106,3,0),0)</f>
        <v>0</v>
      </c>
      <c r="X32" s="196">
        <f>IFERROR(VLOOKUP($U32,HomeBroker!$A$18:$F$106,6,0),0)</f>
        <v>0</v>
      </c>
      <c r="Y32" s="732">
        <f>IFERROR(VLOOKUP($U32,HomeBroker!$A$18:$F$106,4,0),0)</f>
        <v>0</v>
      </c>
      <c r="Z32" s="441">
        <f>IFERROR(VLOOKUP($U32,HomeBroker!$A$18:$F$106,5,0),0)</f>
        <v>0</v>
      </c>
      <c r="AA32" s="444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42">
        <f t="shared" ca="1" si="64"/>
        <v>0</v>
      </c>
      <c r="AF32" s="443" t="str">
        <f t="shared" si="77"/>
        <v/>
      </c>
      <c r="AG32" s="443" t="str">
        <f t="shared" si="78"/>
        <v/>
      </c>
      <c r="AH32" s="445">
        <f>IFERROR(VLOOKUP($AG32,HomeBroker!$A$18:$F$106,2,0),0)</f>
        <v>0</v>
      </c>
      <c r="AI32" s="441">
        <f>IFERROR(VLOOKUP($AG32,HomeBroker!$A$18:$F$106,3,0),0)</f>
        <v>0</v>
      </c>
      <c r="AJ32" s="196">
        <f>IFERROR(VLOOKUP($AG32,HomeBroker!$A$18:$F$106,6,0),0)</f>
        <v>0</v>
      </c>
      <c r="AK32" s="441">
        <f>IFERROR(VLOOKUP($AG32,HomeBroker!$A$18:$F$106,4,0),0)</f>
        <v>0</v>
      </c>
      <c r="AL32" s="445">
        <f>IFERROR(VLOOKUP($AG32,HomeBroker!$A$18:$F$106,5,0),0)</f>
        <v>0</v>
      </c>
      <c r="AM32" s="445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4629.080079489313</v>
      </c>
      <c r="DF32" s="118">
        <f t="shared" si="18"/>
        <v>891632.03179572523</v>
      </c>
      <c r="DG32" s="118">
        <f t="shared" si="19"/>
        <v>-851632.03179572523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40000</v>
      </c>
      <c r="EQ32" s="119"/>
      <c r="ER32" s="126"/>
      <c r="ES32" s="122"/>
      <c r="ET32" s="123">
        <f t="shared" si="54"/>
        <v>29316.7</v>
      </c>
      <c r="EU32" s="72"/>
      <c r="EV32" s="117">
        <f t="shared" si="55"/>
        <v>4629.080079489313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-50683.3</v>
      </c>
    </row>
    <row r="33" spans="1:193" ht="15">
      <c r="A33" s="727" t="s">
        <v>401</v>
      </c>
      <c r="B33" s="204"/>
      <c r="C33" s="201"/>
      <c r="D33" s="739"/>
      <c r="E33" s="740">
        <f t="shared" si="0"/>
        <v>0</v>
      </c>
      <c r="F33" s="741">
        <f t="shared" si="1"/>
        <v>0</v>
      </c>
      <c r="G33" s="203" t="str">
        <f t="shared" si="2"/>
        <v/>
      </c>
      <c r="H33" s="745">
        <f t="shared" si="58"/>
        <v>0</v>
      </c>
      <c r="I33" s="746">
        <f t="shared" si="3"/>
        <v>0</v>
      </c>
      <c r="J33" s="62"/>
      <c r="K33" s="106"/>
      <c r="L33" s="221">
        <f t="shared" si="73"/>
        <v>4860.5340834637791</v>
      </c>
      <c r="M33" s="770">
        <f t="shared" si="5"/>
        <v>29316.7</v>
      </c>
      <c r="N33" s="770">
        <f t="shared" ca="1" si="6"/>
        <v>-50683.3</v>
      </c>
      <c r="O33" s="62"/>
      <c r="P33" s="199" t="str">
        <f t="shared" si="69"/>
        <v/>
      </c>
      <c r="Q33" s="600">
        <f t="shared" si="70"/>
        <v>0</v>
      </c>
      <c r="R33" s="194"/>
      <c r="S33" s="730">
        <f t="shared" ca="1" si="60"/>
        <v>0</v>
      </c>
      <c r="T33" s="443" t="str">
        <f t="shared" si="75"/>
        <v/>
      </c>
      <c r="U33" s="443" t="str">
        <f t="shared" si="76"/>
        <v/>
      </c>
      <c r="V33" s="441">
        <f>IFERROR(VLOOKUP($U33,HomeBroker!$A$18:$F$106,2,0),0)</f>
        <v>0</v>
      </c>
      <c r="W33" s="732">
        <f>IFERROR(VLOOKUP($U33,HomeBroker!$A$18:$F$106,3,0),0)</f>
        <v>0</v>
      </c>
      <c r="X33" s="196">
        <f>IFERROR(VLOOKUP($U33,HomeBroker!$A$18:$F$106,6,0),0)</f>
        <v>0</v>
      </c>
      <c r="Y33" s="732">
        <f>IFERROR(VLOOKUP($U33,HomeBroker!$A$18:$F$106,4,0),0)</f>
        <v>0</v>
      </c>
      <c r="Z33" s="441">
        <f>IFERROR(VLOOKUP($U33,HomeBroker!$A$18:$F$106,5,0),0)</f>
        <v>0</v>
      </c>
      <c r="AA33" s="444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42">
        <f t="shared" ca="1" si="64"/>
        <v>0</v>
      </c>
      <c r="AF33" s="443" t="str">
        <f t="shared" si="77"/>
        <v/>
      </c>
      <c r="AG33" s="443" t="str">
        <f t="shared" si="78"/>
        <v/>
      </c>
      <c r="AH33" s="445">
        <f>IFERROR(VLOOKUP($AG33,HomeBroker!$A$18:$F$106,2,0),0)</f>
        <v>0</v>
      </c>
      <c r="AI33" s="441">
        <f>IFERROR(VLOOKUP($AG33,HomeBroker!$A$18:$F$106,3,0),0)</f>
        <v>0</v>
      </c>
      <c r="AJ33" s="196">
        <f>IFERROR(VLOOKUP($AG33,HomeBroker!$A$18:$F$106,6,0),0)</f>
        <v>0</v>
      </c>
      <c r="AK33" s="441">
        <f>IFERROR(VLOOKUP($AG33,HomeBroker!$A$18:$F$106,4,0),0)</f>
        <v>0</v>
      </c>
      <c r="AL33" s="445">
        <f>IFERROR(VLOOKUP($AG33,HomeBroker!$A$18:$F$106,5,0),0)</f>
        <v>0</v>
      </c>
      <c r="AM33" s="445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4860.5340834637791</v>
      </c>
      <c r="DF33" s="118">
        <f t="shared" si="18"/>
        <v>984213.63338551158</v>
      </c>
      <c r="DG33" s="118">
        <f t="shared" si="19"/>
        <v>-944213.63338551158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40000</v>
      </c>
      <c r="EQ33" s="119"/>
      <c r="ER33" s="126"/>
      <c r="ES33" s="122"/>
      <c r="ET33" s="123">
        <f t="shared" si="54"/>
        <v>29316.7</v>
      </c>
      <c r="EU33" s="72"/>
      <c r="EV33" s="117">
        <f t="shared" si="55"/>
        <v>4860.5340834637791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-50683.3</v>
      </c>
    </row>
    <row r="34" spans="1:193" ht="15.75" thickBot="1">
      <c r="A34" s="727" t="s">
        <v>401</v>
      </c>
      <c r="B34" s="204"/>
      <c r="C34" s="201"/>
      <c r="D34" s="739"/>
      <c r="E34" s="740">
        <f t="shared" si="0"/>
        <v>0</v>
      </c>
      <c r="F34" s="741">
        <f t="shared" si="1"/>
        <v>0</v>
      </c>
      <c r="G34" s="203" t="str">
        <f t="shared" si="2"/>
        <v/>
      </c>
      <c r="H34" s="745">
        <f t="shared" si="58"/>
        <v>0</v>
      </c>
      <c r="I34" s="746">
        <f t="shared" si="3"/>
        <v>0</v>
      </c>
      <c r="J34" s="62"/>
      <c r="K34" s="133"/>
      <c r="L34" s="222">
        <f t="shared" si="73"/>
        <v>5103.5607876369686</v>
      </c>
      <c r="M34" s="771">
        <f t="shared" si="5"/>
        <v>29316.7</v>
      </c>
      <c r="N34" s="771">
        <f t="shared" ca="1" si="6"/>
        <v>-50683.3</v>
      </c>
      <c r="O34" s="134"/>
      <c r="P34" s="199" t="str">
        <f t="shared" si="69"/>
        <v/>
      </c>
      <c r="Q34" s="600">
        <f t="shared" si="70"/>
        <v>0</v>
      </c>
      <c r="R34" s="194"/>
      <c r="S34" s="730">
        <f t="shared" ca="1" si="60"/>
        <v>0</v>
      </c>
      <c r="T34" s="443" t="str">
        <f t="shared" si="75"/>
        <v/>
      </c>
      <c r="U34" s="443" t="str">
        <f t="shared" si="76"/>
        <v/>
      </c>
      <c r="V34" s="441">
        <f>IFERROR(VLOOKUP($U34,HomeBroker!$A$18:$F$106,2,0),0)</f>
        <v>0</v>
      </c>
      <c r="W34" s="732">
        <f>IFERROR(VLOOKUP($U34,HomeBroker!$A$18:$F$106,3,0),0)</f>
        <v>0</v>
      </c>
      <c r="X34" s="196">
        <f>IFERROR(VLOOKUP($U34,HomeBroker!$A$18:$F$106,6,0),0)</f>
        <v>0</v>
      </c>
      <c r="Y34" s="732">
        <f>IFERROR(VLOOKUP($U34,HomeBroker!$A$18:$F$106,4,0),0)</f>
        <v>0</v>
      </c>
      <c r="Z34" s="441">
        <f>IFERROR(VLOOKUP($U34,HomeBroker!$A$18:$F$106,5,0),0)</f>
        <v>0</v>
      </c>
      <c r="AA34" s="444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42">
        <f t="shared" ca="1" si="64"/>
        <v>0</v>
      </c>
      <c r="AF34" s="443" t="str">
        <f t="shared" si="77"/>
        <v/>
      </c>
      <c r="AG34" s="443" t="str">
        <f t="shared" si="78"/>
        <v/>
      </c>
      <c r="AH34" s="445">
        <f>IFERROR(VLOOKUP($AG34,HomeBroker!$A$18:$F$106,2,0),0)</f>
        <v>0</v>
      </c>
      <c r="AI34" s="441">
        <f>IFERROR(VLOOKUP($AG34,HomeBroker!$A$18:$F$106,3,0),0)</f>
        <v>0</v>
      </c>
      <c r="AJ34" s="196">
        <f>IFERROR(VLOOKUP($AG34,HomeBroker!$A$18:$F$106,6,0),0)</f>
        <v>0</v>
      </c>
      <c r="AK34" s="441">
        <f>IFERROR(VLOOKUP($AG34,HomeBroker!$A$18:$F$106,4,0),0)</f>
        <v>0</v>
      </c>
      <c r="AL34" s="445">
        <f>IFERROR(VLOOKUP($AG34,HomeBroker!$A$18:$F$106,5,0),0)</f>
        <v>0</v>
      </c>
      <c r="AM34" s="445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5103.5607876369686</v>
      </c>
      <c r="DF34" s="118">
        <f t="shared" si="18"/>
        <v>1081424.3150547873</v>
      </c>
      <c r="DG34" s="118">
        <f t="shared" si="19"/>
        <v>-1041424.3150547874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39999.999999999884</v>
      </c>
      <c r="EQ34" s="119"/>
      <c r="ER34" s="135"/>
      <c r="ES34" s="136"/>
      <c r="ET34" s="137">
        <f t="shared" si="54"/>
        <v>29316.7</v>
      </c>
      <c r="EU34" s="72"/>
      <c r="EV34" s="117">
        <f t="shared" si="55"/>
        <v>5103.5607876369686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-50683.3</v>
      </c>
    </row>
    <row r="35" spans="1:193" ht="15">
      <c r="A35" s="727" t="s">
        <v>401</v>
      </c>
      <c r="B35" s="204"/>
      <c r="C35" s="201"/>
      <c r="D35" s="739"/>
      <c r="E35" s="740">
        <f t="shared" si="0"/>
        <v>0</v>
      </c>
      <c r="F35" s="741">
        <f t="shared" ref="F35:F66" si="79">IF(B35&gt;0,+B35*D35*(1+($N$53+0.002)*1.21)*-100,B35*D35*(1-($N$53+0.002)*1.21)*-100)</f>
        <v>0</v>
      </c>
      <c r="G35" s="203" t="str">
        <f t="shared" si="2"/>
        <v/>
      </c>
      <c r="H35" s="745">
        <f t="shared" si="58"/>
        <v>0</v>
      </c>
      <c r="I35" s="746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0">
        <f t="shared" si="70"/>
        <v>0</v>
      </c>
      <c r="R35" s="194"/>
      <c r="S35" s="730">
        <f t="shared" ca="1" si="60"/>
        <v>0</v>
      </c>
      <c r="T35" s="443" t="str">
        <f t="shared" si="75"/>
        <v/>
      </c>
      <c r="U35" s="443" t="str">
        <f t="shared" si="76"/>
        <v/>
      </c>
      <c r="V35" s="441">
        <f>IFERROR(VLOOKUP($U35,HomeBroker!$A$18:$F$106,2,0),0)</f>
        <v>0</v>
      </c>
      <c r="W35" s="732">
        <f>IFERROR(VLOOKUP($U35,HomeBroker!$A$18:$F$106,3,0),0)</f>
        <v>0</v>
      </c>
      <c r="X35" s="196">
        <f>IFERROR(VLOOKUP($U35,HomeBroker!$A$18:$F$106,6,0),0)</f>
        <v>0</v>
      </c>
      <c r="Y35" s="732">
        <f>IFERROR(VLOOKUP($U35,HomeBroker!$A$18:$F$106,4,0),0)</f>
        <v>0</v>
      </c>
      <c r="Z35" s="441">
        <f>IFERROR(VLOOKUP($U35,HomeBroker!$A$18:$F$106,5,0),0)</f>
        <v>0</v>
      </c>
      <c r="AA35" s="444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42">
        <f t="shared" ca="1" si="64"/>
        <v>0</v>
      </c>
      <c r="AF35" s="443" t="str">
        <f t="shared" si="77"/>
        <v/>
      </c>
      <c r="AG35" s="443" t="str">
        <f t="shared" si="78"/>
        <v/>
      </c>
      <c r="AH35" s="445">
        <f>IFERROR(VLOOKUP($AG35,HomeBroker!$A$18:$F$106,2,0),0)</f>
        <v>0</v>
      </c>
      <c r="AI35" s="441">
        <f>IFERROR(VLOOKUP($AG35,HomeBroker!$A$18:$F$106,3,0),0)</f>
        <v>0</v>
      </c>
      <c r="AJ35" s="196">
        <f>IFERROR(VLOOKUP($AG35,HomeBroker!$A$18:$F$106,6,0),0)</f>
        <v>0</v>
      </c>
      <c r="AK35" s="441">
        <f>IFERROR(VLOOKUP($AG35,HomeBroker!$A$18:$F$106,4,0),0)</f>
        <v>0</v>
      </c>
      <c r="AL35" s="445">
        <f>IFERROR(VLOOKUP($AG35,HomeBroker!$A$18:$F$106,5,0),0)</f>
        <v>0</v>
      </c>
      <c r="AM35" s="445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27" t="s">
        <v>401</v>
      </c>
      <c r="B36" s="204"/>
      <c r="C36" s="201"/>
      <c r="D36" s="739"/>
      <c r="E36" s="740">
        <f t="shared" si="0"/>
        <v>0</v>
      </c>
      <c r="F36" s="741">
        <f t="shared" si="79"/>
        <v>0</v>
      </c>
      <c r="G36" s="203" t="str">
        <f t="shared" si="2"/>
        <v/>
      </c>
      <c r="H36" s="745">
        <f t="shared" si="58"/>
        <v>0</v>
      </c>
      <c r="I36" s="746">
        <f t="shared" si="3"/>
        <v>0</v>
      </c>
      <c r="J36" s="62"/>
      <c r="K36" s="834" t="s">
        <v>442</v>
      </c>
      <c r="L36" s="813"/>
      <c r="M36" s="814"/>
      <c r="N36" s="717">
        <f>SUM(AY:AY)+SUM(BE:BE)+SUM(BJ:BJ)+$F$76</f>
        <v>-50683.296000000024</v>
      </c>
      <c r="O36" s="62"/>
      <c r="P36" s="199" t="str">
        <f t="shared" si="69"/>
        <v/>
      </c>
      <c r="Q36" s="600">
        <f t="shared" si="70"/>
        <v>0</v>
      </c>
      <c r="R36" s="194"/>
      <c r="S36" s="730">
        <f t="shared" ca="1" si="60"/>
        <v>0</v>
      </c>
      <c r="T36" s="443" t="str">
        <f t="shared" si="75"/>
        <v/>
      </c>
      <c r="U36" s="443" t="str">
        <f t="shared" si="76"/>
        <v/>
      </c>
      <c r="V36" s="441">
        <f>IFERROR(VLOOKUP($U36,HomeBroker!$A$18:$F$106,2,0),0)</f>
        <v>0</v>
      </c>
      <c r="W36" s="732">
        <f>IFERROR(VLOOKUP($U36,HomeBroker!$A$18:$F$106,3,0),0)</f>
        <v>0</v>
      </c>
      <c r="X36" s="196">
        <f>IFERROR(VLOOKUP($U36,HomeBroker!$A$18:$F$106,6,0),0)</f>
        <v>0</v>
      </c>
      <c r="Y36" s="732">
        <f>IFERROR(VLOOKUP($U36,HomeBroker!$A$18:$F$106,4,0),0)</f>
        <v>0</v>
      </c>
      <c r="Z36" s="441">
        <f>IFERROR(VLOOKUP($U36,HomeBroker!$A$18:$F$106,5,0),0)</f>
        <v>0</v>
      </c>
      <c r="AA36" s="444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42">
        <f t="shared" ca="1" si="64"/>
        <v>0</v>
      </c>
      <c r="AF36" s="443" t="str">
        <f t="shared" si="77"/>
        <v/>
      </c>
      <c r="AG36" s="443" t="str">
        <f t="shared" si="78"/>
        <v/>
      </c>
      <c r="AH36" s="445">
        <f>IFERROR(VLOOKUP($AG36,HomeBroker!$A$18:$F$106,2,0),0)</f>
        <v>0</v>
      </c>
      <c r="AI36" s="441">
        <f>IFERROR(VLOOKUP($AG36,HomeBroker!$A$18:$F$106,3,0),0)</f>
        <v>0</v>
      </c>
      <c r="AJ36" s="196">
        <f>IFERROR(VLOOKUP($AG36,HomeBroker!$A$18:$F$106,6,0),0)</f>
        <v>0</v>
      </c>
      <c r="AK36" s="441">
        <f>IFERROR(VLOOKUP($AG36,HomeBroker!$A$18:$F$106,4,0),0)</f>
        <v>0</v>
      </c>
      <c r="AL36" s="445">
        <f>IFERROR(VLOOKUP($AG36,HomeBroker!$A$18:$F$106,5,0),0)</f>
        <v>0</v>
      </c>
      <c r="AM36" s="445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1083.1748961135024</v>
      </c>
      <c r="DF36" s="118">
        <f t="shared" ref="DF36:DF67" si="81">IF($DE36&lt;$C$38,$B$38*100*($C$38-$DE36),0)</f>
        <v>161682.51038864977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161682.51038864977</v>
      </c>
      <c r="EU36" s="72"/>
      <c r="EV36" s="117">
        <f t="shared" ref="EV36:EV67" si="121">EV3</f>
        <v>1083.1748961135024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28" t="s">
        <v>401</v>
      </c>
      <c r="B37" s="719"/>
      <c r="C37" s="720"/>
      <c r="D37" s="742"/>
      <c r="E37" s="743">
        <f t="shared" si="0"/>
        <v>0</v>
      </c>
      <c r="F37" s="744">
        <f t="shared" si="79"/>
        <v>0</v>
      </c>
      <c r="G37" s="721" t="str">
        <f t="shared" si="2"/>
        <v/>
      </c>
      <c r="H37" s="747">
        <f t="shared" si="58"/>
        <v>0</v>
      </c>
      <c r="I37" s="744">
        <f t="shared" si="3"/>
        <v>0</v>
      </c>
      <c r="J37" s="62"/>
      <c r="K37" s="834" t="s">
        <v>443</v>
      </c>
      <c r="L37" s="813"/>
      <c r="M37" s="814"/>
      <c r="N37" s="7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65516.703999999976</v>
      </c>
      <c r="O37" s="62"/>
      <c r="P37" s="199" t="str">
        <f t="shared" si="69"/>
        <v/>
      </c>
      <c r="Q37" s="600">
        <f t="shared" si="70"/>
        <v>0</v>
      </c>
      <c r="R37" s="194"/>
      <c r="S37" s="730">
        <f t="shared" ca="1" si="60"/>
        <v>0</v>
      </c>
      <c r="T37" s="443" t="str">
        <f t="shared" si="75"/>
        <v/>
      </c>
      <c r="U37" s="443" t="str">
        <f t="shared" si="76"/>
        <v/>
      </c>
      <c r="V37" s="441">
        <f>IFERROR(VLOOKUP($U37,HomeBroker!$A$18:$F$106,2,0),0)</f>
        <v>0</v>
      </c>
      <c r="W37" s="732">
        <f>IFERROR(VLOOKUP($U37,HomeBroker!$A$18:$F$106,3,0),0)</f>
        <v>0</v>
      </c>
      <c r="X37" s="196">
        <f>IFERROR(VLOOKUP($U37,HomeBroker!$A$18:$F$106,6,0),0)</f>
        <v>0</v>
      </c>
      <c r="Y37" s="732">
        <f>IFERROR(VLOOKUP($U37,HomeBroker!$A$18:$F$106,4,0),0)</f>
        <v>0</v>
      </c>
      <c r="Z37" s="441">
        <f>IFERROR(VLOOKUP($U37,HomeBroker!$A$18:$F$106,5,0),0)</f>
        <v>0</v>
      </c>
      <c r="AA37" s="444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42">
        <f t="shared" ca="1" si="64"/>
        <v>0</v>
      </c>
      <c r="AF37" s="443" t="str">
        <f t="shared" si="77"/>
        <v/>
      </c>
      <c r="AG37" s="443" t="str">
        <f t="shared" si="78"/>
        <v/>
      </c>
      <c r="AH37" s="445">
        <f>IFERROR(VLOOKUP($AG37,HomeBroker!$A$18:$F$106,2,0),0)</f>
        <v>0</v>
      </c>
      <c r="AI37" s="441">
        <f>IFERROR(VLOOKUP($AG37,HomeBroker!$A$18:$F$106,3,0),0)</f>
        <v>0</v>
      </c>
      <c r="AJ37" s="196">
        <f>IFERROR(VLOOKUP($AG37,HomeBroker!$A$18:$F$106,6,0),0)</f>
        <v>0</v>
      </c>
      <c r="AK37" s="441">
        <f>IFERROR(VLOOKUP($AG37,HomeBroker!$A$18:$F$106,4,0),0)</f>
        <v>0</v>
      </c>
      <c r="AL37" s="445">
        <f>IFERROR(VLOOKUP($AG37,HomeBroker!$A$18:$F$106,5,0),0)</f>
        <v>0</v>
      </c>
      <c r="AM37" s="445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1140.1841011721078</v>
      </c>
      <c r="DF37" s="118">
        <f t="shared" si="81"/>
        <v>155981.58988278921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155981.58988278921</v>
      </c>
      <c r="EU37" s="72"/>
      <c r="EV37" s="117">
        <f t="shared" si="121"/>
        <v>1140.1841011721078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29" t="s">
        <v>401</v>
      </c>
      <c r="B38" s="144">
        <v>1</v>
      </c>
      <c r="C38" s="201">
        <v>2700</v>
      </c>
      <c r="D38" s="202">
        <v>180</v>
      </c>
      <c r="E38" s="748">
        <f t="shared" si="0"/>
        <v>-18000</v>
      </c>
      <c r="F38" s="749">
        <f t="shared" si="79"/>
        <v>-18156.815999999999</v>
      </c>
      <c r="G38" s="203">
        <f>IFERROR(VLOOKUP(C38,$AD$3:$AM$50,7,0),"")</f>
        <v>355</v>
      </c>
      <c r="H38" s="758">
        <f t="shared" si="58"/>
        <v>-35500</v>
      </c>
      <c r="I38" s="759">
        <f t="shared" si="3"/>
        <v>17343.184000000001</v>
      </c>
      <c r="J38" s="62"/>
      <c r="K38" s="835" t="s">
        <v>444</v>
      </c>
      <c r="L38" s="813"/>
      <c r="M38" s="814"/>
      <c r="N38" s="145">
        <f>SUM(Q3:Q42)</f>
        <v>0</v>
      </c>
      <c r="O38" s="62"/>
      <c r="P38" s="199" t="str">
        <f t="shared" si="69"/>
        <v/>
      </c>
      <c r="Q38" s="600">
        <f t="shared" si="70"/>
        <v>0</v>
      </c>
      <c r="R38" s="194"/>
      <c r="S38" s="730">
        <f t="shared" ca="1" si="60"/>
        <v>0</v>
      </c>
      <c r="T38" s="443" t="str">
        <f t="shared" si="75"/>
        <v/>
      </c>
      <c r="U38" s="443" t="str">
        <f t="shared" si="76"/>
        <v/>
      </c>
      <c r="V38" s="441">
        <f>IFERROR(VLOOKUP($U38,HomeBroker!$A$18:$F$106,2,0),0)</f>
        <v>0</v>
      </c>
      <c r="W38" s="732">
        <f>IFERROR(VLOOKUP($U38,HomeBroker!$A$18:$F$106,3,0),0)</f>
        <v>0</v>
      </c>
      <c r="X38" s="196">
        <f>IFERROR(VLOOKUP($U38,HomeBroker!$A$18:$F$106,6,0),0)</f>
        <v>0</v>
      </c>
      <c r="Y38" s="732">
        <f>IFERROR(VLOOKUP($U38,HomeBroker!$A$18:$F$106,4,0),0)</f>
        <v>0</v>
      </c>
      <c r="Z38" s="441">
        <f>IFERROR(VLOOKUP($U38,HomeBroker!$A$18:$F$106,5,0),0)</f>
        <v>0</v>
      </c>
      <c r="AA38" s="444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42">
        <f t="shared" ca="1" si="64"/>
        <v>0</v>
      </c>
      <c r="AF38" s="443" t="str">
        <f t="shared" si="77"/>
        <v/>
      </c>
      <c r="AG38" s="443" t="str">
        <f t="shared" si="78"/>
        <v/>
      </c>
      <c r="AH38" s="445">
        <f>IFERROR(VLOOKUP($AG38,HomeBroker!$A$18:$F$106,2,0),0)</f>
        <v>0</v>
      </c>
      <c r="AI38" s="441">
        <f>IFERROR(VLOOKUP($AG38,HomeBroker!$A$18:$F$106,3,0),0)</f>
        <v>0</v>
      </c>
      <c r="AJ38" s="196">
        <f>IFERROR(VLOOKUP($AG38,HomeBroker!$A$18:$F$106,6,0),0)</f>
        <v>0</v>
      </c>
      <c r="AK38" s="441">
        <f>IFERROR(VLOOKUP($AG38,HomeBroker!$A$18:$F$106,4,0),0)</f>
        <v>0</v>
      </c>
      <c r="AL38" s="445">
        <f>IFERROR(VLOOKUP($AG38,HomeBroker!$A$18:$F$106,5,0),0)</f>
        <v>0</v>
      </c>
      <c r="AM38" s="445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1200.1937907074821</v>
      </c>
      <c r="DF38" s="118">
        <f t="shared" si="81"/>
        <v>149980.6209292518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149980.6209292518</v>
      </c>
      <c r="EU38" s="72"/>
      <c r="EV38" s="117">
        <f t="shared" si="121"/>
        <v>1200.1937907074821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29" t="s">
        <v>401</v>
      </c>
      <c r="B39" s="144"/>
      <c r="C39" s="201"/>
      <c r="D39" s="202"/>
      <c r="E39" s="748">
        <f t="shared" si="0"/>
        <v>0</v>
      </c>
      <c r="F39" s="749">
        <f t="shared" si="79"/>
        <v>0</v>
      </c>
      <c r="G39" s="203" t="str">
        <f>IFERROR(VLOOKUP(C39,$AD$3:$AM$50,7,0),"")</f>
        <v/>
      </c>
      <c r="H39" s="758">
        <f t="shared" si="58"/>
        <v>0</v>
      </c>
      <c r="I39" s="759">
        <f t="shared" si="3"/>
        <v>0</v>
      </c>
      <c r="J39" s="62"/>
      <c r="K39" s="836" t="s">
        <v>445</v>
      </c>
      <c r="L39" s="813"/>
      <c r="M39" s="814"/>
      <c r="N39" s="150">
        <f>SUM(AC3:AC42)</f>
        <v>1</v>
      </c>
      <c r="O39" s="62"/>
      <c r="P39" s="199" t="str">
        <f t="shared" si="69"/>
        <v/>
      </c>
      <c r="Q39" s="600">
        <f t="shared" si="70"/>
        <v>0</v>
      </c>
      <c r="R39" s="194"/>
      <c r="S39" s="730">
        <f t="shared" ca="1" si="60"/>
        <v>0</v>
      </c>
      <c r="T39" s="443" t="str">
        <f t="shared" si="75"/>
        <v/>
      </c>
      <c r="U39" s="443" t="str">
        <f t="shared" si="76"/>
        <v/>
      </c>
      <c r="V39" s="441">
        <f>IFERROR(VLOOKUP($U39,HomeBroker!$A$18:$F$106,2,0),0)</f>
        <v>0</v>
      </c>
      <c r="W39" s="732">
        <f>IFERROR(VLOOKUP($U39,HomeBroker!$A$18:$F$106,3,0),0)</f>
        <v>0</v>
      </c>
      <c r="X39" s="196">
        <f>IFERROR(VLOOKUP($U39,HomeBroker!$A$18:$F$106,6,0),0)</f>
        <v>0</v>
      </c>
      <c r="Y39" s="732">
        <f>IFERROR(VLOOKUP($U39,HomeBroker!$A$18:$F$106,4,0),0)</f>
        <v>0</v>
      </c>
      <c r="Z39" s="441">
        <f>IFERROR(VLOOKUP($U39,HomeBroker!$A$18:$F$106,5,0),0)</f>
        <v>0</v>
      </c>
      <c r="AA39" s="444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42">
        <f t="shared" ca="1" si="64"/>
        <v>0</v>
      </c>
      <c r="AF39" s="443" t="str">
        <f t="shared" si="77"/>
        <v/>
      </c>
      <c r="AG39" s="443" t="str">
        <f t="shared" si="78"/>
        <v/>
      </c>
      <c r="AH39" s="445">
        <f>IFERROR(VLOOKUP($AG39,HomeBroker!$A$18:$F$106,2,0),0)</f>
        <v>0</v>
      </c>
      <c r="AI39" s="441">
        <f>IFERROR(VLOOKUP($AG39,HomeBroker!$A$18:$F$106,3,0),0)</f>
        <v>0</v>
      </c>
      <c r="AJ39" s="196">
        <f>IFERROR(VLOOKUP($AG39,HomeBroker!$A$18:$F$106,6,0),0)</f>
        <v>0</v>
      </c>
      <c r="AK39" s="441">
        <f>IFERROR(VLOOKUP($AG39,HomeBroker!$A$18:$F$106,4,0),0)</f>
        <v>0</v>
      </c>
      <c r="AL39" s="445">
        <f>IFERROR(VLOOKUP($AG39,HomeBroker!$A$18:$F$106,5,0),0)</f>
        <v>0</v>
      </c>
      <c r="AM39" s="445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1263.3618849552445</v>
      </c>
      <c r="DF39" s="118">
        <f t="shared" si="81"/>
        <v>143663.81150447554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143663.81150447554</v>
      </c>
      <c r="EU39" s="72"/>
      <c r="EV39" s="117">
        <f t="shared" si="121"/>
        <v>1263.3618849552445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29" t="s">
        <v>401</v>
      </c>
      <c r="B40" s="144"/>
      <c r="C40" s="201"/>
      <c r="D40" s="202"/>
      <c r="E40" s="748">
        <f t="shared" si="0"/>
        <v>0</v>
      </c>
      <c r="F40" s="749">
        <f t="shared" si="79"/>
        <v>0</v>
      </c>
      <c r="G40" s="203" t="str">
        <f t="shared" ref="G40:G72" si="127">IFERROR(VLOOKUP(C40,$AD$3:$AM$42,7,0),"")</f>
        <v/>
      </c>
      <c r="H40" s="758">
        <f t="shared" si="58"/>
        <v>0</v>
      </c>
      <c r="I40" s="759">
        <f t="shared" si="3"/>
        <v>0</v>
      </c>
      <c r="J40" s="62"/>
      <c r="K40" s="833" t="s">
        <v>0</v>
      </c>
      <c r="L40" s="813"/>
      <c r="M40" s="814"/>
      <c r="N40" s="151">
        <f>AB43+SUM(B73:B75)</f>
        <v>0</v>
      </c>
      <c r="O40" s="62"/>
      <c r="P40" s="199" t="str">
        <f t="shared" si="69"/>
        <v/>
      </c>
      <c r="Q40" s="600">
        <f t="shared" si="70"/>
        <v>0</v>
      </c>
      <c r="R40" s="194"/>
      <c r="S40" s="730">
        <f t="shared" ca="1" si="60"/>
        <v>0</v>
      </c>
      <c r="T40" s="443" t="str">
        <f t="shared" si="75"/>
        <v/>
      </c>
      <c r="U40" s="443" t="str">
        <f t="shared" si="76"/>
        <v/>
      </c>
      <c r="V40" s="441">
        <f>IFERROR(VLOOKUP($U40,HomeBroker!$A$18:$F$106,2,0),0)</f>
        <v>0</v>
      </c>
      <c r="W40" s="732">
        <f>IFERROR(VLOOKUP($U40,HomeBroker!$A$18:$F$106,3,0),0)</f>
        <v>0</v>
      </c>
      <c r="X40" s="196">
        <f>IFERROR(VLOOKUP($U40,HomeBroker!$A$18:$F$106,6,0),0)</f>
        <v>0</v>
      </c>
      <c r="Y40" s="732">
        <f>IFERROR(VLOOKUP($U40,HomeBroker!$A$18:$F$106,4,0),0)</f>
        <v>0</v>
      </c>
      <c r="Z40" s="441">
        <f>IFERROR(VLOOKUP($U40,HomeBroker!$A$18:$F$106,5,0),0)</f>
        <v>0</v>
      </c>
      <c r="AA40" s="444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42">
        <f t="shared" ca="1" si="64"/>
        <v>0</v>
      </c>
      <c r="AF40" s="443" t="str">
        <f t="shared" si="77"/>
        <v/>
      </c>
      <c r="AG40" s="443" t="str">
        <f t="shared" si="78"/>
        <v/>
      </c>
      <c r="AH40" s="445">
        <f>IFERROR(VLOOKUP($AG40,HomeBroker!$A$18:$F$106,2,0),0)</f>
        <v>0</v>
      </c>
      <c r="AI40" s="441">
        <f>IFERROR(VLOOKUP($AG40,HomeBroker!$A$18:$F$106,3,0),0)</f>
        <v>0</v>
      </c>
      <c r="AJ40" s="196">
        <f>IFERROR(VLOOKUP($AG40,HomeBroker!$A$18:$F$106,6,0),0)</f>
        <v>0</v>
      </c>
      <c r="AK40" s="441">
        <f>IFERROR(VLOOKUP($AG40,HomeBroker!$A$18:$F$106,4,0),0)</f>
        <v>0</v>
      </c>
      <c r="AL40" s="445">
        <f>IFERROR(VLOOKUP($AG40,HomeBroker!$A$18:$F$106,5,0),0)</f>
        <v>0</v>
      </c>
      <c r="AM40" s="445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1329.8546157423627</v>
      </c>
      <c r="DF40" s="118">
        <f t="shared" si="81"/>
        <v>137014.53842576372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137014.53842576372</v>
      </c>
      <c r="EU40" s="72"/>
      <c r="EV40" s="117">
        <f t="shared" si="121"/>
        <v>1329.8546157423627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29" t="s">
        <v>401</v>
      </c>
      <c r="B41" s="144"/>
      <c r="C41" s="201"/>
      <c r="D41" s="202"/>
      <c r="E41" s="748">
        <f t="shared" si="0"/>
        <v>0</v>
      </c>
      <c r="F41" s="749">
        <f t="shared" si="79"/>
        <v>0</v>
      </c>
      <c r="G41" s="203" t="str">
        <f t="shared" si="127"/>
        <v/>
      </c>
      <c r="H41" s="758">
        <f t="shared" si="58"/>
        <v>0</v>
      </c>
      <c r="I41" s="759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0">
        <f t="shared" si="70"/>
        <v>0</v>
      </c>
      <c r="R41" s="194"/>
      <c r="S41" s="730">
        <f t="shared" ca="1" si="60"/>
        <v>0</v>
      </c>
      <c r="T41" s="443" t="str">
        <f t="shared" si="75"/>
        <v/>
      </c>
      <c r="U41" s="443" t="str">
        <f t="shared" si="76"/>
        <v/>
      </c>
      <c r="V41" s="441">
        <f>IFERROR(VLOOKUP($U41,HomeBroker!$A$18:$F$106,2,0),0)</f>
        <v>0</v>
      </c>
      <c r="W41" s="732">
        <f>IFERROR(VLOOKUP($U41,HomeBroker!$A$18:$F$106,3,0),0)</f>
        <v>0</v>
      </c>
      <c r="X41" s="196">
        <f>IFERROR(VLOOKUP($U41,HomeBroker!$A$18:$F$106,6,0),0)</f>
        <v>0</v>
      </c>
      <c r="Y41" s="732">
        <f>IFERROR(VLOOKUP($U41,HomeBroker!$A$18:$F$106,4,0),0)</f>
        <v>0</v>
      </c>
      <c r="Z41" s="441">
        <f>IFERROR(VLOOKUP($U41,HomeBroker!$A$18:$F$106,5,0),0)</f>
        <v>0</v>
      </c>
      <c r="AA41" s="444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42">
        <f t="shared" ca="1" si="64"/>
        <v>0</v>
      </c>
      <c r="AF41" s="443" t="str">
        <f t="shared" si="77"/>
        <v/>
      </c>
      <c r="AG41" s="443" t="str">
        <f t="shared" si="78"/>
        <v/>
      </c>
      <c r="AH41" s="445">
        <f>IFERROR(VLOOKUP($AG41,HomeBroker!$A$18:$F$106,2,0),0)</f>
        <v>0</v>
      </c>
      <c r="AI41" s="441">
        <f>IFERROR(VLOOKUP($AG41,HomeBroker!$A$18:$F$106,3,0),0)</f>
        <v>0</v>
      </c>
      <c r="AJ41" s="196">
        <f>IFERROR(VLOOKUP($AG41,HomeBroker!$A$18:$F$106,6,0),0)</f>
        <v>0</v>
      </c>
      <c r="AK41" s="441">
        <f>IFERROR(VLOOKUP($AG41,HomeBroker!$A$18:$F$106,4,0),0)</f>
        <v>0</v>
      </c>
      <c r="AL41" s="445">
        <f>IFERROR(VLOOKUP($AG41,HomeBroker!$A$18:$F$106,5,0),0)</f>
        <v>0</v>
      </c>
      <c r="AM41" s="445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1399.8469639393293</v>
      </c>
      <c r="DF41" s="118">
        <f t="shared" si="81"/>
        <v>130015.30360606707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130015.30360606707</v>
      </c>
      <c r="EU41" s="72"/>
      <c r="EV41" s="117">
        <f t="shared" si="121"/>
        <v>1399.8469639393293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29" t="s">
        <v>401</v>
      </c>
      <c r="B42" s="144"/>
      <c r="C42" s="201"/>
      <c r="D42" s="202"/>
      <c r="E42" s="748">
        <f t="shared" si="0"/>
        <v>0</v>
      </c>
      <c r="F42" s="749">
        <f t="shared" si="79"/>
        <v>0</v>
      </c>
      <c r="G42" s="203" t="str">
        <f t="shared" si="127"/>
        <v/>
      </c>
      <c r="H42" s="758">
        <f t="shared" si="58"/>
        <v>0</v>
      </c>
      <c r="I42" s="759">
        <f t="shared" si="3"/>
        <v>0</v>
      </c>
      <c r="J42" s="62"/>
      <c r="K42" s="817" t="s">
        <v>446</v>
      </c>
      <c r="L42" s="813"/>
      <c r="M42" s="814"/>
      <c r="N42" s="153">
        <v>0.05</v>
      </c>
      <c r="O42" s="62"/>
      <c r="P42" s="199" t="str">
        <f t="shared" si="69"/>
        <v/>
      </c>
      <c r="Q42" s="600">
        <f t="shared" si="70"/>
        <v>0</v>
      </c>
      <c r="R42" s="194"/>
      <c r="S42" s="730">
        <f t="shared" ca="1" si="60"/>
        <v>0</v>
      </c>
      <c r="T42" s="443" t="str">
        <f t="shared" si="75"/>
        <v/>
      </c>
      <c r="U42" s="443" t="str">
        <f t="shared" si="76"/>
        <v/>
      </c>
      <c r="V42" s="441">
        <f>IFERROR(VLOOKUP($U42,HomeBroker!$A$18:$F$106,2,0),0)</f>
        <v>0</v>
      </c>
      <c r="W42" s="732">
        <f>IFERROR(VLOOKUP($U42,HomeBroker!$A$18:$F$106,3,0),0)</f>
        <v>0</v>
      </c>
      <c r="X42" s="196">
        <f>IFERROR(VLOOKUP($U42,HomeBroker!$A$18:$F$106,6,0),0)</f>
        <v>0</v>
      </c>
      <c r="Y42" s="732">
        <f>IFERROR(VLOOKUP($U42,HomeBroker!$A$18:$F$106,4,0),0)</f>
        <v>0</v>
      </c>
      <c r="Z42" s="441">
        <f>IFERROR(VLOOKUP($U42,HomeBroker!$A$18:$F$106,5,0),0)</f>
        <v>0</v>
      </c>
      <c r="AA42" s="444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42">
        <f t="shared" ca="1" si="64"/>
        <v>0</v>
      </c>
      <c r="AF42" s="443" t="str">
        <f t="shared" si="77"/>
        <v/>
      </c>
      <c r="AG42" s="443" t="str">
        <f t="shared" si="78"/>
        <v/>
      </c>
      <c r="AH42" s="445">
        <f>IFERROR(VLOOKUP($AG42,HomeBroker!$A$18:$F$106,2,0),0)</f>
        <v>0</v>
      </c>
      <c r="AI42" s="441">
        <f>IFERROR(VLOOKUP($AG42,HomeBroker!$A$18:$F$106,3,0),0)</f>
        <v>0</v>
      </c>
      <c r="AJ42" s="196">
        <f>IFERROR(VLOOKUP($AG42,HomeBroker!$A$18:$F$106,6,0),0)</f>
        <v>0</v>
      </c>
      <c r="AK42" s="441">
        <f>IFERROR(VLOOKUP($AG42,HomeBroker!$A$18:$F$106,4,0),0)</f>
        <v>0</v>
      </c>
      <c r="AL42" s="445">
        <f>IFERROR(VLOOKUP($AG42,HomeBroker!$A$18:$F$106,5,0),0)</f>
        <v>0</v>
      </c>
      <c r="AM42" s="445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1473.5231199361363</v>
      </c>
      <c r="DF42" s="118">
        <f t="shared" si="81"/>
        <v>122647.68800638638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122647.68800638638</v>
      </c>
      <c r="EU42" s="72"/>
      <c r="EV42" s="117">
        <f t="shared" si="121"/>
        <v>1473.5231199361363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29" t="s">
        <v>401</v>
      </c>
      <c r="B43" s="144"/>
      <c r="C43" s="201"/>
      <c r="D43" s="202"/>
      <c r="E43" s="748">
        <f t="shared" si="0"/>
        <v>0</v>
      </c>
      <c r="F43" s="749">
        <f t="shared" si="79"/>
        <v>0</v>
      </c>
      <c r="G43" s="203" t="str">
        <f t="shared" si="127"/>
        <v/>
      </c>
      <c r="H43" s="758">
        <f t="shared" si="58"/>
        <v>0</v>
      </c>
      <c r="I43" s="759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596</v>
      </c>
      <c r="O43" s="62"/>
      <c r="P43" s="818"/>
      <c r="Q43" s="819"/>
      <c r="R43" s="819"/>
      <c r="S43" s="819"/>
      <c r="T43" s="819"/>
      <c r="U43" s="819"/>
      <c r="V43" s="819"/>
      <c r="W43" s="819"/>
      <c r="X43" s="819"/>
      <c r="Y43" s="819"/>
      <c r="Z43" s="819"/>
      <c r="AA43" s="820"/>
      <c r="AB43" s="824"/>
      <c r="AC43" s="824"/>
      <c r="AD43" s="824"/>
      <c r="AE43" s="824"/>
      <c r="AF43" s="824"/>
      <c r="AG43" s="824"/>
      <c r="AH43" s="824"/>
      <c r="AI43" s="824"/>
      <c r="AJ43" s="824"/>
      <c r="AK43" s="824"/>
      <c r="AL43" s="824"/>
      <c r="AM43" s="825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1551.0769683538276</v>
      </c>
      <c r="DF43" s="118">
        <f t="shared" si="81"/>
        <v>114892.30316461723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114892.30316461723</v>
      </c>
      <c r="EU43" s="72"/>
      <c r="EV43" s="117">
        <f t="shared" si="121"/>
        <v>1551.0769683538276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29" t="s">
        <v>401</v>
      </c>
      <c r="B44" s="144"/>
      <c r="C44" s="201"/>
      <c r="D44" s="202"/>
      <c r="E44" s="748">
        <f t="shared" si="0"/>
        <v>0</v>
      </c>
      <c r="F44" s="749">
        <f t="shared" si="79"/>
        <v>0</v>
      </c>
      <c r="G44" s="203" t="str">
        <f t="shared" si="127"/>
        <v/>
      </c>
      <c r="H44" s="758">
        <f t="shared" si="58"/>
        <v>0</v>
      </c>
      <c r="I44" s="759">
        <f t="shared" si="3"/>
        <v>0</v>
      </c>
      <c r="J44" s="62"/>
      <c r="K44" s="815" t="s">
        <v>450</v>
      </c>
      <c r="L44" s="813"/>
      <c r="M44" s="814"/>
      <c r="N44" s="157"/>
      <c r="O44" s="62"/>
      <c r="P44" s="821"/>
      <c r="Q44" s="822"/>
      <c r="R44" s="822"/>
      <c r="S44" s="822"/>
      <c r="T44" s="822"/>
      <c r="U44" s="822"/>
      <c r="V44" s="822"/>
      <c r="W44" s="822"/>
      <c r="X44" s="822"/>
      <c r="Y44" s="822"/>
      <c r="Z44" s="822"/>
      <c r="AA44" s="823"/>
      <c r="AB44" s="826"/>
      <c r="AC44" s="826"/>
      <c r="AD44" s="826"/>
      <c r="AE44" s="826"/>
      <c r="AF44" s="826"/>
      <c r="AG44" s="826"/>
      <c r="AH44" s="826"/>
      <c r="AI44" s="826"/>
      <c r="AJ44" s="826"/>
      <c r="AK44" s="826"/>
      <c r="AL44" s="826"/>
      <c r="AM44" s="827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1632.7125982671871</v>
      </c>
      <c r="DF44" s="118">
        <f t="shared" si="81"/>
        <v>106728.74017328129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106728.74017328129</v>
      </c>
      <c r="EU44" s="72"/>
      <c r="EV44" s="117">
        <f t="shared" si="121"/>
        <v>1632.7125982671871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29" t="s">
        <v>401</v>
      </c>
      <c r="B45" s="144"/>
      <c r="C45" s="201"/>
      <c r="D45" s="202"/>
      <c r="E45" s="748">
        <f t="shared" si="0"/>
        <v>0</v>
      </c>
      <c r="F45" s="749">
        <f t="shared" si="79"/>
        <v>0</v>
      </c>
      <c r="G45" s="203" t="str">
        <f t="shared" si="127"/>
        <v/>
      </c>
      <c r="H45" s="758">
        <f t="shared" si="58"/>
        <v>0</v>
      </c>
      <c r="I45" s="759">
        <f t="shared" si="3"/>
        <v>0</v>
      </c>
      <c r="J45" s="62"/>
      <c r="K45" s="828" t="s">
        <v>451</v>
      </c>
      <c r="L45" s="813"/>
      <c r="M45" s="814"/>
      <c r="N45" s="722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1718.6448402812496</v>
      </c>
      <c r="DF45" s="118">
        <f t="shared" si="81"/>
        <v>98135.515971875036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98135.515971875036</v>
      </c>
      <c r="EU45" s="72"/>
      <c r="EV45" s="117">
        <f t="shared" si="121"/>
        <v>1718.6448402812496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29" t="s">
        <v>401</v>
      </c>
      <c r="B46" s="144"/>
      <c r="C46" s="201"/>
      <c r="D46" s="202"/>
      <c r="E46" s="748">
        <f t="shared" si="0"/>
        <v>0</v>
      </c>
      <c r="F46" s="749">
        <f t="shared" si="79"/>
        <v>0</v>
      </c>
      <c r="G46" s="203" t="str">
        <f t="shared" si="127"/>
        <v/>
      </c>
      <c r="H46" s="758">
        <f t="shared" si="58"/>
        <v>0</v>
      </c>
      <c r="I46" s="759">
        <f t="shared" si="3"/>
        <v>0</v>
      </c>
      <c r="J46" s="62"/>
      <c r="K46" s="832" t="s">
        <v>452</v>
      </c>
      <c r="L46" s="813"/>
      <c r="M46" s="814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1809.0998318749996</v>
      </c>
      <c r="DF46" s="118">
        <f t="shared" si="81"/>
        <v>89090.016812500035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89090.016812500035</v>
      </c>
      <c r="EU46" s="72"/>
      <c r="EV46" s="117">
        <f t="shared" si="121"/>
        <v>1809.0998318749996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29" t="s">
        <v>401</v>
      </c>
      <c r="B47" s="144"/>
      <c r="C47" s="201"/>
      <c r="D47" s="202"/>
      <c r="E47" s="748">
        <f t="shared" si="0"/>
        <v>0</v>
      </c>
      <c r="F47" s="749">
        <f t="shared" si="79"/>
        <v>0</v>
      </c>
      <c r="G47" s="203" t="str">
        <f t="shared" si="127"/>
        <v/>
      </c>
      <c r="H47" s="758">
        <f t="shared" si="58"/>
        <v>0</v>
      </c>
      <c r="I47" s="759">
        <f t="shared" si="3"/>
        <v>0</v>
      </c>
      <c r="J47" s="62"/>
      <c r="K47" s="812" t="s">
        <v>453</v>
      </c>
      <c r="L47" s="813"/>
      <c r="M47" s="814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1904.3156124999996</v>
      </c>
      <c r="DF47" s="118">
        <f t="shared" si="81"/>
        <v>79568.438750000045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79568.438750000045</v>
      </c>
      <c r="EU47" s="72"/>
      <c r="EV47" s="117">
        <f t="shared" si="121"/>
        <v>1904.3156124999996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29" t="s">
        <v>401</v>
      </c>
      <c r="B48" s="144"/>
      <c r="C48" s="201"/>
      <c r="D48" s="202"/>
      <c r="E48" s="748">
        <f t="shared" si="0"/>
        <v>0</v>
      </c>
      <c r="F48" s="749">
        <f t="shared" si="79"/>
        <v>0</v>
      </c>
      <c r="G48" s="203" t="str">
        <f t="shared" si="127"/>
        <v/>
      </c>
      <c r="H48" s="758">
        <f t="shared" si="58"/>
        <v>0</v>
      </c>
      <c r="I48" s="759">
        <f t="shared" si="3"/>
        <v>0</v>
      </c>
      <c r="J48" s="62"/>
      <c r="K48" s="815" t="s">
        <v>454</v>
      </c>
      <c r="L48" s="813"/>
      <c r="M48" s="814"/>
      <c r="N48" s="161">
        <f>HomeBroker!AE1*365</f>
        <v>0.9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2004.5427499999996</v>
      </c>
      <c r="DF48" s="118">
        <f t="shared" si="81"/>
        <v>69545.725000000035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69545.725000000035</v>
      </c>
      <c r="EU48" s="72"/>
      <c r="EV48" s="117">
        <f t="shared" si="121"/>
        <v>2004.5427499999996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29" t="s">
        <v>401</v>
      </c>
      <c r="B49" s="144"/>
      <c r="C49" s="201"/>
      <c r="D49" s="202"/>
      <c r="E49" s="748">
        <f t="shared" si="0"/>
        <v>0</v>
      </c>
      <c r="F49" s="749">
        <f t="shared" si="79"/>
        <v>0</v>
      </c>
      <c r="G49" s="203" t="str">
        <f t="shared" si="127"/>
        <v/>
      </c>
      <c r="H49" s="758">
        <f t="shared" si="58"/>
        <v>0</v>
      </c>
      <c r="I49" s="759">
        <f t="shared" si="3"/>
        <v>0</v>
      </c>
      <c r="J49" s="62"/>
      <c r="K49" s="816" t="s">
        <v>455</v>
      </c>
      <c r="L49" s="813"/>
      <c r="M49" s="814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2110.0449999999996</v>
      </c>
      <c r="DF49" s="118">
        <f t="shared" si="81"/>
        <v>58995.500000000036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58995.500000000036</v>
      </c>
      <c r="EU49" s="72"/>
      <c r="EV49" s="117">
        <f t="shared" si="121"/>
        <v>2110.0449999999996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29" t="s">
        <v>401</v>
      </c>
      <c r="B50" s="144"/>
      <c r="C50" s="201"/>
      <c r="D50" s="202"/>
      <c r="E50" s="748">
        <f t="shared" si="0"/>
        <v>0</v>
      </c>
      <c r="F50" s="749">
        <f t="shared" si="79"/>
        <v>0</v>
      </c>
      <c r="G50" s="203" t="str">
        <f t="shared" si="127"/>
        <v/>
      </c>
      <c r="H50" s="758">
        <f t="shared" si="58"/>
        <v>0</v>
      </c>
      <c r="I50" s="759">
        <f t="shared" si="3"/>
        <v>0</v>
      </c>
      <c r="J50" s="62"/>
      <c r="K50" s="816" t="s">
        <v>456</v>
      </c>
      <c r="L50" s="813"/>
      <c r="M50" s="814"/>
      <c r="N50" s="163">
        <f ca="1">N49-TODAY()-N44</f>
        <v>51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2221.1</v>
      </c>
      <c r="DF50" s="118">
        <f t="shared" si="81"/>
        <v>47890.000000000007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47890.000000000007</v>
      </c>
      <c r="EU50" s="72"/>
      <c r="EV50" s="117">
        <f t="shared" si="121"/>
        <v>2221.1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29" t="s">
        <v>401</v>
      </c>
      <c r="B51" s="144"/>
      <c r="C51" s="201"/>
      <c r="D51" s="202"/>
      <c r="E51" s="748">
        <f t="shared" si="0"/>
        <v>0</v>
      </c>
      <c r="F51" s="749">
        <f t="shared" si="79"/>
        <v>0</v>
      </c>
      <c r="G51" s="203" t="str">
        <f t="shared" si="127"/>
        <v/>
      </c>
      <c r="H51" s="758">
        <f t="shared" si="58"/>
        <v>0</v>
      </c>
      <c r="I51" s="759">
        <f t="shared" si="3"/>
        <v>0</v>
      </c>
      <c r="J51" s="62"/>
      <c r="K51" s="816" t="s">
        <v>457</v>
      </c>
      <c r="L51" s="813"/>
      <c r="M51" s="814"/>
      <c r="N51" s="164">
        <f ca="1">N50/365</f>
        <v>0.13972602739726028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2338</v>
      </c>
      <c r="DF51" s="118">
        <f t="shared" si="81"/>
        <v>36200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36200</v>
      </c>
      <c r="EU51" s="72"/>
      <c r="EV51" s="117">
        <f t="shared" si="121"/>
        <v>2338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29" t="s">
        <v>401</v>
      </c>
      <c r="B52" s="144"/>
      <c r="C52" s="201"/>
      <c r="D52" s="202"/>
      <c r="E52" s="748">
        <f t="shared" si="0"/>
        <v>0</v>
      </c>
      <c r="F52" s="749">
        <f t="shared" si="79"/>
        <v>0</v>
      </c>
      <c r="G52" s="203" t="str">
        <f t="shared" si="127"/>
        <v/>
      </c>
      <c r="H52" s="758">
        <f t="shared" si="58"/>
        <v>0</v>
      </c>
      <c r="I52" s="759">
        <f t="shared" si="3"/>
        <v>0</v>
      </c>
      <c r="J52" s="62"/>
      <c r="K52" s="817" t="s">
        <v>0</v>
      </c>
      <c r="L52" s="813"/>
      <c r="M52" s="814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2454.9</v>
      </c>
      <c r="DF52" s="118">
        <f t="shared" si="81"/>
        <v>24509.999999999993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24509.999999999993</v>
      </c>
      <c r="EU52" s="72"/>
      <c r="EV52" s="117">
        <f t="shared" si="121"/>
        <v>2454.9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29" t="s">
        <v>401</v>
      </c>
      <c r="B53" s="144"/>
      <c r="C53" s="201"/>
      <c r="D53" s="202"/>
      <c r="E53" s="748">
        <f t="shared" si="0"/>
        <v>0</v>
      </c>
      <c r="F53" s="749">
        <f t="shared" si="79"/>
        <v>0</v>
      </c>
      <c r="G53" s="203" t="str">
        <f t="shared" si="127"/>
        <v/>
      </c>
      <c r="H53" s="758">
        <f t="shared" si="58"/>
        <v>0</v>
      </c>
      <c r="I53" s="759">
        <f t="shared" si="3"/>
        <v>0</v>
      </c>
      <c r="J53" s="62"/>
      <c r="K53" s="829" t="s">
        <v>1</v>
      </c>
      <c r="L53" s="830"/>
      <c r="M53" s="831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2577.645</v>
      </c>
      <c r="DF53" s="118">
        <f t="shared" si="81"/>
        <v>12235.500000000002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12235.500000000002</v>
      </c>
      <c r="EU53" s="72"/>
      <c r="EV53" s="117">
        <f t="shared" si="121"/>
        <v>2577.645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29" t="s">
        <v>401</v>
      </c>
      <c r="B54" s="144"/>
      <c r="C54" s="201"/>
      <c r="D54" s="202"/>
      <c r="E54" s="748">
        <f t="shared" si="0"/>
        <v>0</v>
      </c>
      <c r="F54" s="749">
        <f t="shared" si="79"/>
        <v>0</v>
      </c>
      <c r="G54" s="203" t="str">
        <f t="shared" si="127"/>
        <v/>
      </c>
      <c r="H54" s="758">
        <f t="shared" si="58"/>
        <v>0</v>
      </c>
      <c r="I54" s="759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2706.5272500000001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2706.5272500000001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29" t="s">
        <v>401</v>
      </c>
      <c r="B55" s="144"/>
      <c r="C55" s="201"/>
      <c r="D55" s="202"/>
      <c r="E55" s="748">
        <f t="shared" si="0"/>
        <v>0</v>
      </c>
      <c r="F55" s="749">
        <f t="shared" si="79"/>
        <v>0</v>
      </c>
      <c r="G55" s="203" t="str">
        <f t="shared" si="127"/>
        <v/>
      </c>
      <c r="H55" s="758">
        <f t="shared" si="58"/>
        <v>0</v>
      </c>
      <c r="I55" s="759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2841.8536125000001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2841.8536125000001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29" t="s">
        <v>401</v>
      </c>
      <c r="B56" s="144"/>
      <c r="C56" s="201"/>
      <c r="D56" s="202"/>
      <c r="E56" s="748">
        <f t="shared" si="0"/>
        <v>0</v>
      </c>
      <c r="F56" s="749">
        <f t="shared" si="79"/>
        <v>0</v>
      </c>
      <c r="G56" s="203" t="str">
        <f t="shared" si="127"/>
        <v/>
      </c>
      <c r="H56" s="758">
        <f t="shared" si="58"/>
        <v>0</v>
      </c>
      <c r="I56" s="759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2983.946293125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2983.946293125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29" t="s">
        <v>401</v>
      </c>
      <c r="B57" s="144"/>
      <c r="C57" s="201"/>
      <c r="D57" s="202"/>
      <c r="E57" s="748">
        <f t="shared" si="0"/>
        <v>0</v>
      </c>
      <c r="F57" s="749">
        <f t="shared" si="79"/>
        <v>0</v>
      </c>
      <c r="G57" s="203" t="str">
        <f t="shared" si="127"/>
        <v/>
      </c>
      <c r="H57" s="758">
        <f t="shared" si="58"/>
        <v>0</v>
      </c>
      <c r="I57" s="759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3133.14360778125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3133.14360778125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29" t="s">
        <v>401</v>
      </c>
      <c r="B58" s="144"/>
      <c r="C58" s="201"/>
      <c r="D58" s="202"/>
      <c r="E58" s="748">
        <f t="shared" si="0"/>
        <v>0</v>
      </c>
      <c r="F58" s="749">
        <f t="shared" si="79"/>
        <v>0</v>
      </c>
      <c r="G58" s="203" t="str">
        <f t="shared" si="127"/>
        <v/>
      </c>
      <c r="H58" s="758">
        <f t="shared" si="58"/>
        <v>0</v>
      </c>
      <c r="I58" s="759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3289.8007881703124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3289.8007881703124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29" t="s">
        <v>401</v>
      </c>
      <c r="B59" s="144"/>
      <c r="C59" s="201"/>
      <c r="D59" s="202"/>
      <c r="E59" s="748">
        <f t="shared" si="0"/>
        <v>0</v>
      </c>
      <c r="F59" s="749">
        <f t="shared" si="79"/>
        <v>0</v>
      </c>
      <c r="G59" s="203" t="str">
        <f t="shared" si="127"/>
        <v/>
      </c>
      <c r="H59" s="758">
        <f t="shared" si="58"/>
        <v>0</v>
      </c>
      <c r="I59" s="759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3454.2908275788282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3454.2908275788282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29" t="s">
        <v>401</v>
      </c>
      <c r="B60" s="144"/>
      <c r="C60" s="201"/>
      <c r="D60" s="202"/>
      <c r="E60" s="748">
        <f t="shared" si="0"/>
        <v>0</v>
      </c>
      <c r="F60" s="749">
        <f t="shared" si="79"/>
        <v>0</v>
      </c>
      <c r="G60" s="203" t="str">
        <f t="shared" si="127"/>
        <v/>
      </c>
      <c r="H60" s="758">
        <f t="shared" si="58"/>
        <v>0</v>
      </c>
      <c r="I60" s="759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3627.0053689577699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3627.0053689577699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29" t="s">
        <v>401</v>
      </c>
      <c r="B61" s="144"/>
      <c r="C61" s="201"/>
      <c r="D61" s="202"/>
      <c r="E61" s="748">
        <f t="shared" si="0"/>
        <v>0</v>
      </c>
      <c r="F61" s="749">
        <f t="shared" si="79"/>
        <v>0</v>
      </c>
      <c r="G61" s="203" t="str">
        <f t="shared" si="127"/>
        <v/>
      </c>
      <c r="H61" s="758">
        <f t="shared" si="58"/>
        <v>0</v>
      </c>
      <c r="I61" s="759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3808.3556374056584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3808.3556374056584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29" t="s">
        <v>401</v>
      </c>
      <c r="B62" s="144"/>
      <c r="C62" s="201"/>
      <c r="D62" s="202"/>
      <c r="E62" s="748">
        <f t="shared" si="0"/>
        <v>0</v>
      </c>
      <c r="F62" s="749">
        <f t="shared" si="79"/>
        <v>0</v>
      </c>
      <c r="G62" s="203" t="str">
        <f t="shared" si="127"/>
        <v/>
      </c>
      <c r="H62" s="758">
        <f t="shared" si="58"/>
        <v>0</v>
      </c>
      <c r="I62" s="759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3998.7734192759417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3998.7734192759417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29" t="s">
        <v>401</v>
      </c>
      <c r="B63" s="144"/>
      <c r="C63" s="201"/>
      <c r="D63" s="202"/>
      <c r="E63" s="748">
        <f t="shared" si="0"/>
        <v>0</v>
      </c>
      <c r="F63" s="749">
        <f t="shared" si="79"/>
        <v>0</v>
      </c>
      <c r="G63" s="203" t="str">
        <f t="shared" si="127"/>
        <v/>
      </c>
      <c r="H63" s="758">
        <f t="shared" si="58"/>
        <v>0</v>
      </c>
      <c r="I63" s="759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4198.7120902397392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4198.7120902397392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29" t="s">
        <v>401</v>
      </c>
      <c r="B64" s="144"/>
      <c r="C64" s="201"/>
      <c r="D64" s="202"/>
      <c r="E64" s="748">
        <f t="shared" si="0"/>
        <v>0</v>
      </c>
      <c r="F64" s="749">
        <f t="shared" si="79"/>
        <v>0</v>
      </c>
      <c r="G64" s="203" t="str">
        <f t="shared" si="127"/>
        <v/>
      </c>
      <c r="H64" s="758">
        <f t="shared" si="58"/>
        <v>0</v>
      </c>
      <c r="I64" s="759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4408.6476947517267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4408.6476947517267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29" t="s">
        <v>401</v>
      </c>
      <c r="B65" s="144"/>
      <c r="C65" s="201"/>
      <c r="D65" s="202"/>
      <c r="E65" s="748">
        <f t="shared" si="0"/>
        <v>0</v>
      </c>
      <c r="F65" s="749">
        <f t="shared" si="79"/>
        <v>0</v>
      </c>
      <c r="G65" s="203" t="str">
        <f t="shared" si="127"/>
        <v/>
      </c>
      <c r="H65" s="758">
        <f t="shared" si="58"/>
        <v>0</v>
      </c>
      <c r="I65" s="759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4629.080079489313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4629.080079489313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29" t="s">
        <v>401</v>
      </c>
      <c r="B66" s="144"/>
      <c r="C66" s="201"/>
      <c r="D66" s="202"/>
      <c r="E66" s="748">
        <f t="shared" si="0"/>
        <v>0</v>
      </c>
      <c r="F66" s="749">
        <f t="shared" si="79"/>
        <v>0</v>
      </c>
      <c r="G66" s="203" t="str">
        <f t="shared" si="127"/>
        <v/>
      </c>
      <c r="H66" s="758">
        <f t="shared" si="58"/>
        <v>0</v>
      </c>
      <c r="I66" s="759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4860.5340834637791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4860.5340834637791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29" t="s">
        <v>401</v>
      </c>
      <c r="B67" s="144"/>
      <c r="C67" s="201"/>
      <c r="D67" s="202"/>
      <c r="E67" s="748">
        <f t="shared" si="0"/>
        <v>0</v>
      </c>
      <c r="F67" s="749">
        <f t="shared" ref="F67:F72" si="128">IF(B67&gt;0,+B67*D67*(1+($N$53+0.002)*1.21)*-100,B67*D67*(1-($N$53+0.002)*1.21)*-100)</f>
        <v>0</v>
      </c>
      <c r="G67" s="203" t="str">
        <f t="shared" si="127"/>
        <v/>
      </c>
      <c r="H67" s="758">
        <f t="shared" si="58"/>
        <v>0</v>
      </c>
      <c r="I67" s="759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5103.5607876369686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5103.5607876369686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29" t="s">
        <v>401</v>
      </c>
      <c r="B68" s="144"/>
      <c r="C68" s="201"/>
      <c r="D68" s="202"/>
      <c r="E68" s="748">
        <f t="shared" si="0"/>
        <v>0</v>
      </c>
      <c r="F68" s="749">
        <f t="shared" si="128"/>
        <v>0</v>
      </c>
      <c r="G68" s="203" t="str">
        <f t="shared" si="127"/>
        <v/>
      </c>
      <c r="H68" s="758">
        <f>IFERROR(+G68*B68*-100,0)</f>
        <v>0</v>
      </c>
      <c r="I68" s="759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29" t="s">
        <v>401</v>
      </c>
      <c r="B69" s="144"/>
      <c r="C69" s="201"/>
      <c r="D69" s="202"/>
      <c r="E69" s="748">
        <f t="shared" si="0"/>
        <v>0</v>
      </c>
      <c r="F69" s="749">
        <f t="shared" si="128"/>
        <v>0</v>
      </c>
      <c r="G69" s="203" t="str">
        <f t="shared" si="127"/>
        <v/>
      </c>
      <c r="H69" s="758">
        <f>IFERROR(+G69*B69*-100,0)</f>
        <v>0</v>
      </c>
      <c r="I69" s="759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29" t="s">
        <v>401</v>
      </c>
      <c r="B70" s="144"/>
      <c r="C70" s="201"/>
      <c r="D70" s="202"/>
      <c r="E70" s="748">
        <f t="shared" si="0"/>
        <v>0</v>
      </c>
      <c r="F70" s="749">
        <f t="shared" si="128"/>
        <v>0</v>
      </c>
      <c r="G70" s="203" t="str">
        <f t="shared" si="127"/>
        <v/>
      </c>
      <c r="H70" s="758">
        <f>IFERROR(+G70*B70*-100,0)</f>
        <v>0</v>
      </c>
      <c r="I70" s="759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1083.1748961135024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1083.1748961135024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29" t="s">
        <v>401</v>
      </c>
      <c r="B71" s="144"/>
      <c r="C71" s="201"/>
      <c r="D71" s="202"/>
      <c r="E71" s="748">
        <f t="shared" si="0"/>
        <v>0</v>
      </c>
      <c r="F71" s="749">
        <f t="shared" si="128"/>
        <v>0</v>
      </c>
      <c r="G71" s="203" t="str">
        <f t="shared" si="127"/>
        <v/>
      </c>
      <c r="H71" s="758">
        <f>IFERROR(+G71*B71*-100,0)</f>
        <v>0</v>
      </c>
      <c r="I71" s="759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1140.1841011721078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1140.1841011721078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29" t="s">
        <v>401</v>
      </c>
      <c r="B72" s="178"/>
      <c r="C72" s="208"/>
      <c r="D72" s="209"/>
      <c r="E72" s="750">
        <f t="shared" si="0"/>
        <v>0</v>
      </c>
      <c r="F72" s="751">
        <f t="shared" si="128"/>
        <v>0</v>
      </c>
      <c r="G72" s="207" t="str">
        <f t="shared" si="127"/>
        <v/>
      </c>
      <c r="H72" s="760">
        <f>IFERROR(+G72*B72*-100,0)</f>
        <v>0</v>
      </c>
      <c r="I72" s="761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1200.1937907074821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1200.1937907074821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09" t="s">
        <v>403</v>
      </c>
      <c r="B73" s="179"/>
      <c r="C73" s="180"/>
      <c r="D73" s="181"/>
      <c r="E73" s="752">
        <f>-C73*B73</f>
        <v>0</v>
      </c>
      <c r="F73" s="753">
        <f>IF(B73&gt;0,-C73*(1+($N$52+0.0008)*1.21)*B73,-C73*(1-($N$52+0.0008)*1.21)*B73)</f>
        <v>0</v>
      </c>
      <c r="G73" s="214">
        <f>B76</f>
        <v>2338</v>
      </c>
      <c r="H73" s="762">
        <f>-G73*B73</f>
        <v>0</v>
      </c>
      <c r="I73" s="763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1263.3618849552445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1263.3618849552445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10"/>
      <c r="B74" s="144"/>
      <c r="C74" s="125"/>
      <c r="D74" s="182"/>
      <c r="E74" s="754">
        <f>-C74*B74</f>
        <v>0</v>
      </c>
      <c r="F74" s="755">
        <f>IF(B74&gt;0,-C74*(1+($N$52+0.0008)*1.21)*B74,-C74*(1-($N$52+0.0008)*1.21)*B74)</f>
        <v>0</v>
      </c>
      <c r="G74" s="214">
        <f>G73</f>
        <v>2338</v>
      </c>
      <c r="H74" s="762">
        <f>-G74*B74</f>
        <v>0</v>
      </c>
      <c r="I74" s="763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1329.8546157423627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1329.8546157423627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11"/>
      <c r="B75" s="178"/>
      <c r="C75" s="183"/>
      <c r="D75" s="184"/>
      <c r="E75" s="756">
        <f>-C75*B75</f>
        <v>0</v>
      </c>
      <c r="F75" s="757">
        <f>IF(B75&gt;0,-C75*(1+($N$52+0.0008)*1.21)*B75,-C75*(1-($N$52+0.0008)*1.21)*B75)</f>
        <v>0</v>
      </c>
      <c r="G75" s="215">
        <f>G74</f>
        <v>2338</v>
      </c>
      <c r="H75" s="764">
        <f>-G75*B75</f>
        <v>0</v>
      </c>
      <c r="I75" s="765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1399.8469639393293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1399.8469639393293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26">
        <f>IFERROR(VLOOKUP("GGAL - 48hs",HomeBroker!$A$18:$F$106,6,0),0)</f>
        <v>2338</v>
      </c>
      <c r="C76" s="186"/>
      <c r="D76" s="187" t="s">
        <v>459</v>
      </c>
      <c r="E76" s="723">
        <f>SUM(E3:E75)</f>
        <v>-48000</v>
      </c>
      <c r="F76" s="724">
        <f>SUM(F3:F75)</f>
        <v>-50683.296000000024</v>
      </c>
      <c r="G76" s="188"/>
      <c r="H76" s="189"/>
      <c r="I76" s="725">
        <f>SUM(I3:I75)</f>
        <v>7416.7039999999761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1473.5231199361363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1473.5231199361363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1551.0769683538276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1551.0769683538276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1632.7125982671871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1632.7125982671871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1718.6448402812496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1718.6448402812496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1809.0998318749996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1809.0998318749996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1904.3156124999996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1904.3156124999996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2004.5427499999996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2004.5427499999996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2110.0449999999996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2110.0449999999996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2221.1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2221.1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2338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2338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2454.9</v>
      </c>
      <c r="DF86" s="118">
        <f t="shared" si="130"/>
        <v>21960.000000000036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21960.000000000036</v>
      </c>
      <c r="EU86" s="72"/>
      <c r="EV86" s="117">
        <f t="shared" si="171"/>
        <v>2454.9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2577.645</v>
      </c>
      <c r="DF87" s="118">
        <f t="shared" si="130"/>
        <v>71058</v>
      </c>
      <c r="DG87" s="118">
        <f t="shared" si="131"/>
        <v>-31057.999999999993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40000.000000000007</v>
      </c>
      <c r="EU87" s="72"/>
      <c r="EV87" s="117">
        <f t="shared" si="171"/>
        <v>2577.645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2706.5272500000001</v>
      </c>
      <c r="DF88" s="118">
        <f t="shared" si="130"/>
        <v>122610.90000000004</v>
      </c>
      <c r="DG88" s="118">
        <f t="shared" si="131"/>
        <v>-82610.900000000038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40000</v>
      </c>
      <c r="EU88" s="72"/>
      <c r="EV88" s="117">
        <f t="shared" si="171"/>
        <v>2706.5272500000001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2841.8536125000001</v>
      </c>
      <c r="DF89" s="118">
        <f t="shared" si="130"/>
        <v>176741.44500000001</v>
      </c>
      <c r="DG89" s="118">
        <f t="shared" si="131"/>
        <v>-136741.44500000001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40000</v>
      </c>
      <c r="EU89" s="72"/>
      <c r="EV89" s="117">
        <f t="shared" si="171"/>
        <v>2841.8536125000001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2983.946293125</v>
      </c>
      <c r="DF90" s="118">
        <f t="shared" si="130"/>
        <v>233578.51725</v>
      </c>
      <c r="DG90" s="118">
        <f t="shared" si="131"/>
        <v>-193578.51725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40000</v>
      </c>
      <c r="EU90" s="72"/>
      <c r="EV90" s="117">
        <f t="shared" si="171"/>
        <v>2983.946293125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3133.14360778125</v>
      </c>
      <c r="DF91" s="118">
        <f t="shared" si="130"/>
        <v>293257.44311250001</v>
      </c>
      <c r="DG91" s="118">
        <f t="shared" si="131"/>
        <v>-253257.44311250001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40000</v>
      </c>
      <c r="EU91" s="72"/>
      <c r="EV91" s="117">
        <f t="shared" si="171"/>
        <v>3133.14360778125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3289.8007881703124</v>
      </c>
      <c r="DF92" s="118">
        <f t="shared" si="130"/>
        <v>355920.31526812498</v>
      </c>
      <c r="DG92" s="118">
        <f t="shared" si="131"/>
        <v>-315920.31526812498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40000</v>
      </c>
      <c r="EU92" s="72"/>
      <c r="EV92" s="117">
        <f t="shared" si="171"/>
        <v>3289.8007881703124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3454.2908275788282</v>
      </c>
      <c r="DF93" s="118">
        <f t="shared" si="130"/>
        <v>421716.33103153127</v>
      </c>
      <c r="DG93" s="118">
        <f t="shared" si="131"/>
        <v>-381716.33103153127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40000</v>
      </c>
      <c r="EU93" s="72"/>
      <c r="EV93" s="117">
        <f t="shared" si="171"/>
        <v>3454.2908275788282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3627.0053689577699</v>
      </c>
      <c r="DF94" s="118">
        <f t="shared" si="130"/>
        <v>490802.14758310793</v>
      </c>
      <c r="DG94" s="118">
        <f t="shared" si="131"/>
        <v>-450802.14758310793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40000</v>
      </c>
      <c r="EU94" s="72"/>
      <c r="EV94" s="117">
        <f t="shared" si="171"/>
        <v>3627.0053689577699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3808.3556374056584</v>
      </c>
      <c r="DF95" s="118">
        <f t="shared" si="130"/>
        <v>563342.2549622634</v>
      </c>
      <c r="DG95" s="118">
        <f t="shared" si="131"/>
        <v>-523342.25496226334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40000.000000000058</v>
      </c>
      <c r="EU95" s="72"/>
      <c r="EV95" s="117">
        <f t="shared" si="171"/>
        <v>3808.3556374056584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3998.7734192759417</v>
      </c>
      <c r="DF96" s="118">
        <f t="shared" si="130"/>
        <v>639509.36771037662</v>
      </c>
      <c r="DG96" s="118">
        <f t="shared" si="131"/>
        <v>-599509.36771037662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40000</v>
      </c>
      <c r="EU96" s="72"/>
      <c r="EV96" s="117">
        <f t="shared" si="171"/>
        <v>3998.7734192759417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4198.7120902397392</v>
      </c>
      <c r="DF97" s="118">
        <f t="shared" si="130"/>
        <v>719484.83609589562</v>
      </c>
      <c r="DG97" s="118">
        <f t="shared" si="131"/>
        <v>-679484.83609589562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40000</v>
      </c>
      <c r="EU97" s="72"/>
      <c r="EV97" s="117">
        <f t="shared" si="171"/>
        <v>4198.7120902397392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4408.6476947517267</v>
      </c>
      <c r="DF98" s="118">
        <f t="shared" si="130"/>
        <v>803459.07790069073</v>
      </c>
      <c r="DG98" s="118">
        <f t="shared" si="131"/>
        <v>-763459.07790069073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40000</v>
      </c>
      <c r="EU98" s="72"/>
      <c r="EV98" s="117">
        <f t="shared" si="171"/>
        <v>4408.6476947517267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4629.080079489313</v>
      </c>
      <c r="DF99" s="118">
        <f t="shared" si="130"/>
        <v>891632.03179572523</v>
      </c>
      <c r="DG99" s="118">
        <f t="shared" si="131"/>
        <v>-851632.03179572523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40000</v>
      </c>
      <c r="EU99" s="72"/>
      <c r="EV99" s="117">
        <f t="shared" si="171"/>
        <v>4629.080079489313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4860.5340834637791</v>
      </c>
      <c r="DF100" s="118">
        <f t="shared" si="130"/>
        <v>984213.63338551158</v>
      </c>
      <c r="DG100" s="118">
        <f t="shared" si="131"/>
        <v>-944213.63338551158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40000</v>
      </c>
      <c r="EU100" s="72"/>
      <c r="EV100" s="117">
        <f t="shared" si="171"/>
        <v>4860.5340834637791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5103.5607876369686</v>
      </c>
      <c r="DF101" s="118">
        <f t="shared" si="130"/>
        <v>1081424.3150547873</v>
      </c>
      <c r="DG101" s="118">
        <f t="shared" si="131"/>
        <v>-1041424.3150547874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39999.999999999884</v>
      </c>
      <c r="EU101" s="72"/>
      <c r="EV101" s="117">
        <f t="shared" si="171"/>
        <v>5103.5607876369686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1083.1748961135024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161682.51038864977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161682.51038864977</v>
      </c>
      <c r="EU103" s="72"/>
      <c r="EV103" s="117">
        <f t="shared" ref="EV103:EV134" si="215">EV3</f>
        <v>1083.1748961135024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1140.1841011721078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155981.58988278921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155981.58988278921</v>
      </c>
      <c r="EU104" s="72"/>
      <c r="EV104" s="117">
        <f t="shared" si="215"/>
        <v>1140.1841011721078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1200.1937907074821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149980.6209292518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149980.6209292518</v>
      </c>
      <c r="EU105" s="72"/>
      <c r="EV105" s="117">
        <f t="shared" si="215"/>
        <v>1200.1937907074821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1263.3618849552445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143663.81150447554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143663.81150447554</v>
      </c>
      <c r="EU106" s="72"/>
      <c r="EV106" s="117">
        <f t="shared" si="215"/>
        <v>1263.3618849552445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1329.8546157423627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137014.53842576372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137014.53842576372</v>
      </c>
      <c r="EU107" s="72"/>
      <c r="EV107" s="117">
        <f t="shared" si="215"/>
        <v>1329.8546157423627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1399.8469639393293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130015.30360606707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130015.30360606707</v>
      </c>
      <c r="EU108" s="72"/>
      <c r="EV108" s="117">
        <f t="shared" si="215"/>
        <v>1399.8469639393293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1473.5231199361363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122647.68800638638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122647.68800638638</v>
      </c>
      <c r="EU109" s="72"/>
      <c r="EV109" s="117">
        <f t="shared" si="215"/>
        <v>1473.5231199361363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1551.0769683538276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114892.30316461723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114892.30316461723</v>
      </c>
      <c r="EU110" s="72"/>
      <c r="EV110" s="117">
        <f t="shared" si="215"/>
        <v>1551.0769683538276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1632.7125982671871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106728.74017328129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106728.74017328129</v>
      </c>
      <c r="EU111" s="72"/>
      <c r="EV111" s="117">
        <f t="shared" si="215"/>
        <v>1632.7125982671871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1718.6448402812496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98135.515971875036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98135.515971875036</v>
      </c>
      <c r="EU112" s="72"/>
      <c r="EV112" s="117">
        <f t="shared" si="215"/>
        <v>1718.6448402812496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1809.0998318749996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89090.016812500035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89090.016812500035</v>
      </c>
      <c r="EU113" s="72"/>
      <c r="EV113" s="117">
        <f t="shared" si="215"/>
        <v>1809.0998318749996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1904.3156124999996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79568.438750000045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79568.438750000045</v>
      </c>
      <c r="EU114" s="72"/>
      <c r="EV114" s="117">
        <f t="shared" si="215"/>
        <v>1904.3156124999996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2004.5427499999996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69545.725000000035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69545.725000000035</v>
      </c>
      <c r="EU115" s="72"/>
      <c r="EV115" s="117">
        <f t="shared" si="215"/>
        <v>2004.5427499999996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2110.0449999999996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58995.500000000036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58995.500000000036</v>
      </c>
      <c r="EU116" s="72"/>
      <c r="EV116" s="117">
        <f t="shared" si="215"/>
        <v>2110.0449999999996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2221.1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47890.000000000007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47890.000000000007</v>
      </c>
      <c r="EU117" s="72"/>
      <c r="EV117" s="117">
        <f t="shared" si="215"/>
        <v>2221.1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2338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36200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36200</v>
      </c>
      <c r="EU118" s="72"/>
      <c r="EV118" s="117">
        <f t="shared" si="215"/>
        <v>2338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2454.9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24509.999999999993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24509.999999999993</v>
      </c>
      <c r="EU119" s="72"/>
      <c r="EV119" s="117">
        <f t="shared" si="215"/>
        <v>2454.9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2577.645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12235.500000000002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12235.500000000002</v>
      </c>
      <c r="EU120" s="72"/>
      <c r="EV120" s="117">
        <f t="shared" si="215"/>
        <v>2577.645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2706.5272500000001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2706.5272500000001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2841.8536125000001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2841.8536125000001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2983.946293125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2983.946293125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3133.14360778125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3133.14360778125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3289.8007881703124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3289.8007881703124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3454.2908275788282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3454.2908275788282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3627.0053689577699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3627.0053689577699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3808.3556374056584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3808.3556374056584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3998.7734192759417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3998.7734192759417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4198.7120902397392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4198.7120902397392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4408.6476947517267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4408.6476947517267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4629.080079489313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4629.080079489313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4860.5340834637791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4860.5340834637791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5103.5607876369686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5103.5607876369686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2" priority="451">
      <formula>AC3&gt;0</formula>
    </cfRule>
  </conditionalFormatting>
  <conditionalFormatting sqref="AD3 AD27:AD42">
    <cfRule type="expression" dxfId="491" priority="452">
      <formula>AC3&lt;0</formula>
    </cfRule>
  </conditionalFormatting>
  <conditionalFormatting sqref="M3:N34">
    <cfRule type="cellIs" dxfId="490" priority="453" operator="greaterThan">
      <formula>0</formula>
    </cfRule>
  </conditionalFormatting>
  <conditionalFormatting sqref="M3:N34">
    <cfRule type="cellIs" dxfId="489" priority="454" operator="lessThan">
      <formula>0</formula>
    </cfRule>
  </conditionalFormatting>
  <conditionalFormatting sqref="B73:B74 B17:B18 B20:B30 AC3:AC17">
    <cfRule type="cellIs" dxfId="488" priority="455" operator="greaterThan">
      <formula>0</formula>
    </cfRule>
  </conditionalFormatting>
  <conditionalFormatting sqref="B73:B74 B17:B18 B20:B30 AC3:AC17">
    <cfRule type="cellIs" dxfId="487" priority="456" operator="lessThan">
      <formula>0</formula>
    </cfRule>
  </conditionalFormatting>
  <conditionalFormatting sqref="BA61:BA76">
    <cfRule type="cellIs" dxfId="486" priority="457" operator="greaterThan">
      <formula>0</formula>
    </cfRule>
  </conditionalFormatting>
  <conditionalFormatting sqref="BA61:BA76">
    <cfRule type="cellIs" dxfId="485" priority="458" operator="lessThan">
      <formula>0</formula>
    </cfRule>
  </conditionalFormatting>
  <conditionalFormatting sqref="BA6:BA8">
    <cfRule type="cellIs" dxfId="484" priority="459" operator="greaterThan">
      <formula>0</formula>
    </cfRule>
  </conditionalFormatting>
  <conditionalFormatting sqref="BA6:BA8">
    <cfRule type="cellIs" dxfId="483" priority="460" operator="lessThan">
      <formula>0</formula>
    </cfRule>
  </conditionalFormatting>
  <conditionalFormatting sqref="B43 B17:B18 B41 B20:B30 Q3 AC3:AC42">
    <cfRule type="cellIs" dxfId="482" priority="461" operator="greaterThan">
      <formula>0</formula>
    </cfRule>
  </conditionalFormatting>
  <conditionalFormatting sqref="B43 B17:B18 B41 B20:B30 Q3 AC3:AC42">
    <cfRule type="cellIs" dxfId="481" priority="462" operator="lessThan">
      <formula>0</formula>
    </cfRule>
  </conditionalFormatting>
  <conditionalFormatting sqref="B30">
    <cfRule type="cellIs" dxfId="480" priority="463" operator="greaterThan">
      <formula>0</formula>
    </cfRule>
  </conditionalFormatting>
  <conditionalFormatting sqref="B30">
    <cfRule type="cellIs" dxfId="479" priority="464" operator="lessThan">
      <formula>0</formula>
    </cfRule>
  </conditionalFormatting>
  <conditionalFormatting sqref="B75">
    <cfRule type="cellIs" dxfId="478" priority="465" operator="greaterThan">
      <formula>0</formula>
    </cfRule>
  </conditionalFormatting>
  <conditionalFormatting sqref="B75">
    <cfRule type="cellIs" dxfId="477" priority="466" operator="lessThan">
      <formula>0</formula>
    </cfRule>
  </conditionalFormatting>
  <conditionalFormatting sqref="BA9">
    <cfRule type="cellIs" dxfId="476" priority="467" operator="greaterThan">
      <formula>0</formula>
    </cfRule>
  </conditionalFormatting>
  <conditionalFormatting sqref="BA9">
    <cfRule type="cellIs" dxfId="475" priority="468" operator="lessThan">
      <formula>0</formula>
    </cfRule>
  </conditionalFormatting>
  <conditionalFormatting sqref="AU14:AU16">
    <cfRule type="cellIs" dxfId="474" priority="469" operator="greaterThan">
      <formula>0</formula>
    </cfRule>
  </conditionalFormatting>
  <conditionalFormatting sqref="AU14:AU16">
    <cfRule type="cellIs" dxfId="473" priority="470" operator="lessThan">
      <formula>0</formula>
    </cfRule>
  </conditionalFormatting>
  <conditionalFormatting sqref="AU28">
    <cfRule type="cellIs" dxfId="472" priority="471" operator="greaterThan">
      <formula>0</formula>
    </cfRule>
  </conditionalFormatting>
  <conditionalFormatting sqref="AU28">
    <cfRule type="cellIs" dxfId="471" priority="472" operator="lessThan">
      <formula>0</formula>
    </cfRule>
  </conditionalFormatting>
  <conditionalFormatting sqref="BA27">
    <cfRule type="cellIs" dxfId="470" priority="473" operator="greaterThan">
      <formula>0</formula>
    </cfRule>
  </conditionalFormatting>
  <conditionalFormatting sqref="BA27">
    <cfRule type="cellIs" dxfId="469" priority="474" operator="lessThan">
      <formula>0</formula>
    </cfRule>
  </conditionalFormatting>
  <conditionalFormatting sqref="BA22">
    <cfRule type="cellIs" dxfId="468" priority="475" operator="greaterThan">
      <formula>0</formula>
    </cfRule>
  </conditionalFormatting>
  <conditionalFormatting sqref="BA22">
    <cfRule type="cellIs" dxfId="467" priority="476" operator="lessThan">
      <formula>0</formula>
    </cfRule>
  </conditionalFormatting>
  <conditionalFormatting sqref="AU16:AU42">
    <cfRule type="cellIs" dxfId="466" priority="477" operator="greaterThan">
      <formula>0</formula>
    </cfRule>
  </conditionalFormatting>
  <conditionalFormatting sqref="AU16:AU42">
    <cfRule type="cellIs" dxfId="465" priority="478" operator="lessThan">
      <formula>0</formula>
    </cfRule>
  </conditionalFormatting>
  <conditionalFormatting sqref="AU24:AU27">
    <cfRule type="cellIs" dxfId="464" priority="479" operator="greaterThan">
      <formula>0</formula>
    </cfRule>
  </conditionalFormatting>
  <conditionalFormatting sqref="AU24:AU27">
    <cfRule type="cellIs" dxfId="463" priority="480" operator="lessThan">
      <formula>0</formula>
    </cfRule>
  </conditionalFormatting>
  <conditionalFormatting sqref="BA10:BA11 BA16:BA18 BA20:BA42">
    <cfRule type="cellIs" dxfId="462" priority="481" operator="greaterThan">
      <formula>0</formula>
    </cfRule>
  </conditionalFormatting>
  <conditionalFormatting sqref="BA10:BA11 BA16:BA18 BA20:BA42">
    <cfRule type="cellIs" dxfId="461" priority="482" operator="lessThan">
      <formula>0</formula>
    </cfRule>
  </conditionalFormatting>
  <conditionalFormatting sqref="BA12:BA15">
    <cfRule type="cellIs" dxfId="460" priority="483" operator="greaterThan">
      <formula>0</formula>
    </cfRule>
  </conditionalFormatting>
  <conditionalFormatting sqref="BA12:BA15">
    <cfRule type="cellIs" dxfId="459" priority="484" operator="lessThan">
      <formula>0</formula>
    </cfRule>
  </conditionalFormatting>
  <conditionalFormatting sqref="BA19">
    <cfRule type="cellIs" dxfId="458" priority="485" operator="greaterThan">
      <formula>0</formula>
    </cfRule>
  </conditionalFormatting>
  <conditionalFormatting sqref="BA19">
    <cfRule type="cellIs" dxfId="457" priority="486" operator="lessThan">
      <formula>0</formula>
    </cfRule>
  </conditionalFormatting>
  <conditionalFormatting sqref="AU29:AU36">
    <cfRule type="cellIs" dxfId="456" priority="487" operator="greaterThan">
      <formula>0</formula>
    </cfRule>
  </conditionalFormatting>
  <conditionalFormatting sqref="AU29:AU36">
    <cfRule type="cellIs" dxfId="455" priority="488" operator="lessThan">
      <formula>0</formula>
    </cfRule>
  </conditionalFormatting>
  <conditionalFormatting sqref="BA23:BA24">
    <cfRule type="cellIs" dxfId="454" priority="489" operator="greaterThan">
      <formula>0</formula>
    </cfRule>
  </conditionalFormatting>
  <conditionalFormatting sqref="BA23:BA24">
    <cfRule type="cellIs" dxfId="453" priority="490" operator="lessThan">
      <formula>0</formula>
    </cfRule>
  </conditionalFormatting>
  <conditionalFormatting sqref="BA25:BA26">
    <cfRule type="cellIs" dxfId="452" priority="491" operator="greaterThan">
      <formula>0</formula>
    </cfRule>
  </conditionalFormatting>
  <conditionalFormatting sqref="BA25:BA26">
    <cfRule type="cellIs" dxfId="451" priority="492" operator="lessThan">
      <formula>0</formula>
    </cfRule>
  </conditionalFormatting>
  <conditionalFormatting sqref="AU61:AU76">
    <cfRule type="cellIs" dxfId="450" priority="493" operator="greaterThan">
      <formula>0</formula>
    </cfRule>
  </conditionalFormatting>
  <conditionalFormatting sqref="AU61:AU76">
    <cfRule type="cellIs" dxfId="449" priority="494" operator="lessThan">
      <formula>0</formula>
    </cfRule>
  </conditionalFormatting>
  <conditionalFormatting sqref="AU50:AU53 AU55:AU68">
    <cfRule type="cellIs" dxfId="448" priority="495" operator="greaterThan">
      <formula>0</formula>
    </cfRule>
  </conditionalFormatting>
  <conditionalFormatting sqref="AU50:AU53 AU55:AU68">
    <cfRule type="cellIs" dxfId="447" priority="496" operator="lessThan">
      <formula>0</formula>
    </cfRule>
  </conditionalFormatting>
  <conditionalFormatting sqref="AU50">
    <cfRule type="cellIs" dxfId="446" priority="497" operator="greaterThan">
      <formula>0</formula>
    </cfRule>
  </conditionalFormatting>
  <conditionalFormatting sqref="AU50">
    <cfRule type="cellIs" dxfId="445" priority="498" operator="lessThan">
      <formula>0</formula>
    </cfRule>
  </conditionalFormatting>
  <conditionalFormatting sqref="AU70">
    <cfRule type="cellIs" dxfId="444" priority="499" operator="greaterThan">
      <formula>0</formula>
    </cfRule>
  </conditionalFormatting>
  <conditionalFormatting sqref="AU70">
    <cfRule type="cellIs" dxfId="443" priority="500" operator="lessThan">
      <formula>0</formula>
    </cfRule>
  </conditionalFormatting>
  <conditionalFormatting sqref="AU35:AU47 AU50">
    <cfRule type="cellIs" dxfId="442" priority="501" operator="greaterThan">
      <formula>0</formula>
    </cfRule>
  </conditionalFormatting>
  <conditionalFormatting sqref="AU35:AU47 AU50">
    <cfRule type="cellIs" dxfId="441" priority="502" operator="lessThan">
      <formula>0</formula>
    </cfRule>
  </conditionalFormatting>
  <conditionalFormatting sqref="AU43:AU47 AU50">
    <cfRule type="cellIs" dxfId="440" priority="503" operator="greaterThan">
      <formula>0</formula>
    </cfRule>
  </conditionalFormatting>
  <conditionalFormatting sqref="AU43:AU47 AU50">
    <cfRule type="cellIs" dxfId="439" priority="504" operator="lessThan">
      <formula>0</formula>
    </cfRule>
  </conditionalFormatting>
  <conditionalFormatting sqref="AU69">
    <cfRule type="cellIs" dxfId="438" priority="505" operator="greaterThan">
      <formula>0</formula>
    </cfRule>
  </conditionalFormatting>
  <conditionalFormatting sqref="AU69">
    <cfRule type="cellIs" dxfId="437" priority="506" operator="lessThan">
      <formula>0</formula>
    </cfRule>
  </conditionalFormatting>
  <conditionalFormatting sqref="AU59">
    <cfRule type="cellIs" dxfId="436" priority="507" operator="greaterThan">
      <formula>0</formula>
    </cfRule>
  </conditionalFormatting>
  <conditionalFormatting sqref="AU59">
    <cfRule type="cellIs" dxfId="435" priority="508" operator="lessThan">
      <formula>0</formula>
    </cfRule>
  </conditionalFormatting>
  <conditionalFormatting sqref="AU47:AU50">
    <cfRule type="cellIs" dxfId="434" priority="509" operator="greaterThan">
      <formula>0</formula>
    </cfRule>
  </conditionalFormatting>
  <conditionalFormatting sqref="AU47:AU50">
    <cfRule type="cellIs" dxfId="433" priority="510" operator="lessThan">
      <formula>0</formula>
    </cfRule>
  </conditionalFormatting>
  <conditionalFormatting sqref="AU59">
    <cfRule type="cellIs" dxfId="432" priority="511" operator="greaterThan">
      <formula>0</formula>
    </cfRule>
  </conditionalFormatting>
  <conditionalFormatting sqref="AU59">
    <cfRule type="cellIs" dxfId="431" priority="512" operator="lessThan">
      <formula>0</formula>
    </cfRule>
  </conditionalFormatting>
  <conditionalFormatting sqref="AU60">
    <cfRule type="cellIs" dxfId="430" priority="513" operator="greaterThan">
      <formula>0</formula>
    </cfRule>
  </conditionalFormatting>
  <conditionalFormatting sqref="AU60">
    <cfRule type="cellIs" dxfId="429" priority="514" operator="lessThan">
      <formula>0</formula>
    </cfRule>
  </conditionalFormatting>
  <conditionalFormatting sqref="AU61:AU63">
    <cfRule type="cellIs" dxfId="428" priority="515" operator="greaterThan">
      <formula>0</formula>
    </cfRule>
  </conditionalFormatting>
  <conditionalFormatting sqref="AU61:AU63">
    <cfRule type="cellIs" dxfId="427" priority="516" operator="lessThan">
      <formula>0</formula>
    </cfRule>
  </conditionalFormatting>
  <conditionalFormatting sqref="AU63">
    <cfRule type="cellIs" dxfId="426" priority="517" operator="greaterThan">
      <formula>0</formula>
    </cfRule>
  </conditionalFormatting>
  <conditionalFormatting sqref="AU63">
    <cfRule type="cellIs" dxfId="425" priority="518" operator="lessThan">
      <formula>0</formula>
    </cfRule>
  </conditionalFormatting>
  <conditionalFormatting sqref="AU64:AU65">
    <cfRule type="cellIs" dxfId="424" priority="519" operator="greaterThan">
      <formula>0</formula>
    </cfRule>
  </conditionalFormatting>
  <conditionalFormatting sqref="AU64:AU65">
    <cfRule type="cellIs" dxfId="423" priority="520" operator="lessThan">
      <formula>0</formula>
    </cfRule>
  </conditionalFormatting>
  <conditionalFormatting sqref="AU52:AU54">
    <cfRule type="cellIs" dxfId="422" priority="521" operator="greaterThan">
      <formula>0</formula>
    </cfRule>
  </conditionalFormatting>
  <conditionalFormatting sqref="AU52:AU54">
    <cfRule type="cellIs" dxfId="421" priority="522" operator="lessThan">
      <formula>0</formula>
    </cfRule>
  </conditionalFormatting>
  <conditionalFormatting sqref="AU65">
    <cfRule type="cellIs" dxfId="420" priority="523" operator="greaterThan">
      <formula>0</formula>
    </cfRule>
  </conditionalFormatting>
  <conditionalFormatting sqref="AU65">
    <cfRule type="cellIs" dxfId="419" priority="524" operator="lessThan">
      <formula>0</formula>
    </cfRule>
  </conditionalFormatting>
  <conditionalFormatting sqref="AU64">
    <cfRule type="cellIs" dxfId="418" priority="525" operator="greaterThan">
      <formula>0</formula>
    </cfRule>
  </conditionalFormatting>
  <conditionalFormatting sqref="AU64">
    <cfRule type="cellIs" dxfId="417" priority="526" operator="lessThan">
      <formula>0</formula>
    </cfRule>
  </conditionalFormatting>
  <conditionalFormatting sqref="AU54">
    <cfRule type="cellIs" dxfId="416" priority="527" operator="greaterThan">
      <formula>0</formula>
    </cfRule>
  </conditionalFormatting>
  <conditionalFormatting sqref="AU54">
    <cfRule type="cellIs" dxfId="415" priority="528" operator="lessThan">
      <formula>0</formula>
    </cfRule>
  </conditionalFormatting>
  <conditionalFormatting sqref="AU54">
    <cfRule type="cellIs" dxfId="414" priority="529" operator="greaterThan">
      <formula>0</formula>
    </cfRule>
  </conditionalFormatting>
  <conditionalFormatting sqref="AU54">
    <cfRule type="cellIs" dxfId="413" priority="530" operator="lessThan">
      <formula>0</formula>
    </cfRule>
  </conditionalFormatting>
  <conditionalFormatting sqref="AU55:AU68">
    <cfRule type="cellIs" dxfId="412" priority="531" operator="greaterThan">
      <formula>0</formula>
    </cfRule>
  </conditionalFormatting>
  <conditionalFormatting sqref="AU55:AU68">
    <cfRule type="cellIs" dxfId="411" priority="532" operator="lessThan">
      <formula>0</formula>
    </cfRule>
  </conditionalFormatting>
  <conditionalFormatting sqref="AU56:AU58">
    <cfRule type="cellIs" dxfId="410" priority="533" operator="greaterThan">
      <formula>0</formula>
    </cfRule>
  </conditionalFormatting>
  <conditionalFormatting sqref="AU56:AU58">
    <cfRule type="cellIs" dxfId="409" priority="534" operator="lessThan">
      <formula>0</formula>
    </cfRule>
  </conditionalFormatting>
  <conditionalFormatting sqref="AU58">
    <cfRule type="cellIs" dxfId="408" priority="535" operator="greaterThan">
      <formula>0</formula>
    </cfRule>
  </conditionalFormatting>
  <conditionalFormatting sqref="AU58">
    <cfRule type="cellIs" dxfId="407" priority="536" operator="lessThan">
      <formula>0</formula>
    </cfRule>
  </conditionalFormatting>
  <conditionalFormatting sqref="AU59:AU60">
    <cfRule type="cellIs" dxfId="406" priority="537" operator="greaterThan">
      <formula>0</formula>
    </cfRule>
  </conditionalFormatting>
  <conditionalFormatting sqref="AU59:AU60">
    <cfRule type="cellIs" dxfId="405" priority="538" operator="lessThan">
      <formula>0</formula>
    </cfRule>
  </conditionalFormatting>
  <conditionalFormatting sqref="BA28:BA29 BA34:BA36 BA38:BA68">
    <cfRule type="cellIs" dxfId="404" priority="539" operator="greaterThan">
      <formula>0</formula>
    </cfRule>
  </conditionalFormatting>
  <conditionalFormatting sqref="BA28:BA29 BA34:BA36 BA38:BA68">
    <cfRule type="cellIs" dxfId="403" priority="540" operator="lessThan">
      <formula>0</formula>
    </cfRule>
  </conditionalFormatting>
  <conditionalFormatting sqref="BA30:BA33">
    <cfRule type="cellIs" dxfId="402" priority="541" operator="greaterThan">
      <formula>0</formula>
    </cfRule>
  </conditionalFormatting>
  <conditionalFormatting sqref="BA30:BA33">
    <cfRule type="cellIs" dxfId="401" priority="542" operator="lessThan">
      <formula>0</formula>
    </cfRule>
  </conditionalFormatting>
  <conditionalFormatting sqref="BA57">
    <cfRule type="cellIs" dxfId="400" priority="543" operator="greaterThan">
      <formula>0</formula>
    </cfRule>
  </conditionalFormatting>
  <conditionalFormatting sqref="BA57">
    <cfRule type="cellIs" dxfId="399" priority="544" operator="lessThan">
      <formula>0</formula>
    </cfRule>
  </conditionalFormatting>
  <conditionalFormatting sqref="BA37">
    <cfRule type="cellIs" dxfId="398" priority="545" operator="greaterThan">
      <formula>0</formula>
    </cfRule>
  </conditionalFormatting>
  <conditionalFormatting sqref="BA37">
    <cfRule type="cellIs" dxfId="397" priority="546" operator="lessThan">
      <formula>0</formula>
    </cfRule>
  </conditionalFormatting>
  <conditionalFormatting sqref="AU5:AU14">
    <cfRule type="cellIs" dxfId="396" priority="547" operator="greaterThan">
      <formula>0</formula>
    </cfRule>
  </conditionalFormatting>
  <conditionalFormatting sqref="AU5:AU14">
    <cfRule type="cellIs" dxfId="395" priority="548" operator="lessThan">
      <formula>0</formula>
    </cfRule>
  </conditionalFormatting>
  <conditionalFormatting sqref="AU13">
    <cfRule type="cellIs" dxfId="394" priority="549" operator="greaterThan">
      <formula>0</formula>
    </cfRule>
  </conditionalFormatting>
  <conditionalFormatting sqref="AU13">
    <cfRule type="cellIs" dxfId="393" priority="550" operator="lessThan">
      <formula>0</formula>
    </cfRule>
  </conditionalFormatting>
  <conditionalFormatting sqref="B65:B72">
    <cfRule type="cellIs" dxfId="392" priority="551" operator="greaterThan">
      <formula>0</formula>
    </cfRule>
  </conditionalFormatting>
  <conditionalFormatting sqref="B65:B72">
    <cfRule type="cellIs" dxfId="391" priority="552" operator="lessThan">
      <formula>0</formula>
    </cfRule>
  </conditionalFormatting>
  <conditionalFormatting sqref="BG3:BG76">
    <cfRule type="cellIs" dxfId="390" priority="553" operator="greaterThan">
      <formula>0</formula>
    </cfRule>
  </conditionalFormatting>
  <conditionalFormatting sqref="BG3:BG76">
    <cfRule type="cellIs" dxfId="389" priority="554" operator="lessThan">
      <formula>0</formula>
    </cfRule>
  </conditionalFormatting>
  <conditionalFormatting sqref="AU21">
    <cfRule type="cellIs" dxfId="388" priority="555" operator="greaterThan">
      <formula>0</formula>
    </cfRule>
  </conditionalFormatting>
  <conditionalFormatting sqref="AU21">
    <cfRule type="cellIs" dxfId="387" priority="556" operator="lessThan">
      <formula>0</formula>
    </cfRule>
  </conditionalFormatting>
  <conditionalFormatting sqref="AU21">
    <cfRule type="cellIs" dxfId="386" priority="557" operator="greaterThan">
      <formula>0</formula>
    </cfRule>
  </conditionalFormatting>
  <conditionalFormatting sqref="AU21">
    <cfRule type="cellIs" dxfId="385" priority="558" operator="lessThan">
      <formula>0</formula>
    </cfRule>
  </conditionalFormatting>
  <conditionalFormatting sqref="AU14">
    <cfRule type="cellIs" dxfId="384" priority="559" operator="greaterThan">
      <formula>0</formula>
    </cfRule>
  </conditionalFormatting>
  <conditionalFormatting sqref="AU14">
    <cfRule type="cellIs" dxfId="383" priority="560" operator="lessThan">
      <formula>0</formula>
    </cfRule>
  </conditionalFormatting>
  <conditionalFormatting sqref="AU22">
    <cfRule type="cellIs" dxfId="382" priority="561" operator="greaterThan">
      <formula>0</formula>
    </cfRule>
  </conditionalFormatting>
  <conditionalFormatting sqref="AU22">
    <cfRule type="cellIs" dxfId="381" priority="562" operator="lessThan">
      <formula>0</formula>
    </cfRule>
  </conditionalFormatting>
  <conditionalFormatting sqref="AU22">
    <cfRule type="cellIs" dxfId="380" priority="563" operator="greaterThan">
      <formula>0</formula>
    </cfRule>
  </conditionalFormatting>
  <conditionalFormatting sqref="AU22">
    <cfRule type="cellIs" dxfId="379" priority="564" operator="lessThan">
      <formula>0</formula>
    </cfRule>
  </conditionalFormatting>
  <conditionalFormatting sqref="B64">
    <cfRule type="cellIs" dxfId="378" priority="565" operator="greaterThan">
      <formula>0</formula>
    </cfRule>
  </conditionalFormatting>
  <conditionalFormatting sqref="B64">
    <cfRule type="cellIs" dxfId="377" priority="566" operator="lessThan">
      <formula>0</formula>
    </cfRule>
  </conditionalFormatting>
  <conditionalFormatting sqref="B41 B43:B72 AC3:AC42">
    <cfRule type="cellIs" dxfId="376" priority="567" operator="greaterThan">
      <formula>0</formula>
    </cfRule>
  </conditionalFormatting>
  <conditionalFormatting sqref="B41 B43:B72 AC3:AC42">
    <cfRule type="cellIs" dxfId="375" priority="568" operator="lessThan">
      <formula>0</formula>
    </cfRule>
  </conditionalFormatting>
  <conditionalFormatting sqref="B41 B43:B72">
    <cfRule type="cellIs" dxfId="374" priority="569" operator="greaterThan">
      <formula>0</formula>
    </cfRule>
  </conditionalFormatting>
  <conditionalFormatting sqref="B41 B43:B72">
    <cfRule type="cellIs" dxfId="373" priority="570" operator="lessThan">
      <formula>0</formula>
    </cfRule>
  </conditionalFormatting>
  <conditionalFormatting sqref="B29">
    <cfRule type="cellIs" dxfId="372" priority="571" operator="greaterThan">
      <formula>0</formula>
    </cfRule>
  </conditionalFormatting>
  <conditionalFormatting sqref="B29">
    <cfRule type="cellIs" dxfId="371" priority="572" operator="lessThan">
      <formula>0</formula>
    </cfRule>
  </conditionalFormatting>
  <conditionalFormatting sqref="AU3">
    <cfRule type="cellIs" dxfId="370" priority="573" operator="greaterThan">
      <formula>0</formula>
    </cfRule>
  </conditionalFormatting>
  <conditionalFormatting sqref="AU3">
    <cfRule type="cellIs" dxfId="369" priority="574" operator="lessThan">
      <formula>0</formula>
    </cfRule>
  </conditionalFormatting>
  <conditionalFormatting sqref="AU4">
    <cfRule type="cellIs" dxfId="368" priority="575" operator="greaterThan">
      <formula>0</formula>
    </cfRule>
  </conditionalFormatting>
  <conditionalFormatting sqref="AU4">
    <cfRule type="cellIs" dxfId="367" priority="576" operator="lessThan">
      <formula>0</formula>
    </cfRule>
  </conditionalFormatting>
  <conditionalFormatting sqref="BA3">
    <cfRule type="cellIs" dxfId="366" priority="577" operator="greaterThan">
      <formula>0</formula>
    </cfRule>
  </conditionalFormatting>
  <conditionalFormatting sqref="BA3">
    <cfRule type="cellIs" dxfId="365" priority="578" operator="lessThan">
      <formula>0</formula>
    </cfRule>
  </conditionalFormatting>
  <conditionalFormatting sqref="Q3 AC3:AC42">
    <cfRule type="cellIs" dxfId="364" priority="579" operator="greaterThan">
      <formula>0</formula>
    </cfRule>
  </conditionalFormatting>
  <conditionalFormatting sqref="Q3 AC3:AC42">
    <cfRule type="cellIs" dxfId="363" priority="580" operator="lessThan">
      <formula>0</formula>
    </cfRule>
  </conditionalFormatting>
  <conditionalFormatting sqref="N37">
    <cfRule type="cellIs" dxfId="362" priority="581" operator="lessThan">
      <formula>0</formula>
    </cfRule>
  </conditionalFormatting>
  <conditionalFormatting sqref="N37">
    <cfRule type="cellIs" dxfId="361" priority="582" operator="greaterThan">
      <formula>0</formula>
    </cfRule>
  </conditionalFormatting>
  <conditionalFormatting sqref="I3:I37">
    <cfRule type="cellIs" dxfId="360" priority="449" operator="lessThan">
      <formula>0</formula>
    </cfRule>
    <cfRule type="cellIs" dxfId="359" priority="450" operator="greaterThan">
      <formula>0</formula>
    </cfRule>
  </conditionalFormatting>
  <conditionalFormatting sqref="I41:I72">
    <cfRule type="cellIs" dxfId="358" priority="447" operator="lessThan">
      <formula>0</formula>
    </cfRule>
    <cfRule type="cellIs" dxfId="357" priority="448" operator="greaterThan">
      <formula>0</formula>
    </cfRule>
  </conditionalFormatting>
  <conditionalFormatting sqref="I76">
    <cfRule type="cellIs" dxfId="356" priority="445" operator="lessThan">
      <formula>0</formula>
    </cfRule>
    <cfRule type="cellIs" dxfId="355" priority="446" operator="greaterThan">
      <formula>0</formula>
    </cfRule>
  </conditionalFormatting>
  <conditionalFormatting sqref="B5:B6">
    <cfRule type="cellIs" dxfId="354" priority="441" operator="greaterThan">
      <formula>0</formula>
    </cfRule>
  </conditionalFormatting>
  <conditionalFormatting sqref="B5:B6">
    <cfRule type="cellIs" dxfId="353" priority="442" operator="lessThan">
      <formula>0</formula>
    </cfRule>
  </conditionalFormatting>
  <conditionalFormatting sqref="B5:B6">
    <cfRule type="cellIs" dxfId="352" priority="443" operator="greaterThan">
      <formula>0</formula>
    </cfRule>
  </conditionalFormatting>
  <conditionalFormatting sqref="B5:B6">
    <cfRule type="cellIs" dxfId="351" priority="444" operator="lessThan">
      <formula>0</formula>
    </cfRule>
  </conditionalFormatting>
  <conditionalFormatting sqref="AB43">
    <cfRule type="cellIs" dxfId="350" priority="436" operator="greaterThan">
      <formula>0</formula>
    </cfRule>
  </conditionalFormatting>
  <conditionalFormatting sqref="AB43">
    <cfRule type="cellIs" dxfId="349" priority="437" operator="lessThan">
      <formula>0</formula>
    </cfRule>
  </conditionalFormatting>
  <conditionalFormatting sqref="N38">
    <cfRule type="cellIs" dxfId="348" priority="435" operator="lessThan">
      <formula>0</formula>
    </cfRule>
  </conditionalFormatting>
  <conditionalFormatting sqref="N39">
    <cfRule type="cellIs" dxfId="347" priority="434" operator="lessThan">
      <formula>0</formula>
    </cfRule>
  </conditionalFormatting>
  <conditionalFormatting sqref="AA3">
    <cfRule type="cellIs" dxfId="346" priority="432" operator="equal">
      <formula>0</formula>
    </cfRule>
  </conditionalFormatting>
  <conditionalFormatting sqref="B42">
    <cfRule type="cellIs" dxfId="345" priority="424" operator="greaterThan">
      <formula>0</formula>
    </cfRule>
  </conditionalFormatting>
  <conditionalFormatting sqref="B42">
    <cfRule type="cellIs" dxfId="344" priority="425" operator="lessThan">
      <formula>0</formula>
    </cfRule>
  </conditionalFormatting>
  <conditionalFormatting sqref="B42">
    <cfRule type="cellIs" dxfId="343" priority="426" operator="greaterThan">
      <formula>0</formula>
    </cfRule>
  </conditionalFormatting>
  <conditionalFormatting sqref="B42">
    <cfRule type="cellIs" dxfId="342" priority="427" operator="lessThan">
      <formula>0</formula>
    </cfRule>
  </conditionalFormatting>
  <conditionalFormatting sqref="B42">
    <cfRule type="cellIs" dxfId="341" priority="428" operator="greaterThan">
      <formula>0</formula>
    </cfRule>
  </conditionalFormatting>
  <conditionalFormatting sqref="B42">
    <cfRule type="cellIs" dxfId="340" priority="429" operator="lessThan">
      <formula>0</formula>
    </cfRule>
  </conditionalFormatting>
  <conditionalFormatting sqref="P3">
    <cfRule type="expression" dxfId="339" priority="423">
      <formula>$L$18-$R3&lt;0</formula>
    </cfRule>
  </conditionalFormatting>
  <conditionalFormatting sqref="P3">
    <cfRule type="expression" dxfId="338" priority="421">
      <formula>$L$18-$R3&gt;0</formula>
    </cfRule>
  </conditionalFormatting>
  <conditionalFormatting sqref="BA5">
    <cfRule type="cellIs" dxfId="337" priority="415" operator="greaterThan">
      <formula>0</formula>
    </cfRule>
  </conditionalFormatting>
  <conditionalFormatting sqref="BA5">
    <cfRule type="cellIs" dxfId="336" priority="416" operator="lessThan">
      <formula>0</formula>
    </cfRule>
  </conditionalFormatting>
  <conditionalFormatting sqref="BA4">
    <cfRule type="cellIs" dxfId="335" priority="413" operator="greaterThan">
      <formula>0</formula>
    </cfRule>
  </conditionalFormatting>
  <conditionalFormatting sqref="BA4">
    <cfRule type="cellIs" dxfId="334" priority="414" operator="lessThan">
      <formula>0</formula>
    </cfRule>
  </conditionalFormatting>
  <conditionalFormatting sqref="AB3:AB42">
    <cfRule type="expression" dxfId="333" priority="412">
      <formula>$L$18-$AD3&gt;0</formula>
    </cfRule>
  </conditionalFormatting>
  <conditionalFormatting sqref="AB3:AB42">
    <cfRule type="expression" dxfId="332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31" priority="409" operator="equal">
      <formula>0</formula>
    </cfRule>
  </conditionalFormatting>
  <conditionalFormatting sqref="B14">
    <cfRule type="cellIs" dxfId="330" priority="402" operator="greaterThan">
      <formula>0</formula>
    </cfRule>
  </conditionalFormatting>
  <conditionalFormatting sqref="B14">
    <cfRule type="cellIs" dxfId="329" priority="403" operator="lessThan">
      <formula>0</formula>
    </cfRule>
  </conditionalFormatting>
  <conditionalFormatting sqref="B14">
    <cfRule type="cellIs" dxfId="328" priority="404" operator="greaterThan">
      <formula>0</formula>
    </cfRule>
  </conditionalFormatting>
  <conditionalFormatting sqref="B14">
    <cfRule type="cellIs" dxfId="327" priority="405" operator="lessThan">
      <formula>0</formula>
    </cfRule>
  </conditionalFormatting>
  <conditionalFormatting sqref="B13">
    <cfRule type="cellIs" dxfId="326" priority="398" operator="greaterThan">
      <formula>0</formula>
    </cfRule>
  </conditionalFormatting>
  <conditionalFormatting sqref="B13">
    <cfRule type="cellIs" dxfId="325" priority="399" operator="lessThan">
      <formula>0</formula>
    </cfRule>
  </conditionalFormatting>
  <conditionalFormatting sqref="B13">
    <cfRule type="cellIs" dxfId="324" priority="400" operator="greaterThan">
      <formula>0</formula>
    </cfRule>
  </conditionalFormatting>
  <conditionalFormatting sqref="B13">
    <cfRule type="cellIs" dxfId="323" priority="401" operator="lessThan">
      <formula>0</formula>
    </cfRule>
  </conditionalFormatting>
  <conditionalFormatting sqref="B17:B18">
    <cfRule type="cellIs" dxfId="322" priority="394" operator="greaterThan">
      <formula>0</formula>
    </cfRule>
  </conditionalFormatting>
  <conditionalFormatting sqref="B17:B18">
    <cfRule type="cellIs" dxfId="321" priority="395" operator="lessThan">
      <formula>0</formula>
    </cfRule>
  </conditionalFormatting>
  <conditionalFormatting sqref="B17:B18">
    <cfRule type="cellIs" dxfId="320" priority="396" operator="greaterThan">
      <formula>0</formula>
    </cfRule>
  </conditionalFormatting>
  <conditionalFormatting sqref="B17:B18">
    <cfRule type="cellIs" dxfId="319" priority="397" operator="lessThan">
      <formula>0</formula>
    </cfRule>
  </conditionalFormatting>
  <conditionalFormatting sqref="B13:B14">
    <cfRule type="cellIs" dxfId="318" priority="390" operator="greaterThan">
      <formula>0</formula>
    </cfRule>
  </conditionalFormatting>
  <conditionalFormatting sqref="B13:B14">
    <cfRule type="cellIs" dxfId="317" priority="391" operator="lessThan">
      <formula>0</formula>
    </cfRule>
  </conditionalFormatting>
  <conditionalFormatting sqref="B13:B14">
    <cfRule type="cellIs" dxfId="316" priority="392" operator="greaterThan">
      <formula>0</formula>
    </cfRule>
  </conditionalFormatting>
  <conditionalFormatting sqref="B13:B14">
    <cfRule type="cellIs" dxfId="315" priority="393" operator="lessThan">
      <formula>0</formula>
    </cfRule>
  </conditionalFormatting>
  <conditionalFormatting sqref="B5:B6">
    <cfRule type="cellIs" dxfId="314" priority="386" operator="greaterThan">
      <formula>0</formula>
    </cfRule>
  </conditionalFormatting>
  <conditionalFormatting sqref="B5:B6">
    <cfRule type="cellIs" dxfId="313" priority="387" operator="lessThan">
      <formula>0</formula>
    </cfRule>
  </conditionalFormatting>
  <conditionalFormatting sqref="B5:B6">
    <cfRule type="cellIs" dxfId="312" priority="388" operator="greaterThan">
      <formula>0</formula>
    </cfRule>
  </conditionalFormatting>
  <conditionalFormatting sqref="B5:B6">
    <cfRule type="cellIs" dxfId="311" priority="389" operator="lessThan">
      <formula>0</formula>
    </cfRule>
  </conditionalFormatting>
  <conditionalFormatting sqref="B12">
    <cfRule type="cellIs" dxfId="310" priority="326" operator="greaterThan">
      <formula>0</formula>
    </cfRule>
  </conditionalFormatting>
  <conditionalFormatting sqref="B12">
    <cfRule type="cellIs" dxfId="309" priority="327" operator="lessThan">
      <formula>0</formula>
    </cfRule>
  </conditionalFormatting>
  <conditionalFormatting sqref="B12">
    <cfRule type="cellIs" dxfId="308" priority="328" operator="greaterThan">
      <formula>0</formula>
    </cfRule>
  </conditionalFormatting>
  <conditionalFormatting sqref="B12">
    <cfRule type="cellIs" dxfId="307" priority="329" operator="lessThan">
      <formula>0</formula>
    </cfRule>
  </conditionalFormatting>
  <conditionalFormatting sqref="B15:B16">
    <cfRule type="cellIs" dxfId="306" priority="382" operator="greaterThan">
      <formula>0</formula>
    </cfRule>
  </conditionalFormatting>
  <conditionalFormatting sqref="B15:B16">
    <cfRule type="cellIs" dxfId="305" priority="383" operator="lessThan">
      <formula>0</formula>
    </cfRule>
  </conditionalFormatting>
  <conditionalFormatting sqref="B15:B16">
    <cfRule type="cellIs" dxfId="304" priority="384" operator="greaterThan">
      <formula>0</formula>
    </cfRule>
  </conditionalFormatting>
  <conditionalFormatting sqref="B15:B16">
    <cfRule type="cellIs" dxfId="303" priority="385" operator="lessThan">
      <formula>0</formula>
    </cfRule>
  </conditionalFormatting>
  <conditionalFormatting sqref="B16">
    <cfRule type="cellIs" dxfId="302" priority="378" operator="greaterThan">
      <formula>0</formula>
    </cfRule>
  </conditionalFormatting>
  <conditionalFormatting sqref="B16">
    <cfRule type="cellIs" dxfId="301" priority="379" operator="lessThan">
      <formula>0</formula>
    </cfRule>
  </conditionalFormatting>
  <conditionalFormatting sqref="B16">
    <cfRule type="cellIs" dxfId="300" priority="380" operator="greaterThan">
      <formula>0</formula>
    </cfRule>
  </conditionalFormatting>
  <conditionalFormatting sqref="B16">
    <cfRule type="cellIs" dxfId="299" priority="381" operator="lessThan">
      <formula>0</formula>
    </cfRule>
  </conditionalFormatting>
  <conditionalFormatting sqref="B16">
    <cfRule type="cellIs" dxfId="298" priority="374" operator="greaterThan">
      <formula>0</formula>
    </cfRule>
  </conditionalFormatting>
  <conditionalFormatting sqref="B16">
    <cfRule type="cellIs" dxfId="297" priority="375" operator="lessThan">
      <formula>0</formula>
    </cfRule>
  </conditionalFormatting>
  <conditionalFormatting sqref="B16">
    <cfRule type="cellIs" dxfId="296" priority="376" operator="greaterThan">
      <formula>0</formula>
    </cfRule>
  </conditionalFormatting>
  <conditionalFormatting sqref="B16">
    <cfRule type="cellIs" dxfId="295" priority="377" operator="lessThan">
      <formula>0</formula>
    </cfRule>
  </conditionalFormatting>
  <conditionalFormatting sqref="B15">
    <cfRule type="cellIs" dxfId="294" priority="370" operator="greaterThan">
      <formula>0</formula>
    </cfRule>
  </conditionalFormatting>
  <conditionalFormatting sqref="B15">
    <cfRule type="cellIs" dxfId="293" priority="371" operator="lessThan">
      <formula>0</formula>
    </cfRule>
  </conditionalFormatting>
  <conditionalFormatting sqref="B15">
    <cfRule type="cellIs" dxfId="292" priority="372" operator="greaterThan">
      <formula>0</formula>
    </cfRule>
  </conditionalFormatting>
  <conditionalFormatting sqref="B15">
    <cfRule type="cellIs" dxfId="291" priority="373" operator="lessThan">
      <formula>0</formula>
    </cfRule>
  </conditionalFormatting>
  <conditionalFormatting sqref="B15:B16">
    <cfRule type="cellIs" dxfId="290" priority="366" operator="greaterThan">
      <formula>0</formula>
    </cfRule>
  </conditionalFormatting>
  <conditionalFormatting sqref="B15:B16">
    <cfRule type="cellIs" dxfId="289" priority="367" operator="lessThan">
      <formula>0</formula>
    </cfRule>
  </conditionalFormatting>
  <conditionalFormatting sqref="B15:B16">
    <cfRule type="cellIs" dxfId="288" priority="368" operator="greaterThan">
      <formula>0</formula>
    </cfRule>
  </conditionalFormatting>
  <conditionalFormatting sqref="B15:B16">
    <cfRule type="cellIs" dxfId="287" priority="369" operator="lessThan">
      <formula>0</formula>
    </cfRule>
  </conditionalFormatting>
  <conditionalFormatting sqref="B15:B16">
    <cfRule type="cellIs" dxfId="286" priority="362" operator="greaterThan">
      <formula>0</formula>
    </cfRule>
  </conditionalFormatting>
  <conditionalFormatting sqref="B15:B16">
    <cfRule type="cellIs" dxfId="285" priority="363" operator="lessThan">
      <formula>0</formula>
    </cfRule>
  </conditionalFormatting>
  <conditionalFormatting sqref="B15:B16">
    <cfRule type="cellIs" dxfId="284" priority="364" operator="greaterThan">
      <formula>0</formula>
    </cfRule>
  </conditionalFormatting>
  <conditionalFormatting sqref="B15:B16">
    <cfRule type="cellIs" dxfId="283" priority="365" operator="lessThan">
      <formula>0</formula>
    </cfRule>
  </conditionalFormatting>
  <conditionalFormatting sqref="B11:B12">
    <cfRule type="cellIs" dxfId="282" priority="358" operator="greaterThan">
      <formula>0</formula>
    </cfRule>
  </conditionalFormatting>
  <conditionalFormatting sqref="B11:B12">
    <cfRule type="cellIs" dxfId="281" priority="359" operator="lessThan">
      <formula>0</formula>
    </cfRule>
  </conditionalFormatting>
  <conditionalFormatting sqref="B11:B12">
    <cfRule type="cellIs" dxfId="280" priority="360" operator="greaterThan">
      <formula>0</formula>
    </cfRule>
  </conditionalFormatting>
  <conditionalFormatting sqref="B11:B12">
    <cfRule type="cellIs" dxfId="279" priority="361" operator="lessThan">
      <formula>0</formula>
    </cfRule>
  </conditionalFormatting>
  <conditionalFormatting sqref="B11">
    <cfRule type="cellIs" dxfId="278" priority="354" operator="greaterThan">
      <formula>0</formula>
    </cfRule>
  </conditionalFormatting>
  <conditionalFormatting sqref="B11">
    <cfRule type="cellIs" dxfId="277" priority="355" operator="lessThan">
      <formula>0</formula>
    </cfRule>
  </conditionalFormatting>
  <conditionalFormatting sqref="B11">
    <cfRule type="cellIs" dxfId="276" priority="356" operator="greaterThan">
      <formula>0</formula>
    </cfRule>
  </conditionalFormatting>
  <conditionalFormatting sqref="B11">
    <cfRule type="cellIs" dxfId="275" priority="357" operator="lessThan">
      <formula>0</formula>
    </cfRule>
  </conditionalFormatting>
  <conditionalFormatting sqref="B12">
    <cfRule type="cellIs" dxfId="274" priority="350" operator="greaterThan">
      <formula>0</formula>
    </cfRule>
  </conditionalFormatting>
  <conditionalFormatting sqref="B12">
    <cfRule type="cellIs" dxfId="273" priority="351" operator="lessThan">
      <formula>0</formula>
    </cfRule>
  </conditionalFormatting>
  <conditionalFormatting sqref="B12">
    <cfRule type="cellIs" dxfId="272" priority="352" operator="greaterThan">
      <formula>0</formula>
    </cfRule>
  </conditionalFormatting>
  <conditionalFormatting sqref="B12">
    <cfRule type="cellIs" dxfId="271" priority="353" operator="lessThan">
      <formula>0</formula>
    </cfRule>
  </conditionalFormatting>
  <conditionalFormatting sqref="B5:B6">
    <cfRule type="cellIs" dxfId="270" priority="346" operator="greaterThan">
      <formula>0</formula>
    </cfRule>
  </conditionalFormatting>
  <conditionalFormatting sqref="B5:B6">
    <cfRule type="cellIs" dxfId="269" priority="347" operator="lessThan">
      <formula>0</formula>
    </cfRule>
  </conditionalFormatting>
  <conditionalFormatting sqref="B5:B6">
    <cfRule type="cellIs" dxfId="268" priority="348" operator="greaterThan">
      <formula>0</formula>
    </cfRule>
  </conditionalFormatting>
  <conditionalFormatting sqref="B5:B6">
    <cfRule type="cellIs" dxfId="267" priority="349" operator="lessThan">
      <formula>0</formula>
    </cfRule>
  </conditionalFormatting>
  <conditionalFormatting sqref="B5:B6">
    <cfRule type="cellIs" dxfId="266" priority="342" operator="greaterThan">
      <formula>0</formula>
    </cfRule>
  </conditionalFormatting>
  <conditionalFormatting sqref="B5:B6">
    <cfRule type="cellIs" dxfId="265" priority="343" operator="lessThan">
      <formula>0</formula>
    </cfRule>
  </conditionalFormatting>
  <conditionalFormatting sqref="B5:B6">
    <cfRule type="cellIs" dxfId="264" priority="344" operator="greaterThan">
      <formula>0</formula>
    </cfRule>
  </conditionalFormatting>
  <conditionalFormatting sqref="B5:B6">
    <cfRule type="cellIs" dxfId="263" priority="345" operator="lessThan">
      <formula>0</formula>
    </cfRule>
  </conditionalFormatting>
  <conditionalFormatting sqref="B5:B6">
    <cfRule type="cellIs" dxfId="262" priority="338" operator="greaterThan">
      <formula>0</formula>
    </cfRule>
  </conditionalFormatting>
  <conditionalFormatting sqref="B5:B6">
    <cfRule type="cellIs" dxfId="261" priority="339" operator="lessThan">
      <formula>0</formula>
    </cfRule>
  </conditionalFormatting>
  <conditionalFormatting sqref="B5:B6">
    <cfRule type="cellIs" dxfId="260" priority="340" operator="greaterThan">
      <formula>0</formula>
    </cfRule>
  </conditionalFormatting>
  <conditionalFormatting sqref="B5:B6">
    <cfRule type="cellIs" dxfId="259" priority="341" operator="lessThan">
      <formula>0</formula>
    </cfRule>
  </conditionalFormatting>
  <conditionalFormatting sqref="B11:B12">
    <cfRule type="cellIs" dxfId="258" priority="334" operator="greaterThan">
      <formula>0</formula>
    </cfRule>
  </conditionalFormatting>
  <conditionalFormatting sqref="B11:B12">
    <cfRule type="cellIs" dxfId="257" priority="335" operator="lessThan">
      <formula>0</formula>
    </cfRule>
  </conditionalFormatting>
  <conditionalFormatting sqref="B11:B12">
    <cfRule type="cellIs" dxfId="256" priority="336" operator="greaterThan">
      <formula>0</formula>
    </cfRule>
  </conditionalFormatting>
  <conditionalFormatting sqref="B11:B12">
    <cfRule type="cellIs" dxfId="255" priority="337" operator="lessThan">
      <formula>0</formula>
    </cfRule>
  </conditionalFormatting>
  <conditionalFormatting sqref="B12">
    <cfRule type="cellIs" dxfId="254" priority="330" operator="greaterThan">
      <formula>0</formula>
    </cfRule>
  </conditionalFormatting>
  <conditionalFormatting sqref="B12">
    <cfRule type="cellIs" dxfId="253" priority="331" operator="lessThan">
      <formula>0</formula>
    </cfRule>
  </conditionalFormatting>
  <conditionalFormatting sqref="B12">
    <cfRule type="cellIs" dxfId="252" priority="332" operator="greaterThan">
      <formula>0</formula>
    </cfRule>
  </conditionalFormatting>
  <conditionalFormatting sqref="B12">
    <cfRule type="cellIs" dxfId="251" priority="333" operator="lessThan">
      <formula>0</formula>
    </cfRule>
  </conditionalFormatting>
  <conditionalFormatting sqref="B11">
    <cfRule type="cellIs" dxfId="250" priority="322" operator="greaterThan">
      <formula>0</formula>
    </cfRule>
  </conditionalFormatting>
  <conditionalFormatting sqref="B11">
    <cfRule type="cellIs" dxfId="249" priority="323" operator="lessThan">
      <formula>0</formula>
    </cfRule>
  </conditionalFormatting>
  <conditionalFormatting sqref="B11">
    <cfRule type="cellIs" dxfId="248" priority="324" operator="greaterThan">
      <formula>0</formula>
    </cfRule>
  </conditionalFormatting>
  <conditionalFormatting sqref="B11">
    <cfRule type="cellIs" dxfId="247" priority="325" operator="lessThan">
      <formula>0</formula>
    </cfRule>
  </conditionalFormatting>
  <conditionalFormatting sqref="B11:B12">
    <cfRule type="cellIs" dxfId="246" priority="318" operator="greaterThan">
      <formula>0</formula>
    </cfRule>
  </conditionalFormatting>
  <conditionalFormatting sqref="B11:B12">
    <cfRule type="cellIs" dxfId="245" priority="319" operator="lessThan">
      <formula>0</formula>
    </cfRule>
  </conditionalFormatting>
  <conditionalFormatting sqref="B11:B12">
    <cfRule type="cellIs" dxfId="244" priority="320" operator="greaterThan">
      <formula>0</formula>
    </cfRule>
  </conditionalFormatting>
  <conditionalFormatting sqref="B11:B12">
    <cfRule type="cellIs" dxfId="243" priority="321" operator="lessThan">
      <formula>0</formula>
    </cfRule>
  </conditionalFormatting>
  <conditionalFormatting sqref="B11:B12">
    <cfRule type="cellIs" dxfId="242" priority="314" operator="greaterThan">
      <formula>0</formula>
    </cfRule>
  </conditionalFormatting>
  <conditionalFormatting sqref="B11:B12">
    <cfRule type="cellIs" dxfId="241" priority="315" operator="lessThan">
      <formula>0</formula>
    </cfRule>
  </conditionalFormatting>
  <conditionalFormatting sqref="B11:B12">
    <cfRule type="cellIs" dxfId="240" priority="316" operator="greaterThan">
      <formula>0</formula>
    </cfRule>
  </conditionalFormatting>
  <conditionalFormatting sqref="B11:B12">
    <cfRule type="cellIs" dxfId="239" priority="317" operator="lessThan">
      <formula>0</formula>
    </cfRule>
  </conditionalFormatting>
  <conditionalFormatting sqref="B40">
    <cfRule type="cellIs" dxfId="238" priority="308" operator="greaterThan">
      <formula>0</formula>
    </cfRule>
  </conditionalFormatting>
  <conditionalFormatting sqref="B40">
    <cfRule type="cellIs" dxfId="237" priority="309" operator="lessThan">
      <formula>0</formula>
    </cfRule>
  </conditionalFormatting>
  <conditionalFormatting sqref="B40">
    <cfRule type="cellIs" dxfId="236" priority="310" operator="greaterThan">
      <formula>0</formula>
    </cfRule>
  </conditionalFormatting>
  <conditionalFormatting sqref="B40">
    <cfRule type="cellIs" dxfId="235" priority="311" operator="lessThan">
      <formula>0</formula>
    </cfRule>
  </conditionalFormatting>
  <conditionalFormatting sqref="B40">
    <cfRule type="cellIs" dxfId="234" priority="312" operator="greaterThan">
      <formula>0</formula>
    </cfRule>
  </conditionalFormatting>
  <conditionalFormatting sqref="B40">
    <cfRule type="cellIs" dxfId="233" priority="313" operator="lessThan">
      <formula>0</formula>
    </cfRule>
  </conditionalFormatting>
  <conditionalFormatting sqref="I38:I40">
    <cfRule type="cellIs" dxfId="232" priority="306" operator="lessThan">
      <formula>0</formula>
    </cfRule>
    <cfRule type="cellIs" dxfId="231" priority="307" operator="greaterThan">
      <formula>0</formula>
    </cfRule>
  </conditionalFormatting>
  <conditionalFormatting sqref="B38">
    <cfRule type="cellIs" dxfId="230" priority="300" operator="greaterThan">
      <formula>0</formula>
    </cfRule>
  </conditionalFormatting>
  <conditionalFormatting sqref="B38">
    <cfRule type="cellIs" dxfId="229" priority="301" operator="lessThan">
      <formula>0</formula>
    </cfRule>
  </conditionalFormatting>
  <conditionalFormatting sqref="B38">
    <cfRule type="cellIs" dxfId="228" priority="302" operator="greaterThan">
      <formula>0</formula>
    </cfRule>
  </conditionalFormatting>
  <conditionalFormatting sqref="B38">
    <cfRule type="cellIs" dxfId="227" priority="303" operator="lessThan">
      <formula>0</formula>
    </cfRule>
  </conditionalFormatting>
  <conditionalFormatting sqref="B38">
    <cfRule type="cellIs" dxfId="226" priority="304" operator="greaterThan">
      <formula>0</formula>
    </cfRule>
  </conditionalFormatting>
  <conditionalFormatting sqref="B38">
    <cfRule type="cellIs" dxfId="225" priority="305" operator="lessThan">
      <formula>0</formula>
    </cfRule>
  </conditionalFormatting>
  <conditionalFormatting sqref="B39">
    <cfRule type="cellIs" dxfId="224" priority="294" operator="greaterThan">
      <formula>0</formula>
    </cfRule>
  </conditionalFormatting>
  <conditionalFormatting sqref="B39">
    <cfRule type="cellIs" dxfId="223" priority="295" operator="lessThan">
      <formula>0</formula>
    </cfRule>
  </conditionalFormatting>
  <conditionalFormatting sqref="B39">
    <cfRule type="cellIs" dxfId="222" priority="296" operator="greaterThan">
      <formula>0</formula>
    </cfRule>
  </conditionalFormatting>
  <conditionalFormatting sqref="B39">
    <cfRule type="cellIs" dxfId="221" priority="297" operator="lessThan">
      <formula>0</formula>
    </cfRule>
  </conditionalFormatting>
  <conditionalFormatting sqref="B39">
    <cfRule type="cellIs" dxfId="220" priority="298" operator="greaterThan">
      <formula>0</formula>
    </cfRule>
  </conditionalFormatting>
  <conditionalFormatting sqref="B39">
    <cfRule type="cellIs" dxfId="219" priority="299" operator="lessThan">
      <formula>0</formula>
    </cfRule>
  </conditionalFormatting>
  <conditionalFormatting sqref="B31:B34 B37">
    <cfRule type="cellIs" dxfId="218" priority="290" operator="greaterThan">
      <formula>0</formula>
    </cfRule>
  </conditionalFormatting>
  <conditionalFormatting sqref="B31:B34 B37">
    <cfRule type="cellIs" dxfId="217" priority="291" operator="lessThan">
      <formula>0</formula>
    </cfRule>
  </conditionalFormatting>
  <conditionalFormatting sqref="B31:B34 B37">
    <cfRule type="cellIs" dxfId="216" priority="292" operator="greaterThan">
      <formula>0</formula>
    </cfRule>
  </conditionalFormatting>
  <conditionalFormatting sqref="B31:B34 B37">
    <cfRule type="cellIs" dxfId="215" priority="293" operator="lessThan">
      <formula>0</formula>
    </cfRule>
  </conditionalFormatting>
  <conditionalFormatting sqref="B35:B36">
    <cfRule type="cellIs" dxfId="214" priority="282" operator="greaterThan">
      <formula>0</formula>
    </cfRule>
  </conditionalFormatting>
  <conditionalFormatting sqref="B35:B36">
    <cfRule type="cellIs" dxfId="213" priority="283" operator="lessThan">
      <formula>0</formula>
    </cfRule>
  </conditionalFormatting>
  <conditionalFormatting sqref="B35:B36">
    <cfRule type="cellIs" dxfId="212" priority="284" operator="greaterThan">
      <formula>0</formula>
    </cfRule>
  </conditionalFormatting>
  <conditionalFormatting sqref="B35:B36">
    <cfRule type="cellIs" dxfId="211" priority="285" operator="lessThan">
      <formula>0</formula>
    </cfRule>
  </conditionalFormatting>
  <conditionalFormatting sqref="B36">
    <cfRule type="cellIs" dxfId="210" priority="286" operator="greaterThan">
      <formula>0</formula>
    </cfRule>
  </conditionalFormatting>
  <conditionalFormatting sqref="B36">
    <cfRule type="cellIs" dxfId="209" priority="287" operator="lessThan">
      <formula>0</formula>
    </cfRule>
  </conditionalFormatting>
  <conditionalFormatting sqref="B35">
    <cfRule type="cellIs" dxfId="208" priority="288" operator="greaterThan">
      <formula>0</formula>
    </cfRule>
  </conditionalFormatting>
  <conditionalFormatting sqref="B35">
    <cfRule type="cellIs" dxfId="207" priority="289" operator="lessThan">
      <formula>0</formula>
    </cfRule>
  </conditionalFormatting>
  <conditionalFormatting sqref="B4">
    <cfRule type="cellIs" dxfId="206" priority="272" operator="greaterThan">
      <formula>0</formula>
    </cfRule>
  </conditionalFormatting>
  <conditionalFormatting sqref="B4">
    <cfRule type="cellIs" dxfId="205" priority="273" operator="lessThan">
      <formula>0</formula>
    </cfRule>
  </conditionalFormatting>
  <conditionalFormatting sqref="B4">
    <cfRule type="cellIs" dxfId="204" priority="274" operator="greaterThan">
      <formula>0</formula>
    </cfRule>
  </conditionalFormatting>
  <conditionalFormatting sqref="B4">
    <cfRule type="cellIs" dxfId="203" priority="275" operator="lessThan">
      <formula>0</formula>
    </cfRule>
  </conditionalFormatting>
  <conditionalFormatting sqref="B4">
    <cfRule type="cellIs" dxfId="202" priority="268" operator="greaterThan">
      <formula>0</formula>
    </cfRule>
  </conditionalFormatting>
  <conditionalFormatting sqref="B4">
    <cfRule type="cellIs" dxfId="201" priority="269" operator="lessThan">
      <formula>0</formula>
    </cfRule>
  </conditionalFormatting>
  <conditionalFormatting sqref="B4">
    <cfRule type="cellIs" dxfId="200" priority="270" operator="greaterThan">
      <formula>0</formula>
    </cfRule>
  </conditionalFormatting>
  <conditionalFormatting sqref="B4">
    <cfRule type="cellIs" dxfId="199" priority="271" operator="lessThan">
      <formula>0</formula>
    </cfRule>
  </conditionalFormatting>
  <conditionalFormatting sqref="B4">
    <cfRule type="cellIs" dxfId="198" priority="264" operator="greaterThan">
      <formula>0</formula>
    </cfRule>
  </conditionalFormatting>
  <conditionalFormatting sqref="B4">
    <cfRule type="cellIs" dxfId="197" priority="265" operator="lessThan">
      <formula>0</formula>
    </cfRule>
  </conditionalFormatting>
  <conditionalFormatting sqref="B4">
    <cfRule type="cellIs" dxfId="196" priority="266" operator="greaterThan">
      <formula>0</formula>
    </cfRule>
  </conditionalFormatting>
  <conditionalFormatting sqref="B4">
    <cfRule type="cellIs" dxfId="195" priority="267" operator="lessThan">
      <formula>0</formula>
    </cfRule>
  </conditionalFormatting>
  <conditionalFormatting sqref="B4">
    <cfRule type="cellIs" dxfId="194" priority="260" operator="greaterThan">
      <formula>0</formula>
    </cfRule>
  </conditionalFormatting>
  <conditionalFormatting sqref="B4">
    <cfRule type="cellIs" dxfId="193" priority="261" operator="lessThan">
      <formula>0</formula>
    </cfRule>
  </conditionalFormatting>
  <conditionalFormatting sqref="B4">
    <cfRule type="cellIs" dxfId="192" priority="262" operator="greaterThan">
      <formula>0</formula>
    </cfRule>
  </conditionalFormatting>
  <conditionalFormatting sqref="B4">
    <cfRule type="cellIs" dxfId="191" priority="263" operator="lessThan">
      <formula>0</formula>
    </cfRule>
  </conditionalFormatting>
  <conditionalFormatting sqref="B4">
    <cfRule type="cellIs" dxfId="190" priority="256" operator="greaterThan">
      <formula>0</formula>
    </cfRule>
  </conditionalFormatting>
  <conditionalFormatting sqref="B4">
    <cfRule type="cellIs" dxfId="189" priority="257" operator="lessThan">
      <formula>0</formula>
    </cfRule>
  </conditionalFormatting>
  <conditionalFormatting sqref="B4">
    <cfRule type="cellIs" dxfId="188" priority="258" operator="greaterThan">
      <formula>0</formula>
    </cfRule>
  </conditionalFormatting>
  <conditionalFormatting sqref="B4">
    <cfRule type="cellIs" dxfId="187" priority="259" operator="lessThan">
      <formula>0</formula>
    </cfRule>
  </conditionalFormatting>
  <conditionalFormatting sqref="B4">
    <cfRule type="cellIs" dxfId="186" priority="252" operator="greaterThan">
      <formula>0</formula>
    </cfRule>
  </conditionalFormatting>
  <conditionalFormatting sqref="B4">
    <cfRule type="cellIs" dxfId="185" priority="253" operator="lessThan">
      <formula>0</formula>
    </cfRule>
  </conditionalFormatting>
  <conditionalFormatting sqref="B4">
    <cfRule type="cellIs" dxfId="184" priority="254" operator="greaterThan">
      <formula>0</formula>
    </cfRule>
  </conditionalFormatting>
  <conditionalFormatting sqref="B4">
    <cfRule type="cellIs" dxfId="183" priority="255" operator="lessThan">
      <formula>0</formula>
    </cfRule>
  </conditionalFormatting>
  <conditionalFormatting sqref="B4">
    <cfRule type="cellIs" dxfId="182" priority="248" operator="greaterThan">
      <formula>0</formula>
    </cfRule>
  </conditionalFormatting>
  <conditionalFormatting sqref="B4">
    <cfRule type="cellIs" dxfId="181" priority="249" operator="lessThan">
      <formula>0</formula>
    </cfRule>
  </conditionalFormatting>
  <conditionalFormatting sqref="B4">
    <cfRule type="cellIs" dxfId="180" priority="250" operator="greaterThan">
      <formula>0</formula>
    </cfRule>
  </conditionalFormatting>
  <conditionalFormatting sqref="B4">
    <cfRule type="cellIs" dxfId="179" priority="251" operator="lessThan">
      <formula>0</formula>
    </cfRule>
  </conditionalFormatting>
  <conditionalFormatting sqref="B4">
    <cfRule type="cellIs" dxfId="178" priority="244" operator="greaterThan">
      <formula>0</formula>
    </cfRule>
  </conditionalFormatting>
  <conditionalFormatting sqref="B4">
    <cfRule type="cellIs" dxfId="177" priority="245" operator="lessThan">
      <formula>0</formula>
    </cfRule>
  </conditionalFormatting>
  <conditionalFormatting sqref="B4">
    <cfRule type="cellIs" dxfId="176" priority="246" operator="greaterThan">
      <formula>0</formula>
    </cfRule>
  </conditionalFormatting>
  <conditionalFormatting sqref="B4">
    <cfRule type="cellIs" dxfId="175" priority="247" operator="lessThan">
      <formula>0</formula>
    </cfRule>
  </conditionalFormatting>
  <conditionalFormatting sqref="B4">
    <cfRule type="cellIs" dxfId="174" priority="240" operator="greaterThan">
      <formula>0</formula>
    </cfRule>
  </conditionalFormatting>
  <conditionalFormatting sqref="B4">
    <cfRule type="cellIs" dxfId="173" priority="241" operator="lessThan">
      <formula>0</formula>
    </cfRule>
  </conditionalFormatting>
  <conditionalFormatting sqref="B4">
    <cfRule type="cellIs" dxfId="172" priority="242" operator="greaterThan">
      <formula>0</formula>
    </cfRule>
  </conditionalFormatting>
  <conditionalFormatting sqref="B4">
    <cfRule type="cellIs" dxfId="171" priority="243" operator="lessThan">
      <formula>0</formula>
    </cfRule>
  </conditionalFormatting>
  <conditionalFormatting sqref="B8">
    <cfRule type="cellIs" dxfId="170" priority="236" operator="greaterThan">
      <formula>0</formula>
    </cfRule>
  </conditionalFormatting>
  <conditionalFormatting sqref="B8">
    <cfRule type="cellIs" dxfId="169" priority="237" operator="lessThan">
      <formula>0</formula>
    </cfRule>
  </conditionalFormatting>
  <conditionalFormatting sqref="B8">
    <cfRule type="cellIs" dxfId="168" priority="238" operator="greaterThan">
      <formula>0</formula>
    </cfRule>
  </conditionalFormatting>
  <conditionalFormatting sqref="B8">
    <cfRule type="cellIs" dxfId="167" priority="239" operator="lessThan">
      <formula>0</formula>
    </cfRule>
  </conditionalFormatting>
  <conditionalFormatting sqref="B8">
    <cfRule type="cellIs" dxfId="166" priority="232" operator="greaterThan">
      <formula>0</formula>
    </cfRule>
  </conditionalFormatting>
  <conditionalFormatting sqref="B8">
    <cfRule type="cellIs" dxfId="165" priority="233" operator="lessThan">
      <formula>0</formula>
    </cfRule>
  </conditionalFormatting>
  <conditionalFormatting sqref="B8">
    <cfRule type="cellIs" dxfId="164" priority="234" operator="greaterThan">
      <formula>0</formula>
    </cfRule>
  </conditionalFormatting>
  <conditionalFormatting sqref="B8">
    <cfRule type="cellIs" dxfId="163" priority="235" operator="lessThan">
      <formula>0</formula>
    </cfRule>
  </conditionalFormatting>
  <conditionalFormatting sqref="B6:B7">
    <cfRule type="cellIs" dxfId="162" priority="188" operator="greaterThan">
      <formula>0</formula>
    </cfRule>
  </conditionalFormatting>
  <conditionalFormatting sqref="B6:B7">
    <cfRule type="cellIs" dxfId="161" priority="189" operator="lessThan">
      <formula>0</formula>
    </cfRule>
  </conditionalFormatting>
  <conditionalFormatting sqref="B6:B7">
    <cfRule type="cellIs" dxfId="160" priority="190" operator="greaterThan">
      <formula>0</formula>
    </cfRule>
  </conditionalFormatting>
  <conditionalFormatting sqref="B6:B7">
    <cfRule type="cellIs" dxfId="159" priority="191" operator="lessThan">
      <formula>0</formula>
    </cfRule>
  </conditionalFormatting>
  <conditionalFormatting sqref="B9:B10">
    <cfRule type="cellIs" dxfId="158" priority="228" operator="greaterThan">
      <formula>0</formula>
    </cfRule>
  </conditionalFormatting>
  <conditionalFormatting sqref="B9:B10">
    <cfRule type="cellIs" dxfId="157" priority="229" operator="lessThan">
      <formula>0</formula>
    </cfRule>
  </conditionalFormatting>
  <conditionalFormatting sqref="B9:B10">
    <cfRule type="cellIs" dxfId="156" priority="230" operator="greaterThan">
      <formula>0</formula>
    </cfRule>
  </conditionalFormatting>
  <conditionalFormatting sqref="B9:B10">
    <cfRule type="cellIs" dxfId="155" priority="231" operator="lessThan">
      <formula>0</formula>
    </cfRule>
  </conditionalFormatting>
  <conditionalFormatting sqref="B10">
    <cfRule type="cellIs" dxfId="154" priority="224" operator="greaterThan">
      <formula>0</formula>
    </cfRule>
  </conditionalFormatting>
  <conditionalFormatting sqref="B10">
    <cfRule type="cellIs" dxfId="153" priority="225" operator="lessThan">
      <formula>0</formula>
    </cfRule>
  </conditionalFormatting>
  <conditionalFormatting sqref="B10">
    <cfRule type="cellIs" dxfId="152" priority="226" operator="greaterThan">
      <formula>0</formula>
    </cfRule>
  </conditionalFormatting>
  <conditionalFormatting sqref="B10">
    <cfRule type="cellIs" dxfId="151" priority="227" operator="lessThan">
      <formula>0</formula>
    </cfRule>
  </conditionalFormatting>
  <conditionalFormatting sqref="B10">
    <cfRule type="cellIs" dxfId="150" priority="220" operator="greaterThan">
      <formula>0</formula>
    </cfRule>
  </conditionalFormatting>
  <conditionalFormatting sqref="B10">
    <cfRule type="cellIs" dxfId="149" priority="221" operator="lessThan">
      <formula>0</formula>
    </cfRule>
  </conditionalFormatting>
  <conditionalFormatting sqref="B10">
    <cfRule type="cellIs" dxfId="148" priority="222" operator="greaterThan">
      <formula>0</formula>
    </cfRule>
  </conditionalFormatting>
  <conditionalFormatting sqref="B10">
    <cfRule type="cellIs" dxfId="147" priority="223" operator="lessThan">
      <formula>0</formula>
    </cfRule>
  </conditionalFormatting>
  <conditionalFormatting sqref="B9">
    <cfRule type="cellIs" dxfId="146" priority="216" operator="greaterThan">
      <formula>0</formula>
    </cfRule>
  </conditionalFormatting>
  <conditionalFormatting sqref="B9">
    <cfRule type="cellIs" dxfId="145" priority="217" operator="lessThan">
      <formula>0</formula>
    </cfRule>
  </conditionalFormatting>
  <conditionalFormatting sqref="B9">
    <cfRule type="cellIs" dxfId="144" priority="218" operator="greaterThan">
      <formula>0</formula>
    </cfRule>
  </conditionalFormatting>
  <conditionalFormatting sqref="B9">
    <cfRule type="cellIs" dxfId="143" priority="219" operator="lessThan">
      <formula>0</formula>
    </cfRule>
  </conditionalFormatting>
  <conditionalFormatting sqref="B9:B10">
    <cfRule type="cellIs" dxfId="142" priority="212" operator="greaterThan">
      <formula>0</formula>
    </cfRule>
  </conditionalFormatting>
  <conditionalFormatting sqref="B9:B10">
    <cfRule type="cellIs" dxfId="141" priority="213" operator="lessThan">
      <formula>0</formula>
    </cfRule>
  </conditionalFormatting>
  <conditionalFormatting sqref="B9:B10">
    <cfRule type="cellIs" dxfId="140" priority="214" operator="greaterThan">
      <formula>0</formula>
    </cfRule>
  </conditionalFormatting>
  <conditionalFormatting sqref="B9:B10">
    <cfRule type="cellIs" dxfId="139" priority="215" operator="lessThan">
      <formula>0</formula>
    </cfRule>
  </conditionalFormatting>
  <conditionalFormatting sqref="B9:B10">
    <cfRule type="cellIs" dxfId="138" priority="208" operator="greaterThan">
      <formula>0</formula>
    </cfRule>
  </conditionalFormatting>
  <conditionalFormatting sqref="B9:B10">
    <cfRule type="cellIs" dxfId="137" priority="209" operator="lessThan">
      <formula>0</formula>
    </cfRule>
  </conditionalFormatting>
  <conditionalFormatting sqref="B9:B10">
    <cfRule type="cellIs" dxfId="136" priority="210" operator="greaterThan">
      <formula>0</formula>
    </cfRule>
  </conditionalFormatting>
  <conditionalFormatting sqref="B9:B10">
    <cfRule type="cellIs" dxfId="135" priority="211" operator="lessThan">
      <formula>0</formula>
    </cfRule>
  </conditionalFormatting>
  <conditionalFormatting sqref="B6:B7">
    <cfRule type="cellIs" dxfId="134" priority="204" operator="greaterThan">
      <formula>0</formula>
    </cfRule>
  </conditionalFormatting>
  <conditionalFormatting sqref="B6:B7">
    <cfRule type="cellIs" dxfId="133" priority="205" operator="lessThan">
      <formula>0</formula>
    </cfRule>
  </conditionalFormatting>
  <conditionalFormatting sqref="B6:B7">
    <cfRule type="cellIs" dxfId="132" priority="206" operator="greaterThan">
      <formula>0</formula>
    </cfRule>
  </conditionalFormatting>
  <conditionalFormatting sqref="B6:B7">
    <cfRule type="cellIs" dxfId="131" priority="207" operator="lessThan">
      <formula>0</formula>
    </cfRule>
  </conditionalFormatting>
  <conditionalFormatting sqref="B6:B7">
    <cfRule type="cellIs" dxfId="130" priority="200" operator="greaterThan">
      <formula>0</formula>
    </cfRule>
  </conditionalFormatting>
  <conditionalFormatting sqref="B6:B7">
    <cfRule type="cellIs" dxfId="129" priority="201" operator="lessThan">
      <formula>0</formula>
    </cfRule>
  </conditionalFormatting>
  <conditionalFormatting sqref="B6:B7">
    <cfRule type="cellIs" dxfId="128" priority="202" operator="greaterThan">
      <formula>0</formula>
    </cfRule>
  </conditionalFormatting>
  <conditionalFormatting sqref="B6:B7">
    <cfRule type="cellIs" dxfId="127" priority="203" operator="lessThan">
      <formula>0</formula>
    </cfRule>
  </conditionalFormatting>
  <conditionalFormatting sqref="B6:B7">
    <cfRule type="cellIs" dxfId="126" priority="196" operator="greaterThan">
      <formula>0</formula>
    </cfRule>
  </conditionalFormatting>
  <conditionalFormatting sqref="B6:B7">
    <cfRule type="cellIs" dxfId="125" priority="197" operator="lessThan">
      <formula>0</formula>
    </cfRule>
  </conditionalFormatting>
  <conditionalFormatting sqref="B6:B7">
    <cfRule type="cellIs" dxfId="124" priority="198" operator="greaterThan">
      <formula>0</formula>
    </cfRule>
  </conditionalFormatting>
  <conditionalFormatting sqref="B6:B7">
    <cfRule type="cellIs" dxfId="123" priority="199" operator="lessThan">
      <formula>0</formula>
    </cfRule>
  </conditionalFormatting>
  <conditionalFormatting sqref="B6:B7">
    <cfRule type="cellIs" dxfId="122" priority="192" operator="greaterThan">
      <formula>0</formula>
    </cfRule>
  </conditionalFormatting>
  <conditionalFormatting sqref="B6:B7">
    <cfRule type="cellIs" dxfId="121" priority="193" operator="lessThan">
      <formula>0</formula>
    </cfRule>
  </conditionalFormatting>
  <conditionalFormatting sqref="B6:B7">
    <cfRule type="cellIs" dxfId="120" priority="194" operator="greaterThan">
      <formula>0</formula>
    </cfRule>
  </conditionalFormatting>
  <conditionalFormatting sqref="B6:B7">
    <cfRule type="cellIs" dxfId="119" priority="195" operator="lessThan">
      <formula>0</formula>
    </cfRule>
  </conditionalFormatting>
  <conditionalFormatting sqref="B6:B7">
    <cfRule type="cellIs" dxfId="118" priority="184" operator="greaterThan">
      <formula>0</formula>
    </cfRule>
  </conditionalFormatting>
  <conditionalFormatting sqref="B6:B7">
    <cfRule type="cellIs" dxfId="117" priority="185" operator="lessThan">
      <formula>0</formula>
    </cfRule>
  </conditionalFormatting>
  <conditionalFormatting sqref="B6:B7">
    <cfRule type="cellIs" dxfId="116" priority="186" operator="greaterThan">
      <formula>0</formula>
    </cfRule>
  </conditionalFormatting>
  <conditionalFormatting sqref="B6:B7">
    <cfRule type="cellIs" dxfId="115" priority="187" operator="lessThan">
      <formula>0</formula>
    </cfRule>
  </conditionalFormatting>
  <conditionalFormatting sqref="B6:B7">
    <cfRule type="cellIs" dxfId="114" priority="180" operator="greaterThan">
      <formula>0</formula>
    </cfRule>
  </conditionalFormatting>
  <conditionalFormatting sqref="B6:B7">
    <cfRule type="cellIs" dxfId="113" priority="181" operator="lessThan">
      <formula>0</formula>
    </cfRule>
  </conditionalFormatting>
  <conditionalFormatting sqref="B6:B7">
    <cfRule type="cellIs" dxfId="112" priority="182" operator="greaterThan">
      <formula>0</formula>
    </cfRule>
  </conditionalFormatting>
  <conditionalFormatting sqref="B6:B7">
    <cfRule type="cellIs" dxfId="111" priority="183" operator="lessThan">
      <formula>0</formula>
    </cfRule>
  </conditionalFormatting>
  <conditionalFormatting sqref="B19">
    <cfRule type="cellIs" dxfId="110" priority="174" operator="greaterThan">
      <formula>0</formula>
    </cfRule>
  </conditionalFormatting>
  <conditionalFormatting sqref="B19">
    <cfRule type="cellIs" dxfId="109" priority="175" operator="lessThan">
      <formula>0</formula>
    </cfRule>
  </conditionalFormatting>
  <conditionalFormatting sqref="B19">
    <cfRule type="cellIs" dxfId="108" priority="176" operator="greaterThan">
      <formula>0</formula>
    </cfRule>
  </conditionalFormatting>
  <conditionalFormatting sqref="B19">
    <cfRule type="cellIs" dxfId="107" priority="177" operator="lessThan">
      <formula>0</formula>
    </cfRule>
  </conditionalFormatting>
  <conditionalFormatting sqref="B19">
    <cfRule type="cellIs" dxfId="106" priority="170" operator="greaterThan">
      <formula>0</formula>
    </cfRule>
  </conditionalFormatting>
  <conditionalFormatting sqref="B19">
    <cfRule type="cellIs" dxfId="105" priority="171" operator="lessThan">
      <formula>0</formula>
    </cfRule>
  </conditionalFormatting>
  <conditionalFormatting sqref="B19">
    <cfRule type="cellIs" dxfId="104" priority="172" operator="greaterThan">
      <formula>0</formula>
    </cfRule>
  </conditionalFormatting>
  <conditionalFormatting sqref="B19">
    <cfRule type="cellIs" dxfId="103" priority="173" operator="lessThan">
      <formula>0</formula>
    </cfRule>
  </conditionalFormatting>
  <conditionalFormatting sqref="B3">
    <cfRule type="cellIs" dxfId="102" priority="166" operator="greaterThan">
      <formula>0</formula>
    </cfRule>
  </conditionalFormatting>
  <conditionalFormatting sqref="B3">
    <cfRule type="cellIs" dxfId="101" priority="167" operator="lessThan">
      <formula>0</formula>
    </cfRule>
  </conditionalFormatting>
  <conditionalFormatting sqref="B3">
    <cfRule type="cellIs" dxfId="100" priority="168" operator="greaterThan">
      <formula>0</formula>
    </cfRule>
  </conditionalFormatting>
  <conditionalFormatting sqref="B3">
    <cfRule type="cellIs" dxfId="99" priority="169" operator="lessThan">
      <formula>0</formula>
    </cfRule>
  </conditionalFormatting>
  <conditionalFormatting sqref="B3">
    <cfRule type="cellIs" dxfId="98" priority="162" operator="greaterThan">
      <formula>0</formula>
    </cfRule>
  </conditionalFormatting>
  <conditionalFormatting sqref="B3">
    <cfRule type="cellIs" dxfId="97" priority="163" operator="lessThan">
      <formula>0</formula>
    </cfRule>
  </conditionalFormatting>
  <conditionalFormatting sqref="B3">
    <cfRule type="cellIs" dxfId="96" priority="164" operator="greaterThan">
      <formula>0</formula>
    </cfRule>
  </conditionalFormatting>
  <conditionalFormatting sqref="B3">
    <cfRule type="cellIs" dxfId="95" priority="165" operator="lessThan">
      <formula>0</formula>
    </cfRule>
  </conditionalFormatting>
  <conditionalFormatting sqref="B3">
    <cfRule type="cellIs" dxfId="94" priority="158" operator="greaterThan">
      <formula>0</formula>
    </cfRule>
  </conditionalFormatting>
  <conditionalFormatting sqref="B3">
    <cfRule type="cellIs" dxfId="93" priority="159" operator="lessThan">
      <formula>0</formula>
    </cfRule>
  </conditionalFormatting>
  <conditionalFormatting sqref="B3">
    <cfRule type="cellIs" dxfId="92" priority="160" operator="greaterThan">
      <formula>0</formula>
    </cfRule>
  </conditionalFormatting>
  <conditionalFormatting sqref="B3">
    <cfRule type="cellIs" dxfId="91" priority="161" operator="lessThan">
      <formula>0</formula>
    </cfRule>
  </conditionalFormatting>
  <conditionalFormatting sqref="B3">
    <cfRule type="cellIs" dxfId="90" priority="154" operator="greaterThan">
      <formula>0</formula>
    </cfRule>
  </conditionalFormatting>
  <conditionalFormatting sqref="B3">
    <cfRule type="cellIs" dxfId="89" priority="155" operator="lessThan">
      <formula>0</formula>
    </cfRule>
  </conditionalFormatting>
  <conditionalFormatting sqref="B3">
    <cfRule type="cellIs" dxfId="88" priority="156" operator="greaterThan">
      <formula>0</formula>
    </cfRule>
  </conditionalFormatting>
  <conditionalFormatting sqref="B3">
    <cfRule type="cellIs" dxfId="87" priority="157" operator="lessThan">
      <formula>0</formula>
    </cfRule>
  </conditionalFormatting>
  <conditionalFormatting sqref="B7">
    <cfRule type="cellIs" dxfId="86" priority="150" operator="greaterThan">
      <formula>0</formula>
    </cfRule>
  </conditionalFormatting>
  <conditionalFormatting sqref="B7">
    <cfRule type="cellIs" dxfId="85" priority="151" operator="lessThan">
      <formula>0</formula>
    </cfRule>
  </conditionalFormatting>
  <conditionalFormatting sqref="B7">
    <cfRule type="cellIs" dxfId="84" priority="152" operator="greaterThan">
      <formula>0</formula>
    </cfRule>
  </conditionalFormatting>
  <conditionalFormatting sqref="B7">
    <cfRule type="cellIs" dxfId="83" priority="153" operator="lessThan">
      <formula>0</formula>
    </cfRule>
  </conditionalFormatting>
  <conditionalFormatting sqref="B7">
    <cfRule type="cellIs" dxfId="82" priority="146" operator="greaterThan">
      <formula>0</formula>
    </cfRule>
  </conditionalFormatting>
  <conditionalFormatting sqref="B7">
    <cfRule type="cellIs" dxfId="81" priority="147" operator="lessThan">
      <formula>0</formula>
    </cfRule>
  </conditionalFormatting>
  <conditionalFormatting sqref="B7">
    <cfRule type="cellIs" dxfId="80" priority="148" operator="greaterThan">
      <formula>0</formula>
    </cfRule>
  </conditionalFormatting>
  <conditionalFormatting sqref="B7">
    <cfRule type="cellIs" dxfId="79" priority="149" operator="lessThan">
      <formula>0</formula>
    </cfRule>
  </conditionalFormatting>
  <conditionalFormatting sqref="B7">
    <cfRule type="cellIs" dxfId="78" priority="142" operator="greaterThan">
      <formula>0</formula>
    </cfRule>
  </conditionalFormatting>
  <conditionalFormatting sqref="B7">
    <cfRule type="cellIs" dxfId="77" priority="143" operator="lessThan">
      <formula>0</formula>
    </cfRule>
  </conditionalFormatting>
  <conditionalFormatting sqref="B7">
    <cfRule type="cellIs" dxfId="76" priority="144" operator="greaterThan">
      <formula>0</formula>
    </cfRule>
  </conditionalFormatting>
  <conditionalFormatting sqref="B7">
    <cfRule type="cellIs" dxfId="75" priority="145" operator="lessThan">
      <formula>0</formula>
    </cfRule>
  </conditionalFormatting>
  <conditionalFormatting sqref="B7">
    <cfRule type="cellIs" dxfId="74" priority="138" operator="greaterThan">
      <formula>0</formula>
    </cfRule>
  </conditionalFormatting>
  <conditionalFormatting sqref="B7">
    <cfRule type="cellIs" dxfId="73" priority="139" operator="lessThan">
      <formula>0</formula>
    </cfRule>
  </conditionalFormatting>
  <conditionalFormatting sqref="B7">
    <cfRule type="cellIs" dxfId="72" priority="140" operator="greaterThan">
      <formula>0</formula>
    </cfRule>
  </conditionalFormatting>
  <conditionalFormatting sqref="B7">
    <cfRule type="cellIs" dxfId="71" priority="141" operator="lessThan">
      <formula>0</formula>
    </cfRule>
  </conditionalFormatting>
  <conditionalFormatting sqref="B7">
    <cfRule type="cellIs" dxfId="70" priority="134" operator="greaterThan">
      <formula>0</formula>
    </cfRule>
  </conditionalFormatting>
  <conditionalFormatting sqref="B7">
    <cfRule type="cellIs" dxfId="69" priority="135" operator="lessThan">
      <formula>0</formula>
    </cfRule>
  </conditionalFormatting>
  <conditionalFormatting sqref="B7">
    <cfRule type="cellIs" dxfId="68" priority="136" operator="greaterThan">
      <formula>0</formula>
    </cfRule>
  </conditionalFormatting>
  <conditionalFormatting sqref="B7">
    <cfRule type="cellIs" dxfId="67" priority="137" operator="lessThan">
      <formula>0</formula>
    </cfRule>
  </conditionalFormatting>
  <conditionalFormatting sqref="B7">
    <cfRule type="cellIs" dxfId="66" priority="130" operator="greaterThan">
      <formula>0</formula>
    </cfRule>
  </conditionalFormatting>
  <conditionalFormatting sqref="B7">
    <cfRule type="cellIs" dxfId="65" priority="131" operator="lessThan">
      <formula>0</formula>
    </cfRule>
  </conditionalFormatting>
  <conditionalFormatting sqref="B7">
    <cfRule type="cellIs" dxfId="64" priority="132" operator="greaterThan">
      <formula>0</formula>
    </cfRule>
  </conditionalFormatting>
  <conditionalFormatting sqref="B7">
    <cfRule type="cellIs" dxfId="63" priority="133" operator="lessThan">
      <formula>0</formula>
    </cfRule>
  </conditionalFormatting>
  <conditionalFormatting sqref="B7">
    <cfRule type="cellIs" dxfId="62" priority="126" operator="greaterThan">
      <formula>0</formula>
    </cfRule>
  </conditionalFormatting>
  <conditionalFormatting sqref="B7">
    <cfRule type="cellIs" dxfId="61" priority="127" operator="lessThan">
      <formula>0</formula>
    </cfRule>
  </conditionalFormatting>
  <conditionalFormatting sqref="B7">
    <cfRule type="cellIs" dxfId="60" priority="128" operator="greaterThan">
      <formula>0</formula>
    </cfRule>
  </conditionalFormatting>
  <conditionalFormatting sqref="B7">
    <cfRule type="cellIs" dxfId="59" priority="129" operator="lessThan">
      <formula>0</formula>
    </cfRule>
  </conditionalFormatting>
  <conditionalFormatting sqref="B7">
    <cfRule type="cellIs" dxfId="58" priority="122" operator="greaterThan">
      <formula>0</formula>
    </cfRule>
  </conditionalFormatting>
  <conditionalFormatting sqref="B7">
    <cfRule type="cellIs" dxfId="57" priority="123" operator="lessThan">
      <formula>0</formula>
    </cfRule>
  </conditionalFormatting>
  <conditionalFormatting sqref="B7">
    <cfRule type="cellIs" dxfId="56" priority="124" operator="greaterThan">
      <formula>0</formula>
    </cfRule>
  </conditionalFormatting>
  <conditionalFormatting sqref="B7">
    <cfRule type="cellIs" dxfId="55" priority="125" operator="lessThan">
      <formula>0</formula>
    </cfRule>
  </conditionalFormatting>
  <conditionalFormatting sqref="B7">
    <cfRule type="cellIs" dxfId="54" priority="118" operator="greaterThan">
      <formula>0</formula>
    </cfRule>
  </conditionalFormatting>
  <conditionalFormatting sqref="B7">
    <cfRule type="cellIs" dxfId="53" priority="119" operator="lessThan">
      <formula>0</formula>
    </cfRule>
  </conditionalFormatting>
  <conditionalFormatting sqref="B7">
    <cfRule type="cellIs" dxfId="52" priority="120" operator="greaterThan">
      <formula>0</formula>
    </cfRule>
  </conditionalFormatting>
  <conditionalFormatting sqref="B7">
    <cfRule type="cellIs" dxfId="51" priority="121" operator="lessThan">
      <formula>0</formula>
    </cfRule>
  </conditionalFormatting>
  <conditionalFormatting sqref="AE3:AE6">
    <cfRule type="cellIs" dxfId="50" priority="117" operator="lessThan">
      <formula>0.01</formula>
    </cfRule>
  </conditionalFormatting>
  <conditionalFormatting sqref="S3">
    <cfRule type="cellIs" dxfId="49" priority="116" operator="lessThan">
      <formula>0.01</formula>
    </cfRule>
  </conditionalFormatting>
  <conditionalFormatting sqref="AO3:AO42">
    <cfRule type="expression" dxfId="48" priority="115">
      <formula>$L$18-$R3&lt;0</formula>
    </cfRule>
  </conditionalFormatting>
  <conditionalFormatting sqref="AO3:AO42">
    <cfRule type="expression" dxfId="47" priority="114">
      <formula>$L$18-$R3&gt;0</formula>
    </cfRule>
  </conditionalFormatting>
  <conditionalFormatting sqref="Q3">
    <cfRule type="cellIs" dxfId="46" priority="109" operator="equal">
      <formula>0</formula>
    </cfRule>
  </conditionalFormatting>
  <conditionalFormatting sqref="AC3:AC42">
    <cfRule type="cellIs" dxfId="45" priority="108" operator="equal">
      <formula>0</formula>
    </cfRule>
  </conditionalFormatting>
  <conditionalFormatting sqref="Y3">
    <cfRule type="cellIs" dxfId="44" priority="105" operator="equal">
      <formula>0</formula>
    </cfRule>
  </conditionalFormatting>
  <conditionalFormatting sqref="Z3">
    <cfRule type="cellIs" dxfId="43" priority="104" operator="equal">
      <formula>0</formula>
    </cfRule>
  </conditionalFormatting>
  <conditionalFormatting sqref="AH3:AI8">
    <cfRule type="cellIs" dxfId="42" priority="99" operator="equal">
      <formula>0</formula>
    </cfRule>
  </conditionalFormatting>
  <conditionalFormatting sqref="AK3:AK8">
    <cfRule type="cellIs" dxfId="41" priority="98" operator="equal">
      <formula>0</formula>
    </cfRule>
  </conditionalFormatting>
  <conditionalFormatting sqref="AL3:AL8">
    <cfRule type="cellIs" dxfId="40" priority="97" operator="equal">
      <formula>0</formula>
    </cfRule>
  </conditionalFormatting>
  <conditionalFormatting sqref="AD18:AD26">
    <cfRule type="expression" dxfId="39" priority="95">
      <formula>AC18&gt;0</formula>
    </cfRule>
  </conditionalFormatting>
  <conditionalFormatting sqref="AD18:AD26">
    <cfRule type="expression" dxfId="38" priority="96">
      <formula>AC18&lt;0</formula>
    </cfRule>
  </conditionalFormatting>
  <conditionalFormatting sqref="AE7:AE8">
    <cfRule type="cellIs" dxfId="37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6" priority="68" operator="greaterThan">
      <formula>0</formula>
    </cfRule>
  </conditionalFormatting>
  <conditionalFormatting sqref="AM18:AM42">
    <cfRule type="cellIs" dxfId="35" priority="66" operator="equal">
      <formula>0</formula>
    </cfRule>
  </conditionalFormatting>
  <conditionalFormatting sqref="AJ18:AJ42">
    <cfRule type="cellIs" dxfId="34" priority="65" operator="equal">
      <formula>0</formula>
    </cfRule>
  </conditionalFormatting>
  <conditionalFormatting sqref="AH9:AI42">
    <cfRule type="cellIs" dxfId="33" priority="63" operator="equal">
      <formula>0</formula>
    </cfRule>
  </conditionalFormatting>
  <conditionalFormatting sqref="AK9:AK42">
    <cfRule type="cellIs" dxfId="32" priority="62" operator="equal">
      <formula>0</formula>
    </cfRule>
  </conditionalFormatting>
  <conditionalFormatting sqref="AL9:AL42">
    <cfRule type="cellIs" dxfId="31" priority="61" operator="equal">
      <formula>0</formula>
    </cfRule>
  </conditionalFormatting>
  <conditionalFormatting sqref="AE9:AE42">
    <cfRule type="cellIs" dxfId="30" priority="60" operator="lessThan">
      <formula>0.01</formula>
    </cfRule>
  </conditionalFormatting>
  <conditionalFormatting sqref="R3">
    <cfRule type="expression" dxfId="29" priority="58">
      <formula>Q3&gt;0</formula>
    </cfRule>
  </conditionalFormatting>
  <conditionalFormatting sqref="R3">
    <cfRule type="expression" dxfId="28" priority="59">
      <formula>Q3&lt;0</formula>
    </cfRule>
  </conditionalFormatting>
  <conditionalFormatting sqref="N36">
    <cfRule type="cellIs" dxfId="27" priority="57" operator="lessThan">
      <formula>0</formula>
    </cfRule>
  </conditionalFormatting>
  <conditionalFormatting sqref="AD4:AD17">
    <cfRule type="expression" dxfId="26" priority="53">
      <formula>AC4&gt;0</formula>
    </cfRule>
  </conditionalFormatting>
  <conditionalFormatting sqref="AD4:AD17">
    <cfRule type="expression" dxfId="25" priority="54">
      <formula>AC4&lt;0</formula>
    </cfRule>
  </conditionalFormatting>
  <conditionalFormatting sqref="Q4:Q42">
    <cfRule type="cellIs" dxfId="24" priority="44" operator="greaterThan">
      <formula>0</formula>
    </cfRule>
  </conditionalFormatting>
  <conditionalFormatting sqref="Q4:Q42">
    <cfRule type="cellIs" dxfId="23" priority="45" operator="lessThan">
      <formula>0</formula>
    </cfRule>
  </conditionalFormatting>
  <conditionalFormatting sqref="Q4:Q42">
    <cfRule type="cellIs" dxfId="22" priority="46" operator="greaterThan">
      <formula>0</formula>
    </cfRule>
  </conditionalFormatting>
  <conditionalFormatting sqref="Q4:Q42">
    <cfRule type="cellIs" dxfId="21" priority="47" operator="lessThan">
      <formula>0</formula>
    </cfRule>
  </conditionalFormatting>
  <conditionalFormatting sqref="AA18:AA42">
    <cfRule type="cellIs" dxfId="20" priority="43" operator="equal">
      <formula>0</formula>
    </cfRule>
  </conditionalFormatting>
  <conditionalFormatting sqref="P4:P42">
    <cfRule type="expression" dxfId="19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" priority="49" operator="greaterThan">
      <formula>0</formula>
    </cfRule>
  </conditionalFormatting>
  <conditionalFormatting sqref="P4:P42">
    <cfRule type="expression" dxfId="17" priority="41">
      <formula>$L$18-$R4&gt;0</formula>
    </cfRule>
  </conditionalFormatting>
  <conditionalFormatting sqref="X18:X42">
    <cfRule type="cellIs" dxfId="16" priority="39" operator="lessThan">
      <formula>S18</formula>
    </cfRule>
    <cfRule type="cellIs" dxfId="15" priority="40" operator="equal">
      <formula>0</formula>
    </cfRule>
  </conditionalFormatting>
  <conditionalFormatting sqref="V4:W42">
    <cfRule type="cellIs" dxfId="14" priority="38" operator="equal">
      <formula>0</formula>
    </cfRule>
  </conditionalFormatting>
  <conditionalFormatting sqref="S4:S42">
    <cfRule type="cellIs" dxfId="13" priority="37" operator="lessThan">
      <formula>0.01</formula>
    </cfRule>
  </conditionalFormatting>
  <conditionalFormatting sqref="Q4:Q42">
    <cfRule type="cellIs" dxfId="12" priority="36" operator="equal">
      <formula>0</formula>
    </cfRule>
  </conditionalFormatting>
  <conditionalFormatting sqref="Y4:Y42">
    <cfRule type="cellIs" dxfId="11" priority="35" operator="equal">
      <formula>0</formula>
    </cfRule>
  </conditionalFormatting>
  <conditionalFormatting sqref="Z4:Z42">
    <cfRule type="cellIs" dxfId="10" priority="34" operator="equal">
      <formula>0</formula>
    </cfRule>
  </conditionalFormatting>
  <conditionalFormatting sqref="R4:R42">
    <cfRule type="expression" dxfId="9" priority="32">
      <formula>Q4&gt;0</formula>
    </cfRule>
  </conditionalFormatting>
  <conditionalFormatting sqref="R4:R42">
    <cfRule type="expression" dxfId="8" priority="33">
      <formula>Q4&lt;0</formula>
    </cfRule>
  </conditionalFormatting>
  <conditionalFormatting sqref="AM3">
    <cfRule type="cellIs" dxfId="7" priority="29" operator="equal">
      <formula>0</formula>
    </cfRule>
  </conditionalFormatting>
  <conditionalFormatting sqref="AM4:AM17">
    <cfRule type="cellIs" dxfId="6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5" priority="10" operator="lessThan">
      <formula>AE3</formula>
    </cfRule>
    <cfRule type="cellIs" dxfId="4" priority="11" operator="equal">
      <formula>0</formula>
    </cfRule>
  </conditionalFormatting>
  <conditionalFormatting sqref="AJ3">
    <cfRule type="cellIs" dxfId="3" priority="9" operator="lessThan">
      <formula>AB3</formula>
    </cfRule>
  </conditionalFormatting>
  <conditionalFormatting sqref="AJ4:AJ17">
    <cfRule type="cellIs" dxfId="2" priority="8" operator="lessThan">
      <formula>AB4</formula>
    </cfRule>
  </conditionalFormatting>
  <conditionalFormatting sqref="X3">
    <cfRule type="cellIs" dxfId="1" priority="7" operator="equal">
      <formula>0</formula>
    </cfRule>
  </conditionalFormatting>
  <conditionalFormatting sqref="X4:X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" zoomScale="80" zoomScaleNormal="80" workbookViewId="0">
      <selection activeCell="E31" sqref="E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610</v>
      </c>
      <c r="B3" s="20"/>
      <c r="C3" s="19"/>
      <c r="D3" s="20"/>
      <c r="E3" s="59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597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598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599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600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601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602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603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604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605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16" t="s">
        <v>608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612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613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614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615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616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618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619</v>
      </c>
      <c r="B24" s="20"/>
      <c r="C24" s="19"/>
      <c r="D24" s="20"/>
      <c r="E24" s="19" t="s">
        <v>628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620</v>
      </c>
      <c r="B25" s="20"/>
      <c r="C25" s="19"/>
      <c r="D25" s="20"/>
      <c r="E25" s="19" t="s">
        <v>629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621</v>
      </c>
      <c r="B26" s="20"/>
      <c r="C26" s="19"/>
      <c r="D26" s="20"/>
      <c r="E26" s="19" t="s">
        <v>630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622</v>
      </c>
      <c r="B27" s="20"/>
      <c r="C27" s="19"/>
      <c r="D27" s="20"/>
      <c r="E27" s="19" t="s">
        <v>631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623</v>
      </c>
      <c r="B28" s="20"/>
      <c r="C28" s="19"/>
      <c r="D28" s="20"/>
      <c r="E28" s="19" t="s">
        <v>632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624</v>
      </c>
      <c r="B29" s="20"/>
      <c r="C29" s="19"/>
      <c r="D29" s="20"/>
      <c r="E29" s="19" t="s">
        <v>633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625</v>
      </c>
      <c r="B30" s="20"/>
      <c r="C30" s="19"/>
      <c r="D30" s="20"/>
      <c r="E30" s="19" t="s">
        <v>535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16" t="s">
        <v>626</v>
      </c>
      <c r="B31" s="20"/>
      <c r="C31" s="19"/>
      <c r="D31" s="20"/>
      <c r="E31" s="19" t="s">
        <v>536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537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538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539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540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568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569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570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571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572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573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586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587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582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583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584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585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2024-02-28T20:00:57Z</dcterms:modified>
</cp:coreProperties>
</file>