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E8BF6B7C-D24D-4813-8693-530C842B0748}"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7" i="38" l="1"/>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33" i="38" l="1"/>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<sst xmlns="http://schemas.openxmlformats.org/spreadsheetml/2006/main" count="1472" uniqueCount="635">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</sst>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8">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4">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125" fillId="11" borderId="120" xfId="77" applyNumberFormat="1" applyFont="1" applyFill="1" applyBorder="1" applyAlignment="1">
      <alignment horizontal="center" vertical="center"/>
    </xf>
    <xf numFmtId="1" fontId="125"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6"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6"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7" fillId="12" borderId="109" xfId="55" applyNumberFormat="1" applyFont="1" applyFill="1" applyBorder="1" applyAlignment="1">
      <alignment horizontal="center" vertical="center"/>
    </xf>
    <xf numFmtId="0" fontId="127"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6"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6"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6"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6" fillId="9" borderId="159" xfId="55" applyNumberFormat="1" applyFont="1" applyFill="1" applyBorder="1" applyAlignment="1">
      <alignment horizontal="center" vertical="center"/>
    </xf>
    <xf numFmtId="0" fontId="126"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16" fillId="0" borderId="59" xfId="0" applyFont="1" applyBorder="1"/>
    <xf numFmtId="0" fontId="16" fillId="0" borderId="60" xfId="0" applyFont="1" applyBorder="1"/>
    <xf numFmtId="0" fontId="57" fillId="37" borderId="65" xfId="0" applyFont="1" applyFill="1" applyBorder="1" applyAlignment="1">
      <alignment horizontal="center" vertical="center"/>
    </xf>
    <xf numFmtId="0" fontId="46" fillId="37" borderId="65" xfId="0" applyFont="1" applyFill="1" applyBorder="1" applyAlignment="1">
      <alignment horizontal="center" vertical="center"/>
    </xf>
    <xf numFmtId="0" fontId="43" fillId="37"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58"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2" fontId="112" fillId="9" borderId="111" xfId="55" applyNumberFormat="1" applyFont="1" applyFill="1" applyBorder="1" applyAlignment="1">
      <alignment horizontal="center" vertical="center" wrapText="1"/>
    </xf>
    <xf numFmtId="1" fontId="70" fillId="9" borderId="3" xfId="0" applyNumberFormat="1"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5">
    <dxf>
      <font>
        <b/>
        <i val="0"/>
        <color rgb="FF9C0006"/>
      </font>
      <fill>
        <patternFill>
          <bgColor rgb="FFFFFF00"/>
        </patternFill>
      </fill>
    </dxf>
    <dxf>
      <font>
        <b/>
        <i val="0"/>
        <color rgb="FF9C0006"/>
      </font>
      <fill>
        <patternFill>
          <bgColor rgb="FFFFC7CE"/>
        </patternFill>
      </fill>
    </dxf>
    <dxf>
      <font>
        <b val="0"/>
        <i val="0"/>
        <color rgb="FFC00000"/>
      </font>
      <fill>
        <patternFill>
          <bgColor theme="1" tint="4.9989318521683403E-2"/>
        </patternFill>
      </fill>
    </dxf>
    <dxf>
      <fill>
        <patternFill>
          <bgColor rgb="FFFFFF00"/>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FF00"/>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R22" sqref="R22"/>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4.85546875" style="39" bestFit="1" customWidth="1"/>
    <col min="19" max="19" width="4.85546875" style="34" bestFit="1" customWidth="1"/>
    <col min="20" max="20" width="4.85546875" style="11" customWidth="1"/>
    <col min="21" max="21" width="4.5703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9" t="s">
        <v>633</v>
      </c>
      <c r="R1" s="750" t="s">
        <v>634</v>
      </c>
      <c r="S1" s="750"/>
      <c r="T1" s="751">
        <v>2E-3</v>
      </c>
      <c r="U1" s="792">
        <v>10</v>
      </c>
      <c r="V1" s="748">
        <v>0</v>
      </c>
      <c r="W1" s="210">
        <v>1</v>
      </c>
      <c r="X1" s="211">
        <f>W1</f>
        <v>1</v>
      </c>
      <c r="Y1" s="413">
        <f>AA69</f>
        <v>102263.79987595617</v>
      </c>
      <c r="Z1" s="447">
        <v>100</v>
      </c>
      <c r="AA1" s="414">
        <v>100</v>
      </c>
      <c r="AB1" s="328">
        <f>Y1*($AE$1*$AD$1)</f>
        <v>784.48942370596512</v>
      </c>
      <c r="AC1" s="38">
        <f>AD1</f>
        <v>4</v>
      </c>
      <c r="AD1" s="54">
        <f>IF(AJ3&lt;&gt;0,2,IF(AJ4&lt;&gt;0,4,IF(AJ5&lt;&gt;0,5,IF(AJ6&lt;&gt;0,6,IF(AJ7&lt;&gt;0,7,IF(AJ8&lt;&gt;0,8,30))))))</f>
        <v>4</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hidden="1" customHeight="1">
      <c r="A2" s="462" t="s">
        <v>14</v>
      </c>
      <c r="B2" s="343">
        <f t="shared" ref="B2:B29" si="0">IF(A2&lt;&gt;"",VLOOKUP($A2,$A$64:$N$175,2,0),"")</f>
        <v>1158</v>
      </c>
      <c r="C2" s="338">
        <f t="shared" ref="C2:C29" si="1">IF(A2&lt;&gt;"",VLOOKUP($A2,$A$60:$N$175,3,0),"")</f>
        <v>49.201999999999998</v>
      </c>
      <c r="D2" s="265">
        <f t="shared" ref="D2:D29" si="2">IF(A2&lt;&gt;"",VLOOKUP($A2,$A$60:$N$175,4,0),"")</f>
        <v>47.62</v>
      </c>
      <c r="E2" s="337">
        <f t="shared" ref="E2:E29" si="3">IF(A2&lt;&gt;"",VLOOKUP($A2,$A$60:$N$175,5,0),"")</f>
        <v>30</v>
      </c>
      <c r="F2" s="292">
        <f t="shared" ref="F2:F29" si="4">IF($A2&lt;&gt;"",VLOOKUP($A2,$A$60:$N$175,6,0),"")</f>
        <v>48.38</v>
      </c>
      <c r="G2" s="344">
        <f t="shared" ref="G2:G29" si="5">IF($A2&lt;&gt;"",VLOOKUP($A2,$A$60:$N$175,7,0),"")</f>
        <v>1.04E-2</v>
      </c>
      <c r="H2" s="247">
        <f t="shared" ref="H2:H29" si="6">IF($A2&lt;&gt;"",VLOOKUP($A2,$A$60:$N$175,8,0),"")</f>
        <v>47.747999999999998</v>
      </c>
      <c r="I2" s="239">
        <f t="shared" ref="I2:I29" si="7">IF($A2&lt;&gt;"",VLOOKUP($A2,$A$60:$N$175,9,0),"")</f>
        <v>48.579000000000001</v>
      </c>
      <c r="J2" s="306">
        <f t="shared" ref="J2:J29" si="8">IF($A2&lt;&gt;"",VLOOKUP($A2,$A$60:$N$175,10,0),"")</f>
        <v>47.204999999999998</v>
      </c>
      <c r="K2" s="243">
        <f t="shared" ref="K2:K29" si="9">IF($A2&lt;&gt;"",VLOOKUP($A2,$A$60:$N$175,11,0),"")</f>
        <v>47.88</v>
      </c>
      <c r="L2" s="266">
        <f t="shared" ref="L2:L29" si="10">IF($A2&lt;&gt;"",VLOOKUP($A2,$A$60:$N$175,12,0),"")</f>
        <v>68390120</v>
      </c>
      <c r="M2" s="243">
        <f t="shared" ref="M2:M29" si="11">IF($A2&lt;&gt;"",VLOOKUP($A2,$A$60:$N$175,13,0),"")</f>
        <v>141852935</v>
      </c>
      <c r="N2" s="266">
        <f t="shared" ref="N2:N29" si="12">IF($A2&lt;&gt;"",VLOOKUP($A2,$A$60:$N$175,14,0),"")</f>
        <v>56322</v>
      </c>
      <c r="O2" s="300">
        <f t="shared" ref="O2:O29" si="13">IF($A2&lt;&gt;"",VLOOKUP($A2,$A$60:$O$175,15,0),"")</f>
        <v>45366.68540509259</v>
      </c>
      <c r="P2" s="311">
        <v>1</v>
      </c>
      <c r="Q2" s="727"/>
      <c r="R2" s="402"/>
      <c r="S2" s="646"/>
      <c r="T2" s="610"/>
      <c r="U2" s="280"/>
      <c r="V2" s="324"/>
      <c r="W2" s="664"/>
      <c r="X2" s="663"/>
      <c r="Y2" s="656">
        <f>IFERROR(IF($Y$1&lt;&gt;"",INT($Y$1/(D5/100)),100),100)</f>
        <v>207</v>
      </c>
      <c r="Z2" s="650">
        <f>IFERROR($C2*(1-$V$1)/100*$Y2,"")</f>
        <v>101.84813999999999</v>
      </c>
      <c r="AA2" s="755">
        <f>IFERROR($Z2-$Z3,"")</f>
        <v>0.41754000000000246</v>
      </c>
      <c r="AD2" s="315" t="s">
        <v>319</v>
      </c>
      <c r="AE2" s="321">
        <v>45367</v>
      </c>
      <c r="AF2" s="313"/>
      <c r="AG2" s="314"/>
      <c r="AH2" s="314"/>
      <c r="AI2" s="313"/>
      <c r="AJ2" s="318"/>
      <c r="AK2" s="313"/>
    </row>
    <row r="3" spans="1:42" ht="12.75" hidden="1" customHeight="1">
      <c r="A3" s="461" t="s">
        <v>14</v>
      </c>
      <c r="B3" s="339">
        <f t="shared" si="0"/>
        <v>1158</v>
      </c>
      <c r="C3" s="336">
        <f t="shared" si="1"/>
        <v>49.201999999999998</v>
      </c>
      <c r="D3" s="340">
        <f t="shared" si="2"/>
        <v>47.62</v>
      </c>
      <c r="E3" s="342">
        <f t="shared" si="3"/>
        <v>30</v>
      </c>
      <c r="F3" s="250">
        <f t="shared" si="4"/>
        <v>48.38</v>
      </c>
      <c r="G3" s="345">
        <f t="shared" si="5"/>
        <v>1.04E-2</v>
      </c>
      <c r="H3" s="246">
        <f t="shared" si="6"/>
        <v>47.747999999999998</v>
      </c>
      <c r="I3" s="237">
        <f t="shared" si="7"/>
        <v>48.579000000000001</v>
      </c>
      <c r="J3" s="304">
        <f t="shared" si="8"/>
        <v>47.204999999999998</v>
      </c>
      <c r="K3" s="241">
        <f t="shared" si="9"/>
        <v>47.88</v>
      </c>
      <c r="L3" s="244">
        <f t="shared" si="10"/>
        <v>68390120</v>
      </c>
      <c r="M3" s="241">
        <f t="shared" si="11"/>
        <v>141852935</v>
      </c>
      <c r="N3" s="244">
        <f t="shared" si="12"/>
        <v>56322</v>
      </c>
      <c r="O3" s="301">
        <f t="shared" si="13"/>
        <v>45366.68540509259</v>
      </c>
      <c r="P3" s="310">
        <v>2</v>
      </c>
      <c r="Q3" s="728"/>
      <c r="R3" s="403"/>
      <c r="S3" s="617"/>
      <c r="T3" s="612"/>
      <c r="U3" s="281"/>
      <c r="V3" s="325"/>
      <c r="W3" s="620"/>
      <c r="X3" s="665"/>
      <c r="Y3" s="657">
        <f>IFERROR(INT($Z2/($D3*(1+$V$1)/100)),0)</f>
        <v>213</v>
      </c>
      <c r="Z3" s="651">
        <f>IFERROR($D3/100*INT($Y3),"")</f>
        <v>101.43059999999998</v>
      </c>
      <c r="AA3" s="756"/>
      <c r="AD3" s="49" t="s">
        <v>320</v>
      </c>
      <c r="AE3" s="322">
        <v>45368</v>
      </c>
      <c r="AF3" s="48"/>
      <c r="AG3" s="52"/>
      <c r="AH3" s="52"/>
      <c r="AI3" s="48"/>
      <c r="AJ3" s="319"/>
      <c r="AK3" s="48"/>
    </row>
    <row r="4" spans="1:42" ht="12.75" hidden="1" customHeight="1">
      <c r="A4" s="358" t="s">
        <v>13</v>
      </c>
      <c r="B4" s="343">
        <f t="shared" si="0"/>
        <v>6100</v>
      </c>
      <c r="C4" s="338">
        <f t="shared" si="1"/>
        <v>49090</v>
      </c>
      <c r="D4" s="335">
        <f t="shared" si="2"/>
        <v>49235</v>
      </c>
      <c r="E4" s="341">
        <f t="shared" si="3"/>
        <v>19427</v>
      </c>
      <c r="F4" s="292">
        <f t="shared" si="4"/>
        <v>49100</v>
      </c>
      <c r="G4" s="344">
        <f t="shared" si="5"/>
        <v>1.4800000000000001E-2</v>
      </c>
      <c r="H4" s="247">
        <f t="shared" si="6"/>
        <v>49000</v>
      </c>
      <c r="I4" s="239">
        <f t="shared" si="7"/>
        <v>49375</v>
      </c>
      <c r="J4" s="306">
        <f t="shared" si="8"/>
        <v>47600</v>
      </c>
      <c r="K4" s="243">
        <f t="shared" si="9"/>
        <v>48510</v>
      </c>
      <c r="L4" s="266">
        <f t="shared" si="10"/>
        <v>90288294775</v>
      </c>
      <c r="M4" s="243">
        <f t="shared" si="11"/>
        <v>184825773</v>
      </c>
      <c r="N4" s="266">
        <f t="shared" si="12"/>
        <v>67075</v>
      </c>
      <c r="O4" s="300">
        <f t="shared" si="13"/>
        <v>45366.687511574077</v>
      </c>
      <c r="P4" s="311">
        <v>3</v>
      </c>
      <c r="Q4" s="729"/>
      <c r="R4" s="402"/>
      <c r="S4" s="616"/>
      <c r="T4" s="610"/>
      <c r="U4" s="280"/>
      <c r="V4" s="324"/>
      <c r="W4" s="664"/>
      <c r="X4" s="663"/>
      <c r="Y4" s="658">
        <f t="shared" ref="Y4:Y12" si="14">Y3</f>
        <v>213</v>
      </c>
      <c r="Z4" s="652">
        <f>IFERROR($C4*(1-$V$1)/100*INT($Y4),"")</f>
        <v>104561.7</v>
      </c>
      <c r="AA4" s="757">
        <f>IFERROR($Z4-$Z5,"")</f>
        <v>183.49999999998545</v>
      </c>
      <c r="AD4" s="315" t="s">
        <v>321</v>
      </c>
      <c r="AE4" s="322">
        <v>45369</v>
      </c>
      <c r="AF4" s="313">
        <v>806271125.38</v>
      </c>
      <c r="AG4" s="314">
        <v>0.72</v>
      </c>
      <c r="AH4" s="314">
        <v>0.72199999999999998</v>
      </c>
      <c r="AI4" s="313">
        <v>641899.43999999994</v>
      </c>
      <c r="AJ4" s="318">
        <v>0.72</v>
      </c>
      <c r="AK4" s="313"/>
      <c r="AL4" s="47"/>
    </row>
    <row r="5" spans="1:42" ht="12.75" hidden="1" customHeight="1">
      <c r="A5" s="463" t="s">
        <v>13</v>
      </c>
      <c r="B5" s="351">
        <f t="shared" si="0"/>
        <v>6100</v>
      </c>
      <c r="C5" s="352">
        <f t="shared" si="1"/>
        <v>49090</v>
      </c>
      <c r="D5" s="353">
        <f t="shared" si="2"/>
        <v>49235</v>
      </c>
      <c r="E5" s="354">
        <f t="shared" si="3"/>
        <v>19427</v>
      </c>
      <c r="F5" s="355">
        <f t="shared" si="4"/>
        <v>49100</v>
      </c>
      <c r="G5" s="356">
        <f t="shared" si="5"/>
        <v>1.4800000000000001E-2</v>
      </c>
      <c r="H5" s="267">
        <f t="shared" si="6"/>
        <v>49000</v>
      </c>
      <c r="I5" s="268">
        <f t="shared" si="7"/>
        <v>49375</v>
      </c>
      <c r="J5" s="308">
        <f t="shared" si="8"/>
        <v>47600</v>
      </c>
      <c r="K5" s="269">
        <f t="shared" si="9"/>
        <v>48510</v>
      </c>
      <c r="L5" s="271">
        <f t="shared" si="10"/>
        <v>90288294775</v>
      </c>
      <c r="M5" s="269">
        <f t="shared" si="11"/>
        <v>184825773</v>
      </c>
      <c r="N5" s="459">
        <f t="shared" si="12"/>
        <v>67075</v>
      </c>
      <c r="O5" s="303">
        <f t="shared" si="13"/>
        <v>45366.687511574077</v>
      </c>
      <c r="P5" s="310">
        <v>4</v>
      </c>
      <c r="Q5" s="730"/>
      <c r="R5" s="460"/>
      <c r="S5" s="647"/>
      <c r="T5" s="641"/>
      <c r="U5" s="412">
        <v>0</v>
      </c>
      <c r="V5" s="325"/>
      <c r="W5" s="620"/>
      <c r="X5" s="665"/>
      <c r="Y5" s="666">
        <f>IFERROR($Z4/($D5*(1+$V$1)/100),0)</f>
        <v>212.37270234589212</v>
      </c>
      <c r="Z5" s="654">
        <f>IFERROR($D5/100*INT($Y5),"")</f>
        <v>104378.20000000001</v>
      </c>
      <c r="AA5" s="756"/>
      <c r="AD5" s="49" t="s">
        <v>322</v>
      </c>
      <c r="AE5" s="322">
        <v>45370</v>
      </c>
      <c r="AF5" s="48">
        <v>178641793.28</v>
      </c>
      <c r="AG5" s="52">
        <v>0.7</v>
      </c>
      <c r="AH5" s="52">
        <v>0.70250000000000001</v>
      </c>
      <c r="AI5" s="48">
        <v>190000</v>
      </c>
      <c r="AJ5" s="319">
        <v>0.7</v>
      </c>
      <c r="AK5" s="48">
        <v>10024482345</v>
      </c>
      <c r="AL5" s="47"/>
    </row>
    <row r="6" spans="1:42" ht="12.75" hidden="1" customHeight="1">
      <c r="A6" s="334" t="s">
        <v>14</v>
      </c>
      <c r="B6" s="343">
        <f t="shared" si="0"/>
        <v>1158</v>
      </c>
      <c r="C6" s="338">
        <f t="shared" si="1"/>
        <v>49.201999999999998</v>
      </c>
      <c r="D6" s="265">
        <f t="shared" si="2"/>
        <v>47.62</v>
      </c>
      <c r="E6" s="337">
        <f t="shared" si="3"/>
        <v>30</v>
      </c>
      <c r="F6" s="292">
        <f t="shared" si="4"/>
        <v>48.38</v>
      </c>
      <c r="G6" s="344">
        <f t="shared" si="5"/>
        <v>1.04E-2</v>
      </c>
      <c r="H6" s="245">
        <f t="shared" si="6"/>
        <v>47.747999999999998</v>
      </c>
      <c r="I6" s="236">
        <f t="shared" si="7"/>
        <v>48.579000000000001</v>
      </c>
      <c r="J6" s="305">
        <f t="shared" si="8"/>
        <v>47.204999999999998</v>
      </c>
      <c r="K6" s="240">
        <f t="shared" si="9"/>
        <v>47.88</v>
      </c>
      <c r="L6" s="273">
        <f t="shared" si="10"/>
        <v>68390120</v>
      </c>
      <c r="M6" s="240">
        <f t="shared" si="11"/>
        <v>141852935</v>
      </c>
      <c r="N6" s="273">
        <f t="shared" si="12"/>
        <v>56322</v>
      </c>
      <c r="O6" s="297">
        <f t="shared" si="13"/>
        <v>45366.68540509259</v>
      </c>
      <c r="P6" s="311">
        <v>5</v>
      </c>
      <c r="Q6" s="731"/>
      <c r="R6" s="404"/>
      <c r="S6" s="648"/>
      <c r="T6" s="642"/>
      <c r="U6" s="411">
        <v>0</v>
      </c>
      <c r="V6" s="324"/>
      <c r="W6" s="664"/>
      <c r="X6" s="663"/>
      <c r="Y6" s="667">
        <f>IFERROR(IF($Y$1&lt;&gt;"",INT($Y$1/(D9/100)),100),100)</f>
        <v>207</v>
      </c>
      <c r="Z6" s="652">
        <f>IFERROR($C6*(1-$V$1)/100*$Y6,"")</f>
        <v>101.84813999999999</v>
      </c>
      <c r="AA6" s="757">
        <f>IFERROR($Z6-$Z7,"")</f>
        <v>0.22813999999998202</v>
      </c>
      <c r="AB6" s="235"/>
      <c r="AD6" s="315" t="s">
        <v>323</v>
      </c>
      <c r="AE6" s="322">
        <v>45371</v>
      </c>
      <c r="AF6" s="313">
        <v>16867888.32</v>
      </c>
      <c r="AG6" s="314">
        <v>0.70050000000000001</v>
      </c>
      <c r="AH6" s="314">
        <v>0.71</v>
      </c>
      <c r="AI6" s="313">
        <v>100000</v>
      </c>
      <c r="AJ6" s="318">
        <v>0.70050000000000001</v>
      </c>
      <c r="AK6" s="313">
        <v>1658500971</v>
      </c>
    </row>
    <row r="7" spans="1:42" ht="12.75" hidden="1" customHeight="1">
      <c r="A7" s="461" t="s">
        <v>18</v>
      </c>
      <c r="B7" s="339">
        <f t="shared" si="0"/>
        <v>399</v>
      </c>
      <c r="C7" s="336">
        <f t="shared" si="1"/>
        <v>50.75</v>
      </c>
      <c r="D7" s="340">
        <f t="shared" si="2"/>
        <v>50.81</v>
      </c>
      <c r="E7" s="342">
        <f t="shared" si="3"/>
        <v>632</v>
      </c>
      <c r="F7" s="250">
        <f t="shared" si="4"/>
        <v>50.75</v>
      </c>
      <c r="G7" s="345">
        <f t="shared" si="5"/>
        <v>1.72E-2</v>
      </c>
      <c r="H7" s="246">
        <f t="shared" si="6"/>
        <v>50</v>
      </c>
      <c r="I7" s="237">
        <f t="shared" si="7"/>
        <v>51.36</v>
      </c>
      <c r="J7" s="304">
        <f t="shared" si="8"/>
        <v>49.292000000000002</v>
      </c>
      <c r="K7" s="241">
        <f t="shared" si="9"/>
        <v>49.89</v>
      </c>
      <c r="L7" s="244">
        <f t="shared" si="10"/>
        <v>2997745</v>
      </c>
      <c r="M7" s="253">
        <f t="shared" si="11"/>
        <v>5924385</v>
      </c>
      <c r="N7" s="244">
        <f t="shared" si="12"/>
        <v>2363</v>
      </c>
      <c r="O7" s="296">
        <f t="shared" si="13"/>
        <v>45366.685393518521</v>
      </c>
      <c r="P7" s="310">
        <v>6</v>
      </c>
      <c r="Q7" s="728"/>
      <c r="R7" s="403"/>
      <c r="S7" s="617"/>
      <c r="T7" s="612"/>
      <c r="U7" s="281">
        <v>0</v>
      </c>
      <c r="V7" s="325"/>
      <c r="W7" s="620"/>
      <c r="X7" s="665"/>
      <c r="Y7" s="657">
        <f>IFERROR(INT($Z6/($D7*(1+$V$1)/100)),0)</f>
        <v>200</v>
      </c>
      <c r="Z7" s="654">
        <f>IFERROR($D7/100*INT($Y7),"")</f>
        <v>101.62</v>
      </c>
      <c r="AA7" s="756"/>
      <c r="AD7" s="49" t="s">
        <v>324</v>
      </c>
      <c r="AE7" s="322">
        <v>45372</v>
      </c>
      <c r="AF7" s="48">
        <v>4960571.3899999997</v>
      </c>
      <c r="AG7" s="52">
        <v>0.69499999999999995</v>
      </c>
      <c r="AH7" s="52">
        <v>0.72</v>
      </c>
      <c r="AI7" s="48">
        <v>550000</v>
      </c>
      <c r="AJ7" s="319">
        <v>0.69499999999999995</v>
      </c>
      <c r="AK7" s="48">
        <v>1357878712</v>
      </c>
    </row>
    <row r="8" spans="1:42" hidden="1">
      <c r="A8" s="358" t="s">
        <v>16</v>
      </c>
      <c r="B8" s="343">
        <f t="shared" si="0"/>
        <v>110</v>
      </c>
      <c r="C8" s="338">
        <f t="shared" si="1"/>
        <v>51600</v>
      </c>
      <c r="D8" s="335">
        <f t="shared" si="2"/>
        <v>51600</v>
      </c>
      <c r="E8" s="341">
        <f t="shared" si="3"/>
        <v>10</v>
      </c>
      <c r="F8" s="292">
        <f t="shared" si="4"/>
        <v>51600</v>
      </c>
      <c r="G8" s="344">
        <f t="shared" si="5"/>
        <v>3.85E-2</v>
      </c>
      <c r="H8" s="245">
        <f t="shared" si="6"/>
        <v>50240</v>
      </c>
      <c r="I8" s="236">
        <f t="shared" si="7"/>
        <v>51890</v>
      </c>
      <c r="J8" s="305">
        <f t="shared" si="8"/>
        <v>50240</v>
      </c>
      <c r="K8" s="240">
        <f t="shared" si="9"/>
        <v>49685</v>
      </c>
      <c r="L8" s="273">
        <f t="shared" si="10"/>
        <v>9631091743</v>
      </c>
      <c r="M8" s="240">
        <f t="shared" si="11"/>
        <v>18807060</v>
      </c>
      <c r="N8" s="273">
        <f t="shared" si="12"/>
        <v>4286</v>
      </c>
      <c r="O8" s="297">
        <f t="shared" si="13"/>
        <v>45366.685289351852</v>
      </c>
      <c r="P8" s="311">
        <v>7</v>
      </c>
      <c r="Q8" s="731"/>
      <c r="R8" s="404"/>
      <c r="S8" s="648"/>
      <c r="T8" s="642"/>
      <c r="U8" s="280">
        <v>0</v>
      </c>
      <c r="V8" s="324"/>
      <c r="W8" s="664"/>
      <c r="X8" s="663"/>
      <c r="Y8" s="658">
        <f t="shared" si="14"/>
        <v>200</v>
      </c>
      <c r="Z8" s="652">
        <f>IFERROR($C8*(1-$V$1)/100*INT($Y8),"")</f>
        <v>103200</v>
      </c>
      <c r="AA8" s="757">
        <f>IFERROR($Z8-$Z9,"")</f>
        <v>298.84999999999127</v>
      </c>
      <c r="AD8" s="315" t="s">
        <v>325</v>
      </c>
      <c r="AE8" s="322">
        <v>45373</v>
      </c>
      <c r="AF8" s="313">
        <v>420282853.95999998</v>
      </c>
      <c r="AG8" s="314">
        <v>0.7</v>
      </c>
      <c r="AH8" s="314">
        <v>0.72250000000000003</v>
      </c>
      <c r="AI8" s="313">
        <v>450000</v>
      </c>
      <c r="AJ8" s="318">
        <v>0.72</v>
      </c>
      <c r="AK8" s="313">
        <v>31030955995</v>
      </c>
    </row>
    <row r="9" spans="1:42" ht="12.75" hidden="1" customHeight="1">
      <c r="A9" s="707" t="s">
        <v>13</v>
      </c>
      <c r="B9" s="351">
        <f t="shared" si="0"/>
        <v>6100</v>
      </c>
      <c r="C9" s="352">
        <f t="shared" si="1"/>
        <v>49090</v>
      </c>
      <c r="D9" s="353">
        <f t="shared" si="2"/>
        <v>49235</v>
      </c>
      <c r="E9" s="354">
        <f t="shared" si="3"/>
        <v>19427</v>
      </c>
      <c r="F9" s="355">
        <f t="shared" si="4"/>
        <v>49100</v>
      </c>
      <c r="G9" s="356">
        <f t="shared" si="5"/>
        <v>1.4800000000000001E-2</v>
      </c>
      <c r="H9" s="267">
        <f t="shared" si="6"/>
        <v>49000</v>
      </c>
      <c r="I9" s="268">
        <f t="shared" si="7"/>
        <v>49375</v>
      </c>
      <c r="J9" s="308">
        <f t="shared" si="8"/>
        <v>47600</v>
      </c>
      <c r="K9" s="269">
        <f t="shared" si="9"/>
        <v>48510</v>
      </c>
      <c r="L9" s="271">
        <f t="shared" si="10"/>
        <v>90288294775</v>
      </c>
      <c r="M9" s="269">
        <f t="shared" si="11"/>
        <v>184825773</v>
      </c>
      <c r="N9" s="271">
        <f t="shared" si="12"/>
        <v>67075</v>
      </c>
      <c r="O9" s="357">
        <f t="shared" si="13"/>
        <v>45366.687511574077</v>
      </c>
      <c r="P9" s="310">
        <v>8</v>
      </c>
      <c r="Q9" s="730"/>
      <c r="R9" s="405"/>
      <c r="S9" s="647"/>
      <c r="T9" s="644"/>
      <c r="U9" s="412">
        <v>0</v>
      </c>
      <c r="V9" s="737"/>
      <c r="W9" s="620"/>
      <c r="X9" s="665"/>
      <c r="Y9" s="666">
        <f>IFERROR($Z8/($D9*(1+$V$1)/100),0)</f>
        <v>209.60698689956331</v>
      </c>
      <c r="Z9" s="654">
        <f>IFERROR($D9/100*INT($Y9),"")</f>
        <v>102901.15000000001</v>
      </c>
      <c r="AA9" s="756"/>
      <c r="AD9" s="49"/>
      <c r="AE9" s="322"/>
      <c r="AF9" s="316"/>
      <c r="AG9" s="317"/>
      <c r="AH9" s="317"/>
      <c r="AI9" s="316"/>
      <c r="AJ9" s="320"/>
      <c r="AK9" s="316"/>
    </row>
    <row r="10" spans="1:42" ht="12.75" hidden="1" customHeight="1">
      <c r="A10" s="334" t="s">
        <v>14</v>
      </c>
      <c r="B10" s="343">
        <f t="shared" si="0"/>
        <v>1158</v>
      </c>
      <c r="C10" s="338">
        <f t="shared" si="1"/>
        <v>49.201999999999998</v>
      </c>
      <c r="D10" s="265">
        <f t="shared" si="2"/>
        <v>47.62</v>
      </c>
      <c r="E10" s="337">
        <f t="shared" si="3"/>
        <v>30</v>
      </c>
      <c r="F10" s="292">
        <f t="shared" si="4"/>
        <v>48.38</v>
      </c>
      <c r="G10" s="344">
        <f t="shared" si="5"/>
        <v>1.04E-2</v>
      </c>
      <c r="H10" s="245">
        <f t="shared" si="6"/>
        <v>47.747999999999998</v>
      </c>
      <c r="I10" s="236">
        <f t="shared" si="7"/>
        <v>48.579000000000001</v>
      </c>
      <c r="J10" s="305">
        <f t="shared" si="8"/>
        <v>47.204999999999998</v>
      </c>
      <c r="K10" s="240">
        <f t="shared" si="9"/>
        <v>47.88</v>
      </c>
      <c r="L10" s="273">
        <f t="shared" si="10"/>
        <v>68390120</v>
      </c>
      <c r="M10" s="240">
        <f t="shared" si="11"/>
        <v>141852935</v>
      </c>
      <c r="N10" s="273">
        <f t="shared" si="12"/>
        <v>56322</v>
      </c>
      <c r="O10" s="297">
        <f t="shared" si="13"/>
        <v>45366.68540509259</v>
      </c>
      <c r="P10" s="311">
        <v>9</v>
      </c>
      <c r="Q10" s="731"/>
      <c r="R10" s="404"/>
      <c r="S10" s="648"/>
      <c r="T10" s="642"/>
      <c r="U10" s="411">
        <v>0</v>
      </c>
      <c r="V10" s="324"/>
      <c r="W10" s="664"/>
      <c r="X10" s="663"/>
      <c r="Y10" s="625">
        <f>IFERROR(IF($Y$1&lt;&gt;"",INT($Y$1/(D13/100)),100),100)</f>
        <v>207</v>
      </c>
      <c r="Z10" s="653">
        <f>IFERROR($C10*(1-$V$1)/100*$Y10,"")</f>
        <v>101.84813999999999</v>
      </c>
      <c r="AA10" s="755">
        <f>IFERROR($Z10-$Z11,"")</f>
        <v>0.41754000000000246</v>
      </c>
      <c r="AB10" s="235"/>
      <c r="AF10" s="213"/>
      <c r="AH10" s="213"/>
      <c r="AJ10" s="47"/>
      <c r="AK10" s="47"/>
    </row>
    <row r="11" spans="1:42" ht="12.75" hidden="1" customHeight="1">
      <c r="A11" s="359" t="s">
        <v>14</v>
      </c>
      <c r="B11" s="339">
        <f t="shared" si="0"/>
        <v>1158</v>
      </c>
      <c r="C11" s="336">
        <f t="shared" si="1"/>
        <v>49.201999999999998</v>
      </c>
      <c r="D11" s="340">
        <f t="shared" si="2"/>
        <v>47.62</v>
      </c>
      <c r="E11" s="342">
        <f t="shared" si="3"/>
        <v>30</v>
      </c>
      <c r="F11" s="250">
        <f t="shared" si="4"/>
        <v>48.38</v>
      </c>
      <c r="G11" s="345">
        <f t="shared" si="5"/>
        <v>1.04E-2</v>
      </c>
      <c r="H11" s="246">
        <f t="shared" si="6"/>
        <v>47.747999999999998</v>
      </c>
      <c r="I11" s="237">
        <f t="shared" si="7"/>
        <v>48.579000000000001</v>
      </c>
      <c r="J11" s="304">
        <f t="shared" si="8"/>
        <v>47.204999999999998</v>
      </c>
      <c r="K11" s="241">
        <f t="shared" si="9"/>
        <v>47.88</v>
      </c>
      <c r="L11" s="244">
        <f t="shared" si="10"/>
        <v>68390120</v>
      </c>
      <c r="M11" s="241">
        <f t="shared" si="11"/>
        <v>141852935</v>
      </c>
      <c r="N11" s="244">
        <f t="shared" si="12"/>
        <v>56322</v>
      </c>
      <c r="O11" s="296">
        <f t="shared" si="13"/>
        <v>45366.68540509259</v>
      </c>
      <c r="P11" s="310">
        <v>10</v>
      </c>
      <c r="Q11" s="728"/>
      <c r="R11" s="403"/>
      <c r="S11" s="617"/>
      <c r="T11" s="612"/>
      <c r="U11" s="281">
        <v>0</v>
      </c>
      <c r="V11" s="325"/>
      <c r="W11" s="620"/>
      <c r="X11" s="665"/>
      <c r="Y11" s="657">
        <f>IFERROR(INT($Z10/($D11*(1+$V$1)/100)),0)</f>
        <v>213</v>
      </c>
      <c r="Z11" s="654">
        <f>IFERROR($D11/100*INT($Y11),"")</f>
        <v>101.43059999999998</v>
      </c>
      <c r="AA11" s="756"/>
    </row>
    <row r="12" spans="1:42" ht="12.75" hidden="1" customHeight="1">
      <c r="A12" s="358" t="s">
        <v>13</v>
      </c>
      <c r="B12" s="343">
        <f t="shared" si="0"/>
        <v>6100</v>
      </c>
      <c r="C12" s="338">
        <f t="shared" si="1"/>
        <v>49090</v>
      </c>
      <c r="D12" s="335">
        <f t="shared" si="2"/>
        <v>49235</v>
      </c>
      <c r="E12" s="341">
        <f t="shared" si="3"/>
        <v>19427</v>
      </c>
      <c r="F12" s="292">
        <f t="shared" si="4"/>
        <v>49100</v>
      </c>
      <c r="G12" s="344">
        <f t="shared" si="5"/>
        <v>1.4800000000000001E-2</v>
      </c>
      <c r="H12" s="245">
        <f t="shared" si="6"/>
        <v>49000</v>
      </c>
      <c r="I12" s="236">
        <f t="shared" si="7"/>
        <v>49375</v>
      </c>
      <c r="J12" s="305">
        <f t="shared" si="8"/>
        <v>47600</v>
      </c>
      <c r="K12" s="240">
        <f t="shared" si="9"/>
        <v>48510</v>
      </c>
      <c r="L12" s="273">
        <f t="shared" si="10"/>
        <v>90288294775</v>
      </c>
      <c r="M12" s="240">
        <f t="shared" si="11"/>
        <v>184825773</v>
      </c>
      <c r="N12" s="273">
        <f t="shared" si="12"/>
        <v>67075</v>
      </c>
      <c r="O12" s="297">
        <f t="shared" si="13"/>
        <v>45366.687511574077</v>
      </c>
      <c r="P12" s="311">
        <v>11</v>
      </c>
      <c r="Q12" s="731"/>
      <c r="R12" s="404"/>
      <c r="S12" s="648"/>
      <c r="T12" s="642"/>
      <c r="U12" s="280">
        <v>0</v>
      </c>
      <c r="V12" s="324"/>
      <c r="W12" s="664"/>
      <c r="X12" s="663"/>
      <c r="Y12" s="658">
        <f t="shared" si="14"/>
        <v>213</v>
      </c>
      <c r="Z12" s="652">
        <f>IFERROR($C12*(1-$V$1)/100*INT($Y12),"")</f>
        <v>104561.7</v>
      </c>
      <c r="AA12" s="757">
        <f>IFERROR($Z12-$Z13,"")</f>
        <v>183.49999999998545</v>
      </c>
    </row>
    <row r="13" spans="1:42" ht="12.75" hidden="1" customHeight="1">
      <c r="A13" s="707" t="s">
        <v>13</v>
      </c>
      <c r="B13" s="351">
        <f t="shared" si="0"/>
        <v>6100</v>
      </c>
      <c r="C13" s="352">
        <f t="shared" si="1"/>
        <v>49090</v>
      </c>
      <c r="D13" s="353">
        <f t="shared" si="2"/>
        <v>49235</v>
      </c>
      <c r="E13" s="354">
        <f t="shared" si="3"/>
        <v>19427</v>
      </c>
      <c r="F13" s="355">
        <f t="shared" si="4"/>
        <v>49100</v>
      </c>
      <c r="G13" s="356">
        <f t="shared" si="5"/>
        <v>1.4800000000000001E-2</v>
      </c>
      <c r="H13" s="267">
        <f t="shared" si="6"/>
        <v>49000</v>
      </c>
      <c r="I13" s="268">
        <f t="shared" si="7"/>
        <v>49375</v>
      </c>
      <c r="J13" s="308">
        <f t="shared" si="8"/>
        <v>47600</v>
      </c>
      <c r="K13" s="269">
        <f t="shared" si="9"/>
        <v>48510</v>
      </c>
      <c r="L13" s="271">
        <f t="shared" si="10"/>
        <v>90288294775</v>
      </c>
      <c r="M13" s="269">
        <f t="shared" si="11"/>
        <v>184825773</v>
      </c>
      <c r="N13" s="271">
        <f t="shared" si="12"/>
        <v>67075</v>
      </c>
      <c r="O13" s="357">
        <f t="shared" si="13"/>
        <v>45366.687511574077</v>
      </c>
      <c r="P13" s="310">
        <v>12</v>
      </c>
      <c r="Q13" s="730"/>
      <c r="R13" s="405"/>
      <c r="S13" s="647"/>
      <c r="T13" s="644"/>
      <c r="U13" s="281">
        <v>0</v>
      </c>
      <c r="V13" s="325"/>
      <c r="W13" s="620"/>
      <c r="X13" s="665"/>
      <c r="Y13" s="666">
        <f>IFERROR($Z12/($D13*(1+$V$1)/100),0)</f>
        <v>212.37270234589212</v>
      </c>
      <c r="Z13" s="654">
        <f>IFERROR($D13/100*INT($Y13),"")</f>
        <v>104378.20000000001</v>
      </c>
      <c r="AA13" s="756"/>
    </row>
    <row r="14" spans="1:42" ht="12.75" hidden="1" customHeight="1">
      <c r="A14" s="334" t="s">
        <v>15</v>
      </c>
      <c r="B14" s="343">
        <f t="shared" si="0"/>
        <v>1148</v>
      </c>
      <c r="C14" s="338">
        <f t="shared" si="1"/>
        <v>46.345999999999997</v>
      </c>
      <c r="D14" s="265">
        <f t="shared" si="2"/>
        <v>46.49</v>
      </c>
      <c r="E14" s="337">
        <f t="shared" si="3"/>
        <v>18400</v>
      </c>
      <c r="F14" s="292">
        <f t="shared" si="4"/>
        <v>46.345999999999997</v>
      </c>
      <c r="G14" s="344">
        <f t="shared" si="5"/>
        <v>1.21E-2</v>
      </c>
      <c r="H14" s="247">
        <f t="shared" si="6"/>
        <v>45.500999999999998</v>
      </c>
      <c r="I14" s="239">
        <f t="shared" si="7"/>
        <v>46.62</v>
      </c>
      <c r="J14" s="306">
        <f t="shared" si="8"/>
        <v>45.45</v>
      </c>
      <c r="K14" s="243">
        <f t="shared" si="9"/>
        <v>45.79</v>
      </c>
      <c r="L14" s="266">
        <f t="shared" si="10"/>
        <v>21735698</v>
      </c>
      <c r="M14" s="243">
        <f t="shared" si="11"/>
        <v>46918525</v>
      </c>
      <c r="N14" s="266">
        <f t="shared" si="12"/>
        <v>8344</v>
      </c>
      <c r="O14" s="298">
        <f t="shared" si="13"/>
        <v>45366.687708333331</v>
      </c>
      <c r="P14" s="311">
        <v>13</v>
      </c>
      <c r="Q14" s="729"/>
      <c r="R14" s="402"/>
      <c r="S14" s="616"/>
      <c r="T14" s="610"/>
      <c r="U14" s="280">
        <v>0</v>
      </c>
      <c r="V14" s="324"/>
      <c r="W14" s="664"/>
      <c r="X14" s="663"/>
      <c r="Y14" s="625">
        <v>100</v>
      </c>
      <c r="Z14" s="653">
        <f>IFERROR($C14*(1-$V$1)/100*$Y14,"")</f>
        <v>46.345999999999997</v>
      </c>
      <c r="AA14" s="755">
        <f>IFERROR($Z14-$Z15,"")</f>
        <v>5.8199999999999363E-2</v>
      </c>
      <c r="AN14" s="47"/>
      <c r="AO14" s="47"/>
      <c r="AP14" s="47"/>
    </row>
    <row r="15" spans="1:42" ht="12.75" hidden="1" customHeight="1">
      <c r="A15" s="359" t="s">
        <v>17</v>
      </c>
      <c r="B15" s="339">
        <f t="shared" si="0"/>
        <v>99984</v>
      </c>
      <c r="C15" s="336">
        <f t="shared" si="1"/>
        <v>48.4</v>
      </c>
      <c r="D15" s="340">
        <f t="shared" si="2"/>
        <v>48.723999999999997</v>
      </c>
      <c r="E15" s="342">
        <f t="shared" si="3"/>
        <v>164570</v>
      </c>
      <c r="F15" s="250">
        <f t="shared" si="4"/>
        <v>48.4</v>
      </c>
      <c r="G15" s="345">
        <f t="shared" si="5"/>
        <v>8.3000000000000001E-3</v>
      </c>
      <c r="H15" s="254">
        <f t="shared" si="6"/>
        <v>48.185000000000002</v>
      </c>
      <c r="I15" s="255">
        <f t="shared" si="7"/>
        <v>49</v>
      </c>
      <c r="J15" s="307">
        <f t="shared" si="8"/>
        <v>47.6</v>
      </c>
      <c r="K15" s="256">
        <f t="shared" si="9"/>
        <v>48</v>
      </c>
      <c r="L15" s="276">
        <f t="shared" si="10"/>
        <v>665451</v>
      </c>
      <c r="M15" s="256">
        <f t="shared" si="11"/>
        <v>1371165</v>
      </c>
      <c r="N15" s="276">
        <f t="shared" si="12"/>
        <v>526</v>
      </c>
      <c r="O15" s="299">
        <f t="shared" si="13"/>
        <v>45366.685393518521</v>
      </c>
      <c r="P15" s="310">
        <v>14</v>
      </c>
      <c r="Q15" s="732"/>
      <c r="R15" s="406"/>
      <c r="S15" s="649"/>
      <c r="T15" s="643"/>
      <c r="U15" s="281">
        <v>0</v>
      </c>
      <c r="V15" s="325"/>
      <c r="W15" s="620"/>
      <c r="X15" s="665"/>
      <c r="Y15" s="657">
        <f>IFERROR(INT($Z14/($D15*(1+$V$1)/100)),0)</f>
        <v>95</v>
      </c>
      <c r="Z15" s="654">
        <f>IFERROR($D15/100*INT($Y15),"")</f>
        <v>46.287799999999997</v>
      </c>
      <c r="AA15" s="756"/>
    </row>
    <row r="16" spans="1:42" ht="12.75" hidden="1" customHeight="1">
      <c r="A16" s="358" t="s">
        <v>18</v>
      </c>
      <c r="B16" s="343">
        <f t="shared" si="0"/>
        <v>399</v>
      </c>
      <c r="C16" s="338">
        <f t="shared" si="1"/>
        <v>50.75</v>
      </c>
      <c r="D16" s="335">
        <f t="shared" si="2"/>
        <v>50.81</v>
      </c>
      <c r="E16" s="341">
        <f t="shared" si="3"/>
        <v>632</v>
      </c>
      <c r="F16" s="292">
        <f t="shared" si="4"/>
        <v>50.75</v>
      </c>
      <c r="G16" s="344">
        <f t="shared" si="5"/>
        <v>1.72E-2</v>
      </c>
      <c r="H16" s="245">
        <f t="shared" si="6"/>
        <v>50</v>
      </c>
      <c r="I16" s="236">
        <f t="shared" si="7"/>
        <v>51.36</v>
      </c>
      <c r="J16" s="236">
        <f t="shared" si="8"/>
        <v>49.292000000000002</v>
      </c>
      <c r="K16" s="240">
        <f t="shared" si="9"/>
        <v>49.89</v>
      </c>
      <c r="L16" s="273">
        <f t="shared" si="10"/>
        <v>2997745</v>
      </c>
      <c r="M16" s="240">
        <f t="shared" si="11"/>
        <v>5924385</v>
      </c>
      <c r="N16" s="273">
        <f t="shared" si="12"/>
        <v>2363</v>
      </c>
      <c r="O16" s="297">
        <f t="shared" si="13"/>
        <v>45366.685393518521</v>
      </c>
      <c r="P16" s="311">
        <v>15</v>
      </c>
      <c r="Q16" s="733"/>
      <c r="R16" s="404"/>
      <c r="S16" s="648"/>
      <c r="T16" s="642"/>
      <c r="U16" s="280">
        <v>0</v>
      </c>
      <c r="V16" s="324"/>
      <c r="W16" s="708"/>
      <c r="X16" s="709"/>
      <c r="Y16" s="658">
        <f t="shared" ref="Y16" si="15">Y15</f>
        <v>95</v>
      </c>
      <c r="Z16" s="652">
        <f>IFERROR($C16*(1-$V$1)/100*INT($Y16),"")</f>
        <v>48.212499999999999</v>
      </c>
      <c r="AA16" s="757">
        <f>IFERROR($Z16-$Z17,"")</f>
        <v>0.11630000000000251</v>
      </c>
    </row>
    <row r="17" spans="1:41" ht="12.75" hidden="1" customHeight="1">
      <c r="A17" s="707" t="s">
        <v>14</v>
      </c>
      <c r="B17" s="351">
        <f t="shared" si="0"/>
        <v>1158</v>
      </c>
      <c r="C17" s="352">
        <f t="shared" si="1"/>
        <v>49.201999999999998</v>
      </c>
      <c r="D17" s="353">
        <f t="shared" si="2"/>
        <v>47.62</v>
      </c>
      <c r="E17" s="354">
        <f t="shared" si="3"/>
        <v>30</v>
      </c>
      <c r="F17" s="355">
        <f t="shared" si="4"/>
        <v>48.38</v>
      </c>
      <c r="G17" s="356">
        <f t="shared" si="5"/>
        <v>1.04E-2</v>
      </c>
      <c r="H17" s="267">
        <f t="shared" si="6"/>
        <v>47.747999999999998</v>
      </c>
      <c r="I17" s="268">
        <f t="shared" si="7"/>
        <v>48.579000000000001</v>
      </c>
      <c r="J17" s="308">
        <f t="shared" si="8"/>
        <v>47.204999999999998</v>
      </c>
      <c r="K17" s="269">
        <f t="shared" si="9"/>
        <v>47.88</v>
      </c>
      <c r="L17" s="271">
        <f t="shared" si="10"/>
        <v>68390120</v>
      </c>
      <c r="M17" s="269">
        <f t="shared" si="11"/>
        <v>141852935</v>
      </c>
      <c r="N17" s="271">
        <f t="shared" si="12"/>
        <v>56322</v>
      </c>
      <c r="O17" s="357">
        <f t="shared" si="13"/>
        <v>45366.68540509259</v>
      </c>
      <c r="P17" s="310">
        <v>16</v>
      </c>
      <c r="Q17" s="730"/>
      <c r="R17" s="405"/>
      <c r="S17" s="647"/>
      <c r="T17" s="644"/>
      <c r="U17" s="281">
        <v>0</v>
      </c>
      <c r="V17" s="325"/>
      <c r="W17" s="710"/>
      <c r="X17" s="711"/>
      <c r="Y17" s="712">
        <f>IFERROR($Z16/($D17*(1+$V$1)/100),0)</f>
        <v>101.2442251154977</v>
      </c>
      <c r="Z17" s="713">
        <f>IFERROR($D17/100*INT($Y17),"")</f>
        <v>48.096199999999996</v>
      </c>
      <c r="AA17" s="762"/>
      <c r="AO17" s="482"/>
    </row>
    <row r="18" spans="1:41" ht="12.75" hidden="1" customHeight="1">
      <c r="A18" s="334" t="s">
        <v>14</v>
      </c>
      <c r="B18" s="360">
        <f t="shared" ref="B18" si="16">IF(A18&lt;&gt;"",VLOOKUP($A18,$A$64:$N$175,2,0),"")</f>
        <v>1158</v>
      </c>
      <c r="C18" s="361">
        <f t="shared" ref="C18" si="17">IF(A18&lt;&gt;"",VLOOKUP($A18,$A$60:$N$175,3,0),"")</f>
        <v>49.201999999999998</v>
      </c>
      <c r="D18" s="362">
        <f t="shared" ref="D18" si="18">IF(A18&lt;&gt;"",VLOOKUP($A18,$A$60:$N$175,4,0),"")</f>
        <v>47.62</v>
      </c>
      <c r="E18" s="363">
        <f t="shared" ref="E18" si="19">IF(A18&lt;&gt;"",VLOOKUP($A18,$A$60:$N$175,5,0),"")</f>
        <v>30</v>
      </c>
      <c r="F18" s="364">
        <f t="shared" si="4"/>
        <v>48.38</v>
      </c>
      <c r="G18" s="365">
        <f t="shared" si="5"/>
        <v>1.04E-2</v>
      </c>
      <c r="H18" s="366">
        <f t="shared" si="6"/>
        <v>47.747999999999998</v>
      </c>
      <c r="I18" s="367">
        <f t="shared" si="7"/>
        <v>48.579000000000001</v>
      </c>
      <c r="J18" s="368">
        <f t="shared" si="8"/>
        <v>47.204999999999998</v>
      </c>
      <c r="K18" s="369">
        <f t="shared" si="9"/>
        <v>47.88</v>
      </c>
      <c r="L18" s="370">
        <f t="shared" si="10"/>
        <v>68390120</v>
      </c>
      <c r="M18" s="369">
        <f t="shared" si="11"/>
        <v>141852935</v>
      </c>
      <c r="N18" s="266"/>
      <c r="O18" s="298"/>
      <c r="P18" s="311">
        <v>17</v>
      </c>
      <c r="Q18" s="729"/>
      <c r="R18" s="407"/>
      <c r="S18" s="616"/>
      <c r="T18" s="610"/>
      <c r="U18" s="411"/>
      <c r="V18" s="324"/>
      <c r="W18" s="664"/>
      <c r="X18" s="663"/>
      <c r="Y18" s="625">
        <v>101</v>
      </c>
      <c r="Z18" s="653">
        <f>IFERROR($C18*(1-$V$1)/100*$Y18,"")</f>
        <v>49.694019999999995</v>
      </c>
      <c r="AA18" s="755">
        <f>IFERROR($Z18-$Z19,"")</f>
        <v>0.16921999999999571</v>
      </c>
    </row>
    <row r="19" spans="1:41" ht="12.75" hidden="1" customHeight="1">
      <c r="A19" s="359" t="s">
        <v>14</v>
      </c>
      <c r="B19" s="371">
        <f t="shared" si="0"/>
        <v>1158</v>
      </c>
      <c r="C19" s="372">
        <f t="shared" si="1"/>
        <v>49.201999999999998</v>
      </c>
      <c r="D19" s="373">
        <f t="shared" si="2"/>
        <v>47.62</v>
      </c>
      <c r="E19" s="374">
        <f t="shared" si="3"/>
        <v>30</v>
      </c>
      <c r="F19" s="375">
        <f t="shared" si="4"/>
        <v>48.38</v>
      </c>
      <c r="G19" s="376">
        <f t="shared" si="5"/>
        <v>1.04E-2</v>
      </c>
      <c r="H19" s="377">
        <f t="shared" si="6"/>
        <v>47.747999999999998</v>
      </c>
      <c r="I19" s="378">
        <f t="shared" si="7"/>
        <v>48.579000000000001</v>
      </c>
      <c r="J19" s="379">
        <f t="shared" si="8"/>
        <v>47.204999999999998</v>
      </c>
      <c r="K19" s="380">
        <f t="shared" si="9"/>
        <v>47.88</v>
      </c>
      <c r="L19" s="381">
        <f t="shared" si="10"/>
        <v>68390120</v>
      </c>
      <c r="M19" s="380">
        <f t="shared" si="11"/>
        <v>141852935</v>
      </c>
      <c r="N19" s="276">
        <f t="shared" si="12"/>
        <v>56322</v>
      </c>
      <c r="O19" s="299">
        <f t="shared" si="13"/>
        <v>45366.68540509259</v>
      </c>
      <c r="P19" s="310">
        <v>18</v>
      </c>
      <c r="Q19" s="732"/>
      <c r="R19" s="406"/>
      <c r="S19" s="649"/>
      <c r="T19" s="643"/>
      <c r="U19" s="412">
        <v>0</v>
      </c>
      <c r="V19" s="325"/>
      <c r="W19" s="620"/>
      <c r="X19" s="665"/>
      <c r="Y19" s="657">
        <f>IFERROR(INT($Z18/($D19*(1+$V$1)/100)),0)</f>
        <v>104</v>
      </c>
      <c r="Z19" s="654">
        <f>IFERROR($D19/100*INT($Y19),"")</f>
        <v>49.524799999999999</v>
      </c>
      <c r="AA19" s="756"/>
    </row>
    <row r="20" spans="1:41" ht="12.75" hidden="1" customHeight="1">
      <c r="A20" s="358" t="s">
        <v>15</v>
      </c>
      <c r="B20" s="360">
        <f t="shared" si="0"/>
        <v>1148</v>
      </c>
      <c r="C20" s="361">
        <f t="shared" si="1"/>
        <v>46.345999999999997</v>
      </c>
      <c r="D20" s="382">
        <f t="shared" si="2"/>
        <v>46.49</v>
      </c>
      <c r="E20" s="383">
        <f t="shared" si="3"/>
        <v>18400</v>
      </c>
      <c r="F20" s="364">
        <f t="shared" si="4"/>
        <v>46.345999999999997</v>
      </c>
      <c r="G20" s="365">
        <f t="shared" si="5"/>
        <v>1.21E-2</v>
      </c>
      <c r="H20" s="384">
        <f t="shared" si="6"/>
        <v>45.500999999999998</v>
      </c>
      <c r="I20" s="385">
        <f t="shared" si="7"/>
        <v>46.62</v>
      </c>
      <c r="J20" s="386">
        <f t="shared" si="8"/>
        <v>45.45</v>
      </c>
      <c r="K20" s="387">
        <f t="shared" si="9"/>
        <v>45.79</v>
      </c>
      <c r="L20" s="388">
        <f t="shared" si="10"/>
        <v>21735698</v>
      </c>
      <c r="M20" s="387">
        <f t="shared" si="11"/>
        <v>46918525</v>
      </c>
      <c r="N20" s="273">
        <f t="shared" si="12"/>
        <v>8344</v>
      </c>
      <c r="O20" s="297">
        <f t="shared" si="13"/>
        <v>45366.687708333331</v>
      </c>
      <c r="P20" s="311">
        <v>19</v>
      </c>
      <c r="Q20" s="733"/>
      <c r="R20" s="404"/>
      <c r="S20" s="648"/>
      <c r="T20" s="642"/>
      <c r="U20" s="411">
        <v>0</v>
      </c>
      <c r="V20" s="324"/>
      <c r="W20" s="708"/>
      <c r="X20" s="709"/>
      <c r="Y20" s="658">
        <f t="shared" ref="Y20" si="20">Y19</f>
        <v>104</v>
      </c>
      <c r="Z20" s="652">
        <f>IFERROR($C20*(1-$V$1)/100*INT($Y20),"")</f>
        <v>48.199839999999995</v>
      </c>
      <c r="AA20" s="757">
        <f>IFERROR($Z20-$Z21,"")</f>
        <v>0.31513999999999243</v>
      </c>
    </row>
    <row r="21" spans="1:41" ht="12.75" hidden="1" customHeight="1">
      <c r="A21" s="714" t="s">
        <v>15</v>
      </c>
      <c r="B21" s="416">
        <f t="shared" si="0"/>
        <v>1148</v>
      </c>
      <c r="C21" s="417">
        <f t="shared" si="1"/>
        <v>46.345999999999997</v>
      </c>
      <c r="D21" s="418">
        <f t="shared" si="2"/>
        <v>46.49</v>
      </c>
      <c r="E21" s="419">
        <f t="shared" si="3"/>
        <v>18400</v>
      </c>
      <c r="F21" s="420">
        <f t="shared" si="4"/>
        <v>46.345999999999997</v>
      </c>
      <c r="G21" s="421">
        <f t="shared" si="5"/>
        <v>1.21E-2</v>
      </c>
      <c r="H21" s="422">
        <f t="shared" si="6"/>
        <v>45.500999999999998</v>
      </c>
      <c r="I21" s="423">
        <f t="shared" si="7"/>
        <v>46.62</v>
      </c>
      <c r="J21" s="424">
        <f t="shared" si="8"/>
        <v>45.45</v>
      </c>
      <c r="K21" s="425">
        <f t="shared" si="9"/>
        <v>45.79</v>
      </c>
      <c r="L21" s="426">
        <f t="shared" si="10"/>
        <v>21735698</v>
      </c>
      <c r="M21" s="425">
        <f t="shared" si="11"/>
        <v>46918525</v>
      </c>
      <c r="N21" s="427">
        <f t="shared" si="12"/>
        <v>8344</v>
      </c>
      <c r="O21" s="440">
        <f t="shared" si="13"/>
        <v>45366.687708333331</v>
      </c>
      <c r="P21" s="310">
        <v>20</v>
      </c>
      <c r="Q21" s="734"/>
      <c r="R21" s="441"/>
      <c r="S21" s="615"/>
      <c r="T21" s="611"/>
      <c r="U21" s="281">
        <v>0</v>
      </c>
      <c r="V21" s="325"/>
      <c r="W21" s="669"/>
      <c r="X21" s="670"/>
      <c r="Y21" s="685">
        <f>IFERROR($Z20/($D21*(1+$V$1)/100),0)</f>
        <v>103.67786620778661</v>
      </c>
      <c r="Z21" s="686">
        <f>IFERROR($D21/100*INT($Y21),"")</f>
        <v>47.884700000000002</v>
      </c>
      <c r="AA21" s="763"/>
    </row>
    <row r="22" spans="1:41" ht="12.75" customHeight="1">
      <c r="A22" s="718" t="s">
        <v>13</v>
      </c>
      <c r="B22" s="409">
        <f t="shared" si="0"/>
        <v>6100</v>
      </c>
      <c r="C22" s="335">
        <f t="shared" si="1"/>
        <v>49090</v>
      </c>
      <c r="D22" s="270">
        <f t="shared" si="2"/>
        <v>49235</v>
      </c>
      <c r="E22" s="408">
        <f t="shared" si="3"/>
        <v>19427</v>
      </c>
      <c r="F22" s="364">
        <f t="shared" si="4"/>
        <v>49100</v>
      </c>
      <c r="G22" s="365">
        <f t="shared" si="5"/>
        <v>1.4800000000000001E-2</v>
      </c>
      <c r="H22" s="366">
        <f t="shared" si="6"/>
        <v>49000</v>
      </c>
      <c r="I22" s="367">
        <f t="shared" si="7"/>
        <v>49375</v>
      </c>
      <c r="J22" s="368">
        <f t="shared" si="8"/>
        <v>47600</v>
      </c>
      <c r="K22" s="369">
        <f t="shared" si="9"/>
        <v>48510</v>
      </c>
      <c r="L22" s="370">
        <f t="shared" si="10"/>
        <v>90288294775</v>
      </c>
      <c r="M22" s="722">
        <f t="shared" si="11"/>
        <v>184825773</v>
      </c>
      <c r="N22" s="266">
        <f t="shared" si="12"/>
        <v>67075</v>
      </c>
      <c r="O22" s="300">
        <f t="shared" si="13"/>
        <v>45366.687511574077</v>
      </c>
      <c r="P22" s="311">
        <v>21</v>
      </c>
      <c r="Q22" s="729"/>
      <c r="R22" s="793"/>
      <c r="S22" s="616"/>
      <c r="T22" s="610"/>
      <c r="U22" s="745"/>
      <c r="V22" s="324"/>
      <c r="W22" s="664"/>
      <c r="X22" s="663"/>
      <c r="Y22" s="625">
        <v>50</v>
      </c>
      <c r="Z22" s="655">
        <f>IF(F22="","",F22*Y22/100)</f>
        <v>24550</v>
      </c>
      <c r="AA22" s="630"/>
    </row>
    <row r="23" spans="1:41" ht="12.75" customHeight="1">
      <c r="A23" s="753" t="s">
        <v>13</v>
      </c>
      <c r="B23" s="323">
        <f t="shared" si="0"/>
        <v>6100</v>
      </c>
      <c r="C23" s="689">
        <f t="shared" si="1"/>
        <v>49090</v>
      </c>
      <c r="D23" s="715">
        <f t="shared" si="2"/>
        <v>49235</v>
      </c>
      <c r="E23" s="716">
        <f t="shared" si="3"/>
        <v>19427</v>
      </c>
      <c r="F23" s="375">
        <f t="shared" si="4"/>
        <v>49100</v>
      </c>
      <c r="G23" s="376">
        <f t="shared" si="5"/>
        <v>1.4800000000000001E-2</v>
      </c>
      <c r="H23" s="389">
        <f t="shared" si="6"/>
        <v>49000</v>
      </c>
      <c r="I23" s="390">
        <f t="shared" si="7"/>
        <v>49375</v>
      </c>
      <c r="J23" s="391">
        <f t="shared" si="8"/>
        <v>47600</v>
      </c>
      <c r="K23" s="392">
        <f t="shared" si="9"/>
        <v>48510</v>
      </c>
      <c r="L23" s="393">
        <f t="shared" si="10"/>
        <v>90288294775</v>
      </c>
      <c r="M23" s="724">
        <f t="shared" si="11"/>
        <v>184825773</v>
      </c>
      <c r="N23" s="244">
        <f t="shared" si="12"/>
        <v>67075</v>
      </c>
      <c r="O23" s="301">
        <f t="shared" si="13"/>
        <v>45366.687511574077</v>
      </c>
      <c r="P23" s="310">
        <v>22</v>
      </c>
      <c r="Q23" s="728"/>
      <c r="R23" s="403"/>
      <c r="S23" s="617"/>
      <c r="T23" s="612"/>
      <c r="U23" s="746"/>
      <c r="V23" s="325"/>
      <c r="W23" s="620"/>
      <c r="X23" s="665"/>
      <c r="Y23" s="697">
        <v>50</v>
      </c>
      <c r="Z23" s="698">
        <f t="shared" ref="Z23:Z25" si="21">IF(F23="","",F23*Y23/100)</f>
        <v>24550</v>
      </c>
      <c r="AA23" s="668"/>
    </row>
    <row r="24" spans="1:41" ht="12.75" customHeight="1">
      <c r="A24" s="752" t="s">
        <v>16</v>
      </c>
      <c r="B24" s="409">
        <f t="shared" si="0"/>
        <v>110</v>
      </c>
      <c r="C24" s="335">
        <f t="shared" si="1"/>
        <v>51600</v>
      </c>
      <c r="D24" s="270">
        <f t="shared" si="2"/>
        <v>51600</v>
      </c>
      <c r="E24" s="408">
        <f t="shared" si="3"/>
        <v>10</v>
      </c>
      <c r="F24" s="364">
        <f t="shared" si="4"/>
        <v>51600</v>
      </c>
      <c r="G24" s="365">
        <f t="shared" si="5"/>
        <v>3.85E-2</v>
      </c>
      <c r="H24" s="366">
        <f t="shared" si="6"/>
        <v>50240</v>
      </c>
      <c r="I24" s="367">
        <f t="shared" si="7"/>
        <v>51890</v>
      </c>
      <c r="J24" s="368">
        <f t="shared" si="8"/>
        <v>50240</v>
      </c>
      <c r="K24" s="369">
        <f t="shared" si="9"/>
        <v>49685</v>
      </c>
      <c r="L24" s="370">
        <f t="shared" si="10"/>
        <v>9631091743</v>
      </c>
      <c r="M24" s="723">
        <f t="shared" si="11"/>
        <v>18807060</v>
      </c>
      <c r="N24" s="266">
        <f t="shared" si="12"/>
        <v>4286</v>
      </c>
      <c r="O24" s="300">
        <f t="shared" si="13"/>
        <v>45366.685289351852</v>
      </c>
      <c r="P24" s="311">
        <v>23</v>
      </c>
      <c r="Q24" s="729"/>
      <c r="R24" s="402"/>
      <c r="S24" s="616"/>
      <c r="T24" s="610"/>
      <c r="U24" s="745"/>
      <c r="V24" s="324"/>
      <c r="W24" s="664"/>
      <c r="X24" s="663"/>
      <c r="Y24" s="625">
        <v>100</v>
      </c>
      <c r="Z24" s="655">
        <f t="shared" si="21"/>
        <v>51600</v>
      </c>
      <c r="AA24" s="630"/>
    </row>
    <row r="25" spans="1:41" ht="12.75" customHeight="1">
      <c r="A25" s="720" t="s">
        <v>16</v>
      </c>
      <c r="B25" s="523">
        <f t="shared" si="0"/>
        <v>110</v>
      </c>
      <c r="C25" s="721">
        <f t="shared" si="1"/>
        <v>51600</v>
      </c>
      <c r="D25" s="717">
        <f t="shared" si="2"/>
        <v>51600</v>
      </c>
      <c r="E25" s="432">
        <f t="shared" si="3"/>
        <v>10</v>
      </c>
      <c r="F25" s="420">
        <f t="shared" si="4"/>
        <v>51600</v>
      </c>
      <c r="G25" s="421">
        <f t="shared" si="5"/>
        <v>3.85E-2</v>
      </c>
      <c r="H25" s="422">
        <f t="shared" si="6"/>
        <v>50240</v>
      </c>
      <c r="I25" s="423">
        <f t="shared" si="7"/>
        <v>51890</v>
      </c>
      <c r="J25" s="424">
        <f t="shared" si="8"/>
        <v>50240</v>
      </c>
      <c r="K25" s="425">
        <f t="shared" si="9"/>
        <v>49685</v>
      </c>
      <c r="L25" s="426">
        <f t="shared" si="10"/>
        <v>9631091743</v>
      </c>
      <c r="M25" s="725">
        <f t="shared" si="11"/>
        <v>18807060</v>
      </c>
      <c r="N25" s="427">
        <f t="shared" si="12"/>
        <v>4286</v>
      </c>
      <c r="O25" s="428">
        <f t="shared" si="13"/>
        <v>45366.685289351852</v>
      </c>
      <c r="P25" s="310">
        <v>24</v>
      </c>
      <c r="Q25" s="734"/>
      <c r="R25" s="430"/>
      <c r="S25" s="615"/>
      <c r="T25" s="645"/>
      <c r="U25" s="747"/>
      <c r="V25" s="737">
        <v>0</v>
      </c>
      <c r="W25" s="669">
        <v>0</v>
      </c>
      <c r="X25" s="670"/>
      <c r="Y25" s="671">
        <v>50</v>
      </c>
      <c r="Z25" s="672">
        <f t="shared" si="21"/>
        <v>25800</v>
      </c>
      <c r="AA25" s="699"/>
    </row>
    <row r="26" spans="1:41" ht="12.75" customHeight="1">
      <c r="A26" s="718" t="s">
        <v>13</v>
      </c>
      <c r="B26" s="409">
        <f t="shared" si="0"/>
        <v>6100</v>
      </c>
      <c r="C26" s="335">
        <f t="shared" si="1"/>
        <v>49090</v>
      </c>
      <c r="D26" s="270">
        <f t="shared" si="2"/>
        <v>49235</v>
      </c>
      <c r="E26" s="408">
        <f t="shared" si="3"/>
        <v>19427</v>
      </c>
      <c r="F26" s="292">
        <f t="shared" si="4"/>
        <v>49100</v>
      </c>
      <c r="G26" s="344">
        <f t="shared" si="5"/>
        <v>1.4800000000000001E-2</v>
      </c>
      <c r="H26" s="247">
        <f t="shared" si="6"/>
        <v>49000</v>
      </c>
      <c r="I26" s="239">
        <f t="shared" si="7"/>
        <v>49375</v>
      </c>
      <c r="J26" s="306">
        <f t="shared" si="8"/>
        <v>47600</v>
      </c>
      <c r="K26" s="243">
        <f t="shared" si="9"/>
        <v>48510</v>
      </c>
      <c r="L26" s="266">
        <f t="shared" si="10"/>
        <v>90288294775</v>
      </c>
      <c r="M26" s="722">
        <f t="shared" si="11"/>
        <v>184825773</v>
      </c>
      <c r="N26" s="266">
        <f t="shared" si="12"/>
        <v>67075</v>
      </c>
      <c r="O26" s="298">
        <f t="shared" si="13"/>
        <v>45366.687511574077</v>
      </c>
      <c r="P26" s="311">
        <v>25</v>
      </c>
      <c r="Q26" s="735"/>
      <c r="R26" s="402"/>
      <c r="S26" s="614"/>
      <c r="T26" s="610"/>
      <c r="U26" s="745"/>
      <c r="V26" s="324">
        <v>0</v>
      </c>
      <c r="W26" s="664">
        <v>0</v>
      </c>
      <c r="X26" s="663"/>
      <c r="Y26" s="625">
        <v>10</v>
      </c>
      <c r="Z26" s="655" t="str">
        <f>A27</f>
        <v>GD30 - spot</v>
      </c>
      <c r="AA26" s="630">
        <f t="shared" ref="AA26:AA29" si="22">IFERROR(INT(VLOOKUP($A26,$A$60:$N$175,6,0)*$Y26/100)/(VLOOKUP($Z26,$A$60:$N$175,6,0)/100),"")</f>
        <v>9.5155038759689923</v>
      </c>
      <c r="AC26" s="235"/>
    </row>
    <row r="27" spans="1:41" ht="12.75" customHeight="1">
      <c r="A27" s="719" t="s">
        <v>16</v>
      </c>
      <c r="B27" s="323">
        <f t="shared" si="0"/>
        <v>110</v>
      </c>
      <c r="C27" s="689">
        <f t="shared" si="1"/>
        <v>51600</v>
      </c>
      <c r="D27" s="715">
        <f t="shared" si="2"/>
        <v>51600</v>
      </c>
      <c r="E27" s="716">
        <f t="shared" si="3"/>
        <v>10</v>
      </c>
      <c r="F27" s="250">
        <f t="shared" si="4"/>
        <v>51600</v>
      </c>
      <c r="G27" s="345">
        <f t="shared" si="5"/>
        <v>3.85E-2</v>
      </c>
      <c r="H27" s="690">
        <f t="shared" si="6"/>
        <v>50240</v>
      </c>
      <c r="I27" s="691">
        <f t="shared" si="7"/>
        <v>51890</v>
      </c>
      <c r="J27" s="692">
        <f t="shared" si="8"/>
        <v>50240</v>
      </c>
      <c r="K27" s="693">
        <f t="shared" si="9"/>
        <v>49685</v>
      </c>
      <c r="L27" s="694">
        <f t="shared" si="10"/>
        <v>9631091743</v>
      </c>
      <c r="M27" s="724">
        <f t="shared" si="11"/>
        <v>18807060</v>
      </c>
      <c r="N27" s="694">
        <f t="shared" si="12"/>
        <v>4286</v>
      </c>
      <c r="O27" s="695">
        <f t="shared" si="13"/>
        <v>45366.685289351852</v>
      </c>
      <c r="P27" s="310">
        <v>26</v>
      </c>
      <c r="Q27" s="736"/>
      <c r="R27" s="696"/>
      <c r="S27" s="617"/>
      <c r="T27" s="612"/>
      <c r="U27" s="746"/>
      <c r="V27" s="325">
        <v>0</v>
      </c>
      <c r="W27" s="620">
        <v>0</v>
      </c>
      <c r="X27" s="665"/>
      <c r="Y27" s="697">
        <v>9</v>
      </c>
      <c r="Z27" s="698" t="str">
        <f>A26</f>
        <v>AL30 - spot</v>
      </c>
      <c r="AA27" s="668">
        <f t="shared" si="22"/>
        <v>9.4582484725050922</v>
      </c>
    </row>
    <row r="28" spans="1:41" ht="12.75" customHeight="1">
      <c r="A28" s="718" t="s">
        <v>2</v>
      </c>
      <c r="B28" s="409">
        <f t="shared" si="0"/>
        <v>5200</v>
      </c>
      <c r="C28" s="335">
        <f t="shared" si="1"/>
        <v>49465</v>
      </c>
      <c r="D28" s="270">
        <f t="shared" si="2"/>
        <v>49480</v>
      </c>
      <c r="E28" s="408">
        <f t="shared" si="3"/>
        <v>4884</v>
      </c>
      <c r="F28" s="292">
        <f t="shared" si="4"/>
        <v>49450</v>
      </c>
      <c r="G28" s="344">
        <f t="shared" si="5"/>
        <v>1.8500000000000003E-2</v>
      </c>
      <c r="H28" s="245">
        <f t="shared" si="6"/>
        <v>48500</v>
      </c>
      <c r="I28" s="236">
        <f t="shared" si="7"/>
        <v>49720</v>
      </c>
      <c r="J28" s="236">
        <f t="shared" si="8"/>
        <v>48000</v>
      </c>
      <c r="K28" s="240">
        <f t="shared" si="9"/>
        <v>48550</v>
      </c>
      <c r="L28" s="273">
        <f t="shared" si="10"/>
        <v>47956735135</v>
      </c>
      <c r="M28" s="723">
        <f t="shared" si="11"/>
        <v>97353564</v>
      </c>
      <c r="N28" s="273">
        <f t="shared" si="12"/>
        <v>25080</v>
      </c>
      <c r="O28" s="297">
        <f t="shared" si="13"/>
        <v>45366.687569444446</v>
      </c>
      <c r="P28" s="311">
        <v>27</v>
      </c>
      <c r="Q28" s="731"/>
      <c r="R28" s="404"/>
      <c r="S28" s="616"/>
      <c r="T28" s="610"/>
      <c r="U28" s="745"/>
      <c r="V28" s="607">
        <v>0</v>
      </c>
      <c r="W28" s="664">
        <v>0</v>
      </c>
      <c r="X28" s="663"/>
      <c r="Y28" s="625">
        <v>21</v>
      </c>
      <c r="Z28" s="655" t="str">
        <f>A29</f>
        <v>GD30 - 48hs</v>
      </c>
      <c r="AA28" s="630">
        <f t="shared" si="22"/>
        <v>19.938556067588326</v>
      </c>
    </row>
    <row r="29" spans="1:41" ht="12.75" customHeight="1">
      <c r="A29" s="720" t="s">
        <v>5</v>
      </c>
      <c r="B29" s="523">
        <f t="shared" si="0"/>
        <v>11335</v>
      </c>
      <c r="C29" s="721">
        <f t="shared" si="1"/>
        <v>52010</v>
      </c>
      <c r="D29" s="717">
        <f t="shared" si="2"/>
        <v>52080</v>
      </c>
      <c r="E29" s="432">
        <f t="shared" si="3"/>
        <v>87522</v>
      </c>
      <c r="F29" s="434">
        <f t="shared" si="4"/>
        <v>52080</v>
      </c>
      <c r="G29" s="435">
        <f t="shared" si="5"/>
        <v>2.8799999999999999E-2</v>
      </c>
      <c r="H29" s="436">
        <f t="shared" si="6"/>
        <v>51000</v>
      </c>
      <c r="I29" s="437">
        <f t="shared" si="7"/>
        <v>52200</v>
      </c>
      <c r="J29" s="438">
        <f t="shared" si="8"/>
        <v>50630</v>
      </c>
      <c r="K29" s="439">
        <f t="shared" si="9"/>
        <v>50620</v>
      </c>
      <c r="L29" s="427">
        <f t="shared" si="10"/>
        <v>18419806180</v>
      </c>
      <c r="M29" s="725">
        <f t="shared" si="11"/>
        <v>35631324</v>
      </c>
      <c r="N29" s="427">
        <f t="shared" si="12"/>
        <v>3543</v>
      </c>
      <c r="O29" s="440">
        <f t="shared" si="13"/>
        <v>45366.687581018516</v>
      </c>
      <c r="P29" s="310">
        <v>28</v>
      </c>
      <c r="Q29" s="734"/>
      <c r="R29" s="441"/>
      <c r="S29" s="615"/>
      <c r="T29" s="611"/>
      <c r="U29" s="746"/>
      <c r="V29" s="608">
        <v>0</v>
      </c>
      <c r="W29" s="669">
        <v>0</v>
      </c>
      <c r="X29" s="670"/>
      <c r="Y29" s="671">
        <v>20</v>
      </c>
      <c r="Z29" s="672" t="str">
        <f>A28</f>
        <v>AL30 - 48hs</v>
      </c>
      <c r="AA29" s="699">
        <f t="shared" si="22"/>
        <v>21.063700707785642</v>
      </c>
    </row>
    <row r="30" spans="1:41" ht="12.75" hidden="1" customHeight="1">
      <c r="A30" s="597" t="s">
        <v>602</v>
      </c>
      <c r="B30" s="261">
        <v>6</v>
      </c>
      <c r="C30" s="335">
        <v>316</v>
      </c>
      <c r="D30" s="270">
        <v>333</v>
      </c>
      <c r="E30" s="261">
        <v>1</v>
      </c>
      <c r="F30" s="292">
        <v>320</v>
      </c>
      <c r="G30" s="344">
        <v>0.15670000000000001</v>
      </c>
      <c r="H30" s="247">
        <v>250</v>
      </c>
      <c r="I30" s="239">
        <v>335</v>
      </c>
      <c r="J30" s="306">
        <v>250</v>
      </c>
      <c r="K30" s="243">
        <v>276.63</v>
      </c>
      <c r="L30" s="266">
        <v>12155707</v>
      </c>
      <c r="M30" s="726">
        <v>384</v>
      </c>
      <c r="N30" s="677">
        <v>104</v>
      </c>
      <c r="O30" s="300">
        <v>45366.687013888892</v>
      </c>
      <c r="P30" s="311">
        <v>29</v>
      </c>
      <c r="Q30" s="636"/>
      <c r="R30" s="402"/>
      <c r="S30" s="616"/>
      <c r="T30" s="610"/>
      <c r="U30" s="688"/>
      <c r="V30" s="455">
        <v>0</v>
      </c>
      <c r="W30" s="664"/>
      <c r="X30" s="681"/>
      <c r="Y30" s="626"/>
      <c r="Z30" s="631"/>
      <c r="AA30" s="235"/>
    </row>
    <row r="31" spans="1:41" ht="12.75" hidden="1" customHeight="1">
      <c r="A31" s="598" t="s">
        <v>603</v>
      </c>
      <c r="B31" s="603">
        <v>1</v>
      </c>
      <c r="C31" s="248">
        <v>251.001</v>
      </c>
      <c r="D31" s="248">
        <v>260</v>
      </c>
      <c r="E31" s="603">
        <v>13</v>
      </c>
      <c r="F31" s="592">
        <v>262</v>
      </c>
      <c r="G31" s="346">
        <v>0.21629999999999999</v>
      </c>
      <c r="H31" s="246">
        <v>218</v>
      </c>
      <c r="I31" s="237">
        <v>265</v>
      </c>
      <c r="J31" s="304">
        <v>214</v>
      </c>
      <c r="K31" s="241">
        <v>215.392</v>
      </c>
      <c r="L31" s="244">
        <v>69689991</v>
      </c>
      <c r="M31" s="244">
        <v>2886</v>
      </c>
      <c r="N31" s="678">
        <v>463</v>
      </c>
      <c r="O31" s="301">
        <v>45366.680173611108</v>
      </c>
      <c r="P31" s="310">
        <v>30</v>
      </c>
      <c r="Q31" s="637"/>
      <c r="R31" s="403"/>
      <c r="S31" s="617"/>
      <c r="T31" s="612"/>
      <c r="U31" s="687"/>
      <c r="V31" s="515">
        <v>0</v>
      </c>
      <c r="W31" s="620"/>
      <c r="X31" s="683"/>
      <c r="Y31" s="627"/>
      <c r="Z31" s="632"/>
      <c r="AA31" s="235"/>
    </row>
    <row r="32" spans="1:41" ht="12.75" hidden="1" customHeight="1">
      <c r="A32" s="597" t="s">
        <v>604</v>
      </c>
      <c r="B32" s="261">
        <v>2</v>
      </c>
      <c r="C32" s="335">
        <v>192.28200000000001</v>
      </c>
      <c r="D32" s="270">
        <v>199.99</v>
      </c>
      <c r="E32" s="261">
        <v>3</v>
      </c>
      <c r="F32" s="292">
        <v>199.99</v>
      </c>
      <c r="G32" s="344">
        <v>0.19670000000000001</v>
      </c>
      <c r="H32" s="251">
        <v>168.999</v>
      </c>
      <c r="I32" s="238">
        <v>207</v>
      </c>
      <c r="J32" s="309">
        <v>160</v>
      </c>
      <c r="K32" s="242">
        <v>167.107</v>
      </c>
      <c r="L32" s="260">
        <v>43929094</v>
      </c>
      <c r="M32" s="260">
        <v>2316</v>
      </c>
      <c r="N32" s="679">
        <v>260</v>
      </c>
      <c r="O32" s="302">
        <v>45366.687430555554</v>
      </c>
      <c r="P32" s="311">
        <v>31</v>
      </c>
      <c r="Q32" s="638"/>
      <c r="R32" s="609"/>
      <c r="S32" s="618"/>
      <c r="T32" s="613"/>
      <c r="U32" s="688"/>
      <c r="V32" s="455">
        <v>0</v>
      </c>
      <c r="W32" s="619"/>
      <c r="X32" s="681"/>
      <c r="Y32" s="628"/>
      <c r="Z32" s="633"/>
      <c r="AA32" s="235"/>
    </row>
    <row r="33" spans="1:27" ht="12.75" hidden="1" customHeight="1">
      <c r="A33" s="598" t="s">
        <v>590</v>
      </c>
      <c r="B33" s="603">
        <v>1</v>
      </c>
      <c r="C33" s="248">
        <v>150.001</v>
      </c>
      <c r="D33" s="248">
        <v>154.999</v>
      </c>
      <c r="E33" s="603">
        <v>1</v>
      </c>
      <c r="F33" s="592">
        <v>148.001</v>
      </c>
      <c r="G33" s="346">
        <v>0.18210000000000001</v>
      </c>
      <c r="H33" s="246">
        <v>125</v>
      </c>
      <c r="I33" s="237">
        <v>180</v>
      </c>
      <c r="J33" s="304">
        <v>123</v>
      </c>
      <c r="K33" s="241">
        <v>125.19799999999999</v>
      </c>
      <c r="L33" s="244">
        <v>62512842</v>
      </c>
      <c r="M33" s="244">
        <v>4278</v>
      </c>
      <c r="N33" s="678">
        <v>421</v>
      </c>
      <c r="O33" s="301">
        <v>45366.686261574076</v>
      </c>
      <c r="P33" s="310">
        <v>32</v>
      </c>
      <c r="Q33" s="637"/>
      <c r="R33" s="403"/>
      <c r="S33" s="617"/>
      <c r="T33" s="612"/>
      <c r="U33" s="687"/>
      <c r="V33" s="515">
        <v>0</v>
      </c>
      <c r="W33" s="620"/>
      <c r="X33" s="683"/>
      <c r="Y33" s="627"/>
      <c r="Z33" s="632"/>
      <c r="AA33" s="235"/>
    </row>
    <row r="34" spans="1:27" ht="12.75" hidden="1" customHeight="1">
      <c r="A34" s="597" t="s">
        <v>591</v>
      </c>
      <c r="B34" s="261">
        <v>1</v>
      </c>
      <c r="C34" s="335">
        <v>115.001</v>
      </c>
      <c r="D34" s="270">
        <v>119</v>
      </c>
      <c r="E34" s="261">
        <v>1</v>
      </c>
      <c r="F34" s="292">
        <v>116</v>
      </c>
      <c r="G34" s="344">
        <v>0.2263</v>
      </c>
      <c r="H34" s="251">
        <v>103</v>
      </c>
      <c r="I34" s="238">
        <v>120.99</v>
      </c>
      <c r="J34" s="309">
        <v>97.1</v>
      </c>
      <c r="K34" s="242">
        <v>94.587999999999994</v>
      </c>
      <c r="L34" s="260">
        <v>31171158</v>
      </c>
      <c r="M34" s="260">
        <v>2812</v>
      </c>
      <c r="N34" s="679">
        <v>314</v>
      </c>
      <c r="O34" s="302">
        <v>45366.687245370369</v>
      </c>
      <c r="P34" s="311">
        <v>33</v>
      </c>
      <c r="Q34" s="638"/>
      <c r="R34" s="609"/>
      <c r="S34" s="618"/>
      <c r="T34" s="613"/>
      <c r="U34" s="688"/>
      <c r="V34" s="455">
        <v>0</v>
      </c>
      <c r="W34" s="619"/>
      <c r="X34" s="681"/>
      <c r="Y34" s="628"/>
      <c r="Z34" s="633"/>
      <c r="AA34" s="235"/>
    </row>
    <row r="35" spans="1:27" ht="12.75" hidden="1" customHeight="1">
      <c r="A35" s="598" t="s">
        <v>592</v>
      </c>
      <c r="B35" s="603">
        <v>2</v>
      </c>
      <c r="C35" s="248">
        <v>83.5</v>
      </c>
      <c r="D35" s="248">
        <v>90.998000000000005</v>
      </c>
      <c r="E35" s="603">
        <v>1</v>
      </c>
      <c r="F35" s="592">
        <v>87</v>
      </c>
      <c r="G35" s="346">
        <v>0.2361</v>
      </c>
      <c r="H35" s="246">
        <v>73</v>
      </c>
      <c r="I35" s="237">
        <v>90</v>
      </c>
      <c r="J35" s="304">
        <v>70</v>
      </c>
      <c r="K35" s="241">
        <v>70.379000000000005</v>
      </c>
      <c r="L35" s="244">
        <v>15329158</v>
      </c>
      <c r="M35" s="244">
        <v>1864</v>
      </c>
      <c r="N35" s="678">
        <v>274</v>
      </c>
      <c r="O35" s="301">
        <v>45366.687673611108</v>
      </c>
      <c r="P35" s="310">
        <v>34</v>
      </c>
      <c r="Q35" s="637"/>
      <c r="R35" s="403"/>
      <c r="S35" s="617"/>
      <c r="T35" s="612"/>
      <c r="U35" s="687"/>
      <c r="V35" s="515"/>
      <c r="W35" s="620"/>
      <c r="X35" s="683"/>
      <c r="Y35" s="623"/>
      <c r="Z35" s="623"/>
      <c r="AA35" s="235"/>
    </row>
    <row r="36" spans="1:27" ht="12.75" hidden="1" customHeight="1">
      <c r="A36" s="597" t="s">
        <v>593</v>
      </c>
      <c r="B36" s="261">
        <v>2</v>
      </c>
      <c r="C36" s="335">
        <v>63.201000000000001</v>
      </c>
      <c r="D36" s="270">
        <v>64.498999999999995</v>
      </c>
      <c r="E36" s="261">
        <v>4</v>
      </c>
      <c r="F36" s="292">
        <v>63.201000000000001</v>
      </c>
      <c r="G36" s="344">
        <v>0.1578</v>
      </c>
      <c r="H36" s="251">
        <v>45</v>
      </c>
      <c r="I36" s="238">
        <v>69</v>
      </c>
      <c r="J36" s="309">
        <v>44</v>
      </c>
      <c r="K36" s="242">
        <v>54.585999999999999</v>
      </c>
      <c r="L36" s="260">
        <v>190816860</v>
      </c>
      <c r="M36" s="260">
        <v>30964</v>
      </c>
      <c r="N36" s="679">
        <v>1910</v>
      </c>
      <c r="O36" s="302">
        <v>45366.687476851854</v>
      </c>
      <c r="P36" s="311">
        <v>35</v>
      </c>
      <c r="Q36" s="638"/>
      <c r="R36" s="609"/>
      <c r="S36" s="618"/>
      <c r="T36" s="613"/>
      <c r="U36" s="688"/>
      <c r="V36" s="455"/>
      <c r="W36" s="619"/>
      <c r="X36" s="681"/>
      <c r="Y36" s="622"/>
      <c r="Z36" s="622"/>
      <c r="AA36" s="235"/>
    </row>
    <row r="37" spans="1:27" ht="12.75" hidden="1" customHeight="1">
      <c r="A37" s="598" t="s">
        <v>594</v>
      </c>
      <c r="B37" s="603">
        <v>1</v>
      </c>
      <c r="C37" s="248">
        <v>39.44</v>
      </c>
      <c r="D37" s="248">
        <v>42.814</v>
      </c>
      <c r="E37" s="603">
        <v>5</v>
      </c>
      <c r="F37" s="592">
        <v>40</v>
      </c>
      <c r="G37" s="346">
        <v>0.14410000000000001</v>
      </c>
      <c r="H37" s="246">
        <v>34.950000000000003</v>
      </c>
      <c r="I37" s="237">
        <v>41.9</v>
      </c>
      <c r="J37" s="304">
        <v>34</v>
      </c>
      <c r="K37" s="241">
        <v>34.959000000000003</v>
      </c>
      <c r="L37" s="244">
        <v>7384983</v>
      </c>
      <c r="M37" s="244">
        <v>1914</v>
      </c>
      <c r="N37" s="678">
        <v>238</v>
      </c>
      <c r="O37" s="301">
        <v>45366.687106481484</v>
      </c>
      <c r="P37" s="310">
        <v>36</v>
      </c>
      <c r="Q37" s="637"/>
      <c r="R37" s="403"/>
      <c r="S37" s="617"/>
      <c r="T37" s="612"/>
      <c r="U37" s="687"/>
      <c r="V37" s="515"/>
      <c r="W37" s="620"/>
      <c r="X37" s="683"/>
      <c r="Y37" s="627"/>
      <c r="Z37" s="632"/>
      <c r="AA37" s="235"/>
    </row>
    <row r="38" spans="1:27" ht="12.75" hidden="1" customHeight="1">
      <c r="A38" s="597" t="s">
        <v>595</v>
      </c>
      <c r="B38" s="261">
        <v>3</v>
      </c>
      <c r="C38" s="335">
        <v>25.201000000000001</v>
      </c>
      <c r="D38" s="270">
        <v>26.399000000000001</v>
      </c>
      <c r="E38" s="261">
        <v>15</v>
      </c>
      <c r="F38" s="292">
        <v>26</v>
      </c>
      <c r="G38" s="344">
        <v>0.1288</v>
      </c>
      <c r="H38" s="251">
        <v>25</v>
      </c>
      <c r="I38" s="238">
        <v>30</v>
      </c>
      <c r="J38" s="309">
        <v>22</v>
      </c>
      <c r="K38" s="242">
        <v>23.033000000000001</v>
      </c>
      <c r="L38" s="260">
        <v>9160888</v>
      </c>
      <c r="M38" s="260">
        <v>3637</v>
      </c>
      <c r="N38" s="679">
        <v>338</v>
      </c>
      <c r="O38" s="302">
        <v>45366.687280092592</v>
      </c>
      <c r="P38" s="311">
        <v>37</v>
      </c>
      <c r="Q38" s="638"/>
      <c r="R38" s="609"/>
      <c r="S38" s="618"/>
      <c r="T38" s="613"/>
      <c r="U38" s="688"/>
      <c r="V38" s="455"/>
      <c r="W38" s="619"/>
      <c r="X38" s="681"/>
      <c r="Y38" s="628"/>
      <c r="Z38" s="633"/>
      <c r="AA38" s="235"/>
    </row>
    <row r="39" spans="1:27" ht="12.75" hidden="1" customHeight="1">
      <c r="A39" s="598" t="s">
        <v>596</v>
      </c>
      <c r="B39" s="603">
        <v>1</v>
      </c>
      <c r="C39" s="248">
        <v>17.5</v>
      </c>
      <c r="D39" s="248">
        <v>18</v>
      </c>
      <c r="E39" s="603">
        <v>190</v>
      </c>
      <c r="F39" s="592">
        <v>18</v>
      </c>
      <c r="G39" s="346">
        <v>0.1232</v>
      </c>
      <c r="H39" s="246">
        <v>14.8</v>
      </c>
      <c r="I39" s="237">
        <v>19</v>
      </c>
      <c r="J39" s="304">
        <v>14.8</v>
      </c>
      <c r="K39" s="241">
        <v>16.024999999999999</v>
      </c>
      <c r="L39" s="244">
        <v>1030983</v>
      </c>
      <c r="M39" s="244">
        <v>593</v>
      </c>
      <c r="N39" s="678">
        <v>134</v>
      </c>
      <c r="O39" s="301">
        <v>45366.687673611108</v>
      </c>
      <c r="P39" s="310">
        <v>38</v>
      </c>
      <c r="Q39" s="637"/>
      <c r="R39" s="403"/>
      <c r="S39" s="617"/>
      <c r="T39" s="612"/>
      <c r="U39" s="687"/>
      <c r="V39" s="515"/>
      <c r="W39" s="620"/>
      <c r="X39" s="683"/>
      <c r="Y39" s="627"/>
      <c r="Z39" s="632"/>
      <c r="AA39" s="235"/>
    </row>
    <row r="40" spans="1:27" ht="12.75" hidden="1" customHeight="1">
      <c r="A40" s="597" t="s">
        <v>597</v>
      </c>
      <c r="B40" s="261">
        <v>20</v>
      </c>
      <c r="C40" s="335">
        <v>11.9</v>
      </c>
      <c r="D40" s="270">
        <v>14</v>
      </c>
      <c r="E40" s="261">
        <v>18</v>
      </c>
      <c r="F40" s="292">
        <v>14</v>
      </c>
      <c r="G40" s="344">
        <v>0.1216</v>
      </c>
      <c r="H40" s="251">
        <v>12.4</v>
      </c>
      <c r="I40" s="238">
        <v>19.12</v>
      </c>
      <c r="J40" s="309">
        <v>10.500999999999999</v>
      </c>
      <c r="K40" s="242">
        <v>12.481999999999999</v>
      </c>
      <c r="L40" s="260">
        <v>3310296</v>
      </c>
      <c r="M40" s="260">
        <v>2741</v>
      </c>
      <c r="N40" s="679">
        <v>128</v>
      </c>
      <c r="O40" s="302">
        <v>45366.687349537038</v>
      </c>
      <c r="P40" s="311">
        <v>39</v>
      </c>
      <c r="Q40" s="638"/>
      <c r="R40" s="609"/>
      <c r="S40" s="618"/>
      <c r="T40" s="613"/>
      <c r="U40" s="688"/>
      <c r="V40" s="455"/>
      <c r="W40" s="619"/>
      <c r="X40" s="681"/>
      <c r="Y40" s="628"/>
      <c r="Z40" s="633"/>
      <c r="AA40" s="235"/>
    </row>
    <row r="41" spans="1:27" ht="12.75" hidden="1" customHeight="1">
      <c r="A41" s="598" t="s">
        <v>598</v>
      </c>
      <c r="B41" s="603">
        <v>1</v>
      </c>
      <c r="C41" s="248">
        <v>8.6</v>
      </c>
      <c r="D41" s="248">
        <v>9.5</v>
      </c>
      <c r="E41" s="603">
        <v>6</v>
      </c>
      <c r="F41" s="592">
        <v>9</v>
      </c>
      <c r="G41" s="346">
        <v>0.1244</v>
      </c>
      <c r="H41" s="246">
        <v>9</v>
      </c>
      <c r="I41" s="237">
        <v>10.5</v>
      </c>
      <c r="J41" s="304">
        <v>5.0010000000000003</v>
      </c>
      <c r="K41" s="241">
        <v>8.0039999999999996</v>
      </c>
      <c r="L41" s="244">
        <v>163032</v>
      </c>
      <c r="M41" s="244">
        <v>184</v>
      </c>
      <c r="N41" s="678">
        <v>64</v>
      </c>
      <c r="O41" s="301">
        <v>45366.672418981485</v>
      </c>
      <c r="P41" s="310">
        <v>40</v>
      </c>
      <c r="Q41" s="637"/>
      <c r="R41" s="403"/>
      <c r="S41" s="617"/>
      <c r="T41" s="612"/>
      <c r="U41" s="687"/>
      <c r="V41" s="515"/>
      <c r="W41" s="620"/>
      <c r="X41" s="683"/>
      <c r="Y41" s="629"/>
      <c r="Z41" s="634"/>
      <c r="AA41" s="235"/>
    </row>
    <row r="42" spans="1:27" ht="12.75" hidden="1" customHeight="1">
      <c r="A42" s="599" t="s">
        <v>599</v>
      </c>
      <c r="B42" s="261">
        <v>805</v>
      </c>
      <c r="C42" s="531">
        <v>7.0049999999999999</v>
      </c>
      <c r="D42" s="531">
        <v>7.15</v>
      </c>
      <c r="E42" s="261">
        <v>2</v>
      </c>
      <c r="F42" s="593">
        <v>7.05</v>
      </c>
      <c r="G42" s="347">
        <v>8.4900000000000003E-2</v>
      </c>
      <c r="H42" s="251">
        <v>6.47</v>
      </c>
      <c r="I42" s="238">
        <v>7.55</v>
      </c>
      <c r="J42" s="309">
        <v>5.5510000000000002</v>
      </c>
      <c r="K42" s="242">
        <v>6.4980000000000002</v>
      </c>
      <c r="L42" s="260">
        <v>357299</v>
      </c>
      <c r="M42" s="260">
        <v>521</v>
      </c>
      <c r="N42" s="679">
        <v>85</v>
      </c>
      <c r="O42" s="302">
        <v>45366.687673611108</v>
      </c>
      <c r="P42" s="311">
        <v>41</v>
      </c>
      <c r="Q42" s="638"/>
      <c r="R42" s="609"/>
      <c r="S42" s="618"/>
      <c r="T42" s="613"/>
      <c r="U42" s="688"/>
      <c r="V42" s="515"/>
      <c r="W42" s="619"/>
      <c r="X42" s="681"/>
      <c r="Y42" s="622"/>
      <c r="Z42" s="622"/>
      <c r="AA42" s="235"/>
    </row>
    <row r="43" spans="1:27" ht="12.75" hidden="1" customHeight="1">
      <c r="A43" s="600" t="s">
        <v>600</v>
      </c>
      <c r="B43" s="603">
        <v>6</v>
      </c>
      <c r="C43" s="248">
        <v>5.0019999999999998</v>
      </c>
      <c r="D43" s="479">
        <v>5.5</v>
      </c>
      <c r="E43" s="603">
        <v>1</v>
      </c>
      <c r="F43" s="592">
        <v>5.5</v>
      </c>
      <c r="G43" s="346">
        <v>0.16969999999999999</v>
      </c>
      <c r="H43" s="246">
        <v>4.9989999999999997</v>
      </c>
      <c r="I43" s="237">
        <v>5.6</v>
      </c>
      <c r="J43" s="304">
        <v>4.3499999999999996</v>
      </c>
      <c r="K43" s="241">
        <v>4.702</v>
      </c>
      <c r="L43" s="244">
        <v>335733</v>
      </c>
      <c r="M43" s="244">
        <v>644</v>
      </c>
      <c r="N43" s="678">
        <v>173</v>
      </c>
      <c r="O43" s="301">
        <v>45366.685960648145</v>
      </c>
      <c r="P43" s="310">
        <v>42</v>
      </c>
      <c r="Q43" s="637"/>
      <c r="R43" s="403"/>
      <c r="S43" s="617"/>
      <c r="T43" s="612"/>
      <c r="U43" s="687"/>
      <c r="V43" s="455"/>
      <c r="W43" s="620"/>
      <c r="X43" s="665"/>
      <c r="Y43" s="623"/>
      <c r="Z43" s="623"/>
      <c r="AA43" s="235"/>
    </row>
    <row r="44" spans="1:27" ht="12.75" hidden="1" customHeight="1">
      <c r="A44" s="601" t="s">
        <v>601</v>
      </c>
      <c r="B44" s="604">
        <v>19</v>
      </c>
      <c r="C44" s="433">
        <v>4.03</v>
      </c>
      <c r="D44" s="433">
        <v>4.0999999999999996</v>
      </c>
      <c r="E44" s="604">
        <v>52</v>
      </c>
      <c r="F44" s="594">
        <v>4.0999999999999996</v>
      </c>
      <c r="G44" s="450">
        <v>0.1734</v>
      </c>
      <c r="H44" s="436">
        <v>3.25</v>
      </c>
      <c r="I44" s="437">
        <v>4.5</v>
      </c>
      <c r="J44" s="438">
        <v>3.15</v>
      </c>
      <c r="K44" s="439">
        <v>3.4940000000000002</v>
      </c>
      <c r="L44" s="427">
        <v>1732663</v>
      </c>
      <c r="M44" s="427">
        <v>4261</v>
      </c>
      <c r="N44" s="680">
        <v>359</v>
      </c>
      <c r="O44" s="428">
        <v>45366.687673611108</v>
      </c>
      <c r="P44" s="311">
        <v>43</v>
      </c>
      <c r="Q44" s="635"/>
      <c r="R44" s="441"/>
      <c r="S44" s="615"/>
      <c r="T44" s="611"/>
      <c r="U44" s="688"/>
      <c r="V44" s="515"/>
      <c r="W44" s="621"/>
      <c r="X44" s="700"/>
      <c r="Y44" s="624"/>
      <c r="Z44" s="624"/>
      <c r="AA44" s="235"/>
    </row>
    <row r="45" spans="1:27" ht="12.75" hidden="1" customHeight="1">
      <c r="A45" s="600" t="s">
        <v>605</v>
      </c>
      <c r="B45" s="249">
        <v>300</v>
      </c>
      <c r="C45" s="248">
        <v>0.31</v>
      </c>
      <c r="D45" s="479"/>
      <c r="E45" s="249"/>
      <c r="F45" s="592"/>
      <c r="G45" s="346"/>
      <c r="H45" s="246"/>
      <c r="I45" s="237"/>
      <c r="J45" s="304"/>
      <c r="K45" s="241">
        <v>0.37</v>
      </c>
      <c r="L45" s="244"/>
      <c r="M45" s="244"/>
      <c r="N45" s="244"/>
      <c r="O45" s="301"/>
      <c r="P45" s="310">
        <v>44</v>
      </c>
      <c r="Q45" s="673"/>
      <c r="R45" s="403"/>
      <c r="S45" s="674"/>
      <c r="T45" s="612"/>
      <c r="U45" s="687"/>
      <c r="V45" s="455"/>
      <c r="W45" s="664"/>
      <c r="X45" s="681"/>
      <c r="Y45" s="660"/>
      <c r="Z45" s="518"/>
      <c r="AA45" s="264"/>
    </row>
    <row r="46" spans="1:27" ht="12.75" hidden="1" customHeight="1">
      <c r="A46" s="599" t="s">
        <v>606</v>
      </c>
      <c r="B46" s="675">
        <v>32</v>
      </c>
      <c r="C46" s="531">
        <v>0.59</v>
      </c>
      <c r="D46" s="531">
        <v>0.69</v>
      </c>
      <c r="E46" s="675">
        <v>29</v>
      </c>
      <c r="F46" s="593">
        <v>0.59</v>
      </c>
      <c r="G46" s="347">
        <v>-7.0800000000000002E-2</v>
      </c>
      <c r="H46" s="251">
        <v>0.89</v>
      </c>
      <c r="I46" s="238">
        <v>0.89</v>
      </c>
      <c r="J46" s="309">
        <v>0.51</v>
      </c>
      <c r="K46" s="242">
        <v>0.63500000000000001</v>
      </c>
      <c r="L46" s="260">
        <v>16680</v>
      </c>
      <c r="M46" s="260">
        <v>277</v>
      </c>
      <c r="N46" s="260">
        <v>47</v>
      </c>
      <c r="O46" s="302">
        <v>45366.670868055553</v>
      </c>
      <c r="P46" s="311">
        <v>45</v>
      </c>
      <c r="Q46" s="659"/>
      <c r="R46" s="609"/>
      <c r="S46" s="618"/>
      <c r="T46" s="613"/>
      <c r="U46" s="688"/>
      <c r="V46" s="515"/>
      <c r="W46" s="620"/>
      <c r="X46" s="683"/>
      <c r="Y46" s="627"/>
      <c r="Z46" s="519"/>
      <c r="AA46" s="264"/>
    </row>
    <row r="47" spans="1:27" ht="12.75" hidden="1" customHeight="1">
      <c r="A47" s="600" t="s">
        <v>607</v>
      </c>
      <c r="B47" s="249">
        <v>5</v>
      </c>
      <c r="C47" s="248">
        <v>0.81</v>
      </c>
      <c r="D47" s="479">
        <v>1</v>
      </c>
      <c r="E47" s="249">
        <v>76</v>
      </c>
      <c r="F47" s="592">
        <v>1</v>
      </c>
      <c r="G47" s="346">
        <v>-0.17420000000000002</v>
      </c>
      <c r="H47" s="246">
        <v>1.5</v>
      </c>
      <c r="I47" s="237">
        <v>1.72</v>
      </c>
      <c r="J47" s="304">
        <v>0.63</v>
      </c>
      <c r="K47" s="241">
        <v>1.2110000000000001</v>
      </c>
      <c r="L47" s="244">
        <v>72701</v>
      </c>
      <c r="M47" s="244">
        <v>543</v>
      </c>
      <c r="N47" s="244">
        <v>80</v>
      </c>
      <c r="O47" s="301">
        <v>45366.687673611108</v>
      </c>
      <c r="P47" s="310">
        <v>46</v>
      </c>
      <c r="Q47" s="639"/>
      <c r="R47" s="403"/>
      <c r="S47" s="617"/>
      <c r="T47" s="612"/>
      <c r="U47" s="687"/>
      <c r="V47" s="455"/>
      <c r="W47" s="619"/>
      <c r="X47" s="681"/>
      <c r="Y47" s="628"/>
      <c r="Z47" s="520"/>
      <c r="AA47" s="264"/>
    </row>
    <row r="48" spans="1:27" ht="12.75" hidden="1" customHeight="1">
      <c r="A48" s="599" t="s">
        <v>608</v>
      </c>
      <c r="B48" s="675">
        <v>7</v>
      </c>
      <c r="C48" s="531">
        <v>1.1200000000000001</v>
      </c>
      <c r="D48" s="531">
        <v>1.23</v>
      </c>
      <c r="E48" s="675">
        <v>4</v>
      </c>
      <c r="F48" s="593">
        <v>1.1200000000000001</v>
      </c>
      <c r="G48" s="347">
        <v>-0.23699999999999999</v>
      </c>
      <c r="H48" s="251">
        <v>1.5</v>
      </c>
      <c r="I48" s="238">
        <v>2.12</v>
      </c>
      <c r="J48" s="309">
        <v>1.111</v>
      </c>
      <c r="K48" s="242">
        <v>1.468</v>
      </c>
      <c r="L48" s="260">
        <v>103033</v>
      </c>
      <c r="M48" s="260">
        <v>776</v>
      </c>
      <c r="N48" s="260">
        <v>235</v>
      </c>
      <c r="O48" s="302">
        <v>45366.687673611108</v>
      </c>
      <c r="P48" s="311">
        <v>47</v>
      </c>
      <c r="Q48" s="659"/>
      <c r="R48" s="609"/>
      <c r="S48" s="618"/>
      <c r="T48" s="613"/>
      <c r="U48" s="688"/>
      <c r="V48" s="515"/>
      <c r="W48" s="620"/>
      <c r="X48" s="683"/>
      <c r="Y48" s="627"/>
      <c r="Z48" s="519"/>
      <c r="AA48" s="264"/>
    </row>
    <row r="49" spans="1:40" ht="12.75" hidden="1" customHeight="1">
      <c r="A49" s="600" t="s">
        <v>609</v>
      </c>
      <c r="B49" s="249">
        <v>10</v>
      </c>
      <c r="C49" s="248">
        <v>1.5</v>
      </c>
      <c r="D49" s="479">
        <v>2.4</v>
      </c>
      <c r="E49" s="249">
        <v>62</v>
      </c>
      <c r="F49" s="592">
        <v>2.4</v>
      </c>
      <c r="G49" s="346">
        <v>-0.1938</v>
      </c>
      <c r="H49" s="246">
        <v>2.601</v>
      </c>
      <c r="I49" s="237">
        <v>2.89</v>
      </c>
      <c r="J49" s="304">
        <v>1.5</v>
      </c>
      <c r="K49" s="241">
        <v>2.9769999999999999</v>
      </c>
      <c r="L49" s="244">
        <v>88865</v>
      </c>
      <c r="M49" s="244">
        <v>449</v>
      </c>
      <c r="N49" s="244">
        <v>95</v>
      </c>
      <c r="O49" s="301">
        <v>45366.686608796299</v>
      </c>
      <c r="P49" s="310">
        <v>48</v>
      </c>
      <c r="Q49" s="639"/>
      <c r="R49" s="403"/>
      <c r="S49" s="617"/>
      <c r="T49" s="612"/>
      <c r="U49" s="687"/>
      <c r="V49" s="455"/>
      <c r="W49" s="619"/>
      <c r="X49" s="681"/>
      <c r="Y49" s="628"/>
      <c r="Z49" s="520"/>
      <c r="AA49" s="264"/>
    </row>
    <row r="50" spans="1:40" ht="12.75" hidden="1" customHeight="1">
      <c r="A50" s="599" t="s">
        <v>610</v>
      </c>
      <c r="B50" s="675">
        <v>47</v>
      </c>
      <c r="C50" s="531">
        <v>5.45</v>
      </c>
      <c r="D50" s="531">
        <v>5.98</v>
      </c>
      <c r="E50" s="675">
        <v>9</v>
      </c>
      <c r="F50" s="593">
        <v>5.98</v>
      </c>
      <c r="G50" s="347">
        <v>-0.33850000000000002</v>
      </c>
      <c r="H50" s="251">
        <v>8.8000000000000007</v>
      </c>
      <c r="I50" s="238">
        <v>9</v>
      </c>
      <c r="J50" s="309">
        <v>5.4</v>
      </c>
      <c r="K50" s="242">
        <v>9.0410000000000004</v>
      </c>
      <c r="L50" s="260">
        <v>508988</v>
      </c>
      <c r="M50" s="260">
        <v>770</v>
      </c>
      <c r="N50" s="260">
        <v>154</v>
      </c>
      <c r="O50" s="302">
        <v>45366.685960648145</v>
      </c>
      <c r="P50" s="311">
        <v>49</v>
      </c>
      <c r="Q50" s="659"/>
      <c r="R50" s="609"/>
      <c r="S50" s="618"/>
      <c r="T50" s="613"/>
      <c r="U50" s="688"/>
      <c r="V50" s="515"/>
      <c r="W50" s="620"/>
      <c r="X50" s="683"/>
      <c r="Y50" s="627"/>
      <c r="Z50" s="519"/>
      <c r="AA50" s="264"/>
    </row>
    <row r="51" spans="1:40" ht="12.75" hidden="1" customHeight="1">
      <c r="A51" s="600" t="s">
        <v>611</v>
      </c>
      <c r="B51" s="249">
        <v>6</v>
      </c>
      <c r="C51" s="248">
        <v>10.000999999999999</v>
      </c>
      <c r="D51" s="479">
        <v>10.997999999999999</v>
      </c>
      <c r="E51" s="249">
        <v>4</v>
      </c>
      <c r="F51" s="592">
        <v>10.000999999999999</v>
      </c>
      <c r="G51" s="346">
        <v>-0.39929999999999999</v>
      </c>
      <c r="H51" s="246">
        <v>19.5</v>
      </c>
      <c r="I51" s="237">
        <v>19.5</v>
      </c>
      <c r="J51" s="304">
        <v>9.51</v>
      </c>
      <c r="K51" s="241">
        <v>16.649000000000001</v>
      </c>
      <c r="L51" s="244">
        <v>2601830</v>
      </c>
      <c r="M51" s="244">
        <v>2329</v>
      </c>
      <c r="N51" s="244">
        <v>235</v>
      </c>
      <c r="O51" s="301">
        <v>45366.684236111112</v>
      </c>
      <c r="P51" s="310">
        <v>50</v>
      </c>
      <c r="Q51" s="639"/>
      <c r="R51" s="403"/>
      <c r="S51" s="617"/>
      <c r="T51" s="612"/>
      <c r="U51" s="687"/>
      <c r="V51" s="455"/>
      <c r="W51" s="619"/>
      <c r="X51" s="681"/>
      <c r="Y51" s="628"/>
      <c r="Z51" s="520"/>
      <c r="AA51" s="264"/>
    </row>
    <row r="52" spans="1:40" ht="12.75" hidden="1" customHeight="1">
      <c r="A52" s="599" t="s">
        <v>612</v>
      </c>
      <c r="B52" s="675">
        <v>10</v>
      </c>
      <c r="C52" s="531">
        <v>19.401</v>
      </c>
      <c r="D52" s="531">
        <v>20.99</v>
      </c>
      <c r="E52" s="675">
        <v>10</v>
      </c>
      <c r="F52" s="593">
        <v>20</v>
      </c>
      <c r="G52" s="347">
        <v>-0.37180000000000002</v>
      </c>
      <c r="H52" s="251">
        <v>30</v>
      </c>
      <c r="I52" s="238">
        <v>32</v>
      </c>
      <c r="J52" s="309">
        <v>19</v>
      </c>
      <c r="K52" s="242">
        <v>31.837</v>
      </c>
      <c r="L52" s="260">
        <v>7570583</v>
      </c>
      <c r="M52" s="260">
        <v>3313</v>
      </c>
      <c r="N52" s="260">
        <v>373</v>
      </c>
      <c r="O52" s="302">
        <v>45366.687106481484</v>
      </c>
      <c r="P52" s="311">
        <v>51</v>
      </c>
      <c r="Q52" s="659"/>
      <c r="R52" s="609"/>
      <c r="S52" s="618"/>
      <c r="T52" s="613"/>
      <c r="U52" s="688"/>
      <c r="V52" s="515"/>
      <c r="W52" s="620"/>
      <c r="X52" s="683"/>
      <c r="Y52" s="623"/>
      <c r="Z52" s="535"/>
      <c r="AA52" s="264"/>
    </row>
    <row r="53" spans="1:40" ht="12.75" hidden="1" customHeight="1">
      <c r="A53" s="600" t="s">
        <v>613</v>
      </c>
      <c r="B53" s="249">
        <v>9</v>
      </c>
      <c r="C53" s="248">
        <v>30.917999999999999</v>
      </c>
      <c r="D53" s="479">
        <v>33.5</v>
      </c>
      <c r="E53" s="249">
        <v>18</v>
      </c>
      <c r="F53" s="592">
        <v>33.5</v>
      </c>
      <c r="G53" s="346">
        <v>-0.32329999999999998</v>
      </c>
      <c r="H53" s="246">
        <v>58</v>
      </c>
      <c r="I53" s="237">
        <v>58</v>
      </c>
      <c r="J53" s="304">
        <v>30.917999999999999</v>
      </c>
      <c r="K53" s="241">
        <v>49.506</v>
      </c>
      <c r="L53" s="244">
        <v>8973335</v>
      </c>
      <c r="M53" s="244">
        <v>2409</v>
      </c>
      <c r="N53" s="244">
        <v>331</v>
      </c>
      <c r="O53" s="301">
        <v>45366.687673611108</v>
      </c>
      <c r="P53" s="310">
        <v>52</v>
      </c>
      <c r="Q53" s="639"/>
      <c r="R53" s="403"/>
      <c r="S53" s="617"/>
      <c r="T53" s="612"/>
      <c r="U53" s="687"/>
      <c r="V53" s="455"/>
      <c r="W53" s="619"/>
      <c r="X53" s="681"/>
      <c r="Y53" s="628"/>
      <c r="Z53" s="520"/>
      <c r="AA53" s="264"/>
    </row>
    <row r="54" spans="1:40" ht="12.75" hidden="1" customHeight="1">
      <c r="A54" s="599" t="s">
        <v>614</v>
      </c>
      <c r="B54" s="675">
        <v>1</v>
      </c>
      <c r="C54" s="531">
        <v>53</v>
      </c>
      <c r="D54" s="531">
        <v>53.8</v>
      </c>
      <c r="E54" s="675">
        <v>15</v>
      </c>
      <c r="F54" s="593">
        <v>53</v>
      </c>
      <c r="G54" s="347">
        <v>-0.29320000000000002</v>
      </c>
      <c r="H54" s="251">
        <v>76</v>
      </c>
      <c r="I54" s="238">
        <v>80</v>
      </c>
      <c r="J54" s="309">
        <v>50.5</v>
      </c>
      <c r="K54" s="242">
        <v>74.989999999999995</v>
      </c>
      <c r="L54" s="260">
        <v>23682918</v>
      </c>
      <c r="M54" s="260">
        <v>4054</v>
      </c>
      <c r="N54" s="260">
        <v>464</v>
      </c>
      <c r="O54" s="302">
        <v>45366.687673611108</v>
      </c>
      <c r="P54" s="311">
        <v>53</v>
      </c>
      <c r="Q54" s="659"/>
      <c r="R54" s="609"/>
      <c r="S54" s="618"/>
      <c r="T54" s="613"/>
      <c r="U54" s="688"/>
      <c r="V54" s="515"/>
      <c r="W54" s="620"/>
      <c r="X54" s="683"/>
      <c r="Y54" s="627"/>
      <c r="Z54" s="519"/>
      <c r="AA54" s="264"/>
    </row>
    <row r="55" spans="1:40" ht="12.75" hidden="1" customHeight="1">
      <c r="A55" s="600" t="s">
        <v>615</v>
      </c>
      <c r="B55" s="249">
        <v>1</v>
      </c>
      <c r="C55" s="248">
        <v>84</v>
      </c>
      <c r="D55" s="479">
        <v>88.998999999999995</v>
      </c>
      <c r="E55" s="249">
        <v>4</v>
      </c>
      <c r="F55" s="592">
        <v>86</v>
      </c>
      <c r="G55" s="346">
        <v>-0.31219999999999998</v>
      </c>
      <c r="H55" s="246">
        <v>167.5</v>
      </c>
      <c r="I55" s="237">
        <v>167.5</v>
      </c>
      <c r="J55" s="304">
        <v>83</v>
      </c>
      <c r="K55" s="241">
        <v>125.045</v>
      </c>
      <c r="L55" s="244">
        <v>7249134</v>
      </c>
      <c r="M55" s="244">
        <v>759</v>
      </c>
      <c r="N55" s="244">
        <v>146</v>
      </c>
      <c r="O55" s="301">
        <v>45366.685289351852</v>
      </c>
      <c r="P55" s="310">
        <v>54</v>
      </c>
      <c r="Q55" s="639"/>
      <c r="R55" s="403"/>
      <c r="S55" s="617"/>
      <c r="T55" s="612"/>
      <c r="U55" s="687"/>
      <c r="V55" s="455"/>
      <c r="W55" s="619"/>
      <c r="X55" s="681"/>
      <c r="Y55" s="628"/>
      <c r="Z55" s="520"/>
      <c r="AA55" s="264"/>
    </row>
    <row r="56" spans="1:40" ht="12.75" hidden="1" customHeight="1">
      <c r="A56" s="599" t="s">
        <v>616</v>
      </c>
      <c r="B56" s="675">
        <v>2</v>
      </c>
      <c r="C56" s="531">
        <v>127</v>
      </c>
      <c r="D56" s="531">
        <v>144.99</v>
      </c>
      <c r="E56" s="675">
        <v>10</v>
      </c>
      <c r="F56" s="593">
        <v>135</v>
      </c>
      <c r="G56" s="347">
        <v>-0.25390000000000001</v>
      </c>
      <c r="H56" s="251">
        <v>195</v>
      </c>
      <c r="I56" s="238">
        <v>195</v>
      </c>
      <c r="J56" s="309">
        <v>130</v>
      </c>
      <c r="K56" s="242">
        <v>180.95699999999999</v>
      </c>
      <c r="L56" s="260">
        <v>14577704</v>
      </c>
      <c r="M56" s="260">
        <v>1003</v>
      </c>
      <c r="N56" s="260">
        <v>102</v>
      </c>
      <c r="O56" s="302">
        <v>45366.686886574076</v>
      </c>
      <c r="P56" s="311">
        <v>55</v>
      </c>
      <c r="Q56" s="659"/>
      <c r="R56" s="609"/>
      <c r="S56" s="618"/>
      <c r="T56" s="613"/>
      <c r="U56" s="688"/>
      <c r="V56" s="515"/>
      <c r="W56" s="620"/>
      <c r="X56" s="683"/>
      <c r="Y56" s="629"/>
      <c r="Z56" s="533"/>
      <c r="AA56" s="264"/>
    </row>
    <row r="57" spans="1:40" ht="12.75" hidden="1" customHeight="1">
      <c r="A57" s="600" t="s">
        <v>617</v>
      </c>
      <c r="B57" s="249">
        <v>1</v>
      </c>
      <c r="C57" s="248">
        <v>175</v>
      </c>
      <c r="D57" s="248">
        <v>195</v>
      </c>
      <c r="E57" s="249">
        <v>2</v>
      </c>
      <c r="F57" s="592">
        <v>180</v>
      </c>
      <c r="G57" s="346">
        <v>-0.27889999999999998</v>
      </c>
      <c r="H57" s="246">
        <v>191.001</v>
      </c>
      <c r="I57" s="237">
        <v>210</v>
      </c>
      <c r="J57" s="304">
        <v>180</v>
      </c>
      <c r="K57" s="241">
        <v>249.63300000000001</v>
      </c>
      <c r="L57" s="244">
        <v>1072463</v>
      </c>
      <c r="M57" s="244">
        <v>54</v>
      </c>
      <c r="N57" s="244">
        <v>28</v>
      </c>
      <c r="O57" s="301">
        <v>45366.686145833337</v>
      </c>
      <c r="P57" s="310">
        <v>56</v>
      </c>
      <c r="Q57" s="639"/>
      <c r="R57" s="403"/>
      <c r="S57" s="617"/>
      <c r="T57" s="612"/>
      <c r="U57" s="687"/>
      <c r="V57" s="515"/>
      <c r="W57" s="619"/>
      <c r="X57" s="681"/>
      <c r="Y57" s="661"/>
      <c r="Z57" s="532"/>
      <c r="AA57" s="264"/>
    </row>
    <row r="58" spans="1:40" ht="12.75" hidden="1" customHeight="1">
      <c r="A58" s="599" t="s">
        <v>618</v>
      </c>
      <c r="B58" s="675">
        <v>6</v>
      </c>
      <c r="C58" s="531">
        <v>340.00099999999998</v>
      </c>
      <c r="D58" s="676">
        <v>350</v>
      </c>
      <c r="E58" s="675">
        <v>2</v>
      </c>
      <c r="F58" s="593">
        <v>380</v>
      </c>
      <c r="G58" s="347">
        <v>-7.3099999999999998E-2</v>
      </c>
      <c r="H58" s="251">
        <v>365</v>
      </c>
      <c r="I58" s="238">
        <v>380</v>
      </c>
      <c r="J58" s="309">
        <v>365</v>
      </c>
      <c r="K58" s="242">
        <v>410</v>
      </c>
      <c r="L58" s="260">
        <v>112500</v>
      </c>
      <c r="M58" s="260">
        <v>3</v>
      </c>
      <c r="N58" s="260">
        <v>2</v>
      </c>
      <c r="O58" s="302">
        <v>45366.535046296296</v>
      </c>
      <c r="P58" s="311">
        <v>57</v>
      </c>
      <c r="Q58" s="659"/>
      <c r="R58" s="609"/>
      <c r="S58" s="618"/>
      <c r="T58" s="613"/>
      <c r="U58" s="688"/>
      <c r="V58" s="455"/>
      <c r="W58" s="620"/>
      <c r="X58" s="665"/>
      <c r="Y58" s="629"/>
      <c r="Z58" s="533"/>
      <c r="AA58" s="264"/>
    </row>
    <row r="59" spans="1:40" ht="12.75" hidden="1" customHeight="1">
      <c r="A59" s="601" t="s">
        <v>619</v>
      </c>
      <c r="B59" s="443">
        <v>12</v>
      </c>
      <c r="C59" s="433">
        <v>435.00099999999998</v>
      </c>
      <c r="D59" s="433">
        <v>450</v>
      </c>
      <c r="E59" s="443">
        <v>2</v>
      </c>
      <c r="F59" s="594">
        <v>470</v>
      </c>
      <c r="G59" s="450">
        <v>-0.12960000000000002</v>
      </c>
      <c r="H59" s="436">
        <v>475</v>
      </c>
      <c r="I59" s="437">
        <v>475</v>
      </c>
      <c r="J59" s="438">
        <v>470</v>
      </c>
      <c r="K59" s="439">
        <v>540</v>
      </c>
      <c r="L59" s="427">
        <v>141500</v>
      </c>
      <c r="M59" s="427">
        <v>3</v>
      </c>
      <c r="N59" s="427">
        <v>3</v>
      </c>
      <c r="O59" s="428">
        <v>45366.672129629631</v>
      </c>
      <c r="P59" s="310">
        <v>58</v>
      </c>
      <c r="Q59" s="640"/>
      <c r="R59" s="441"/>
      <c r="S59" s="615"/>
      <c r="T59" s="611"/>
      <c r="U59" s="687"/>
      <c r="V59" s="515"/>
      <c r="W59" s="621"/>
      <c r="X59" s="700"/>
      <c r="Y59" s="662"/>
      <c r="Z59" s="534"/>
      <c r="AA59" s="264"/>
    </row>
    <row r="60" spans="1:40" ht="12.75" customHeight="1">
      <c r="A60" s="285" t="s">
        <v>335</v>
      </c>
      <c r="B60" s="261">
        <v>196</v>
      </c>
      <c r="C60" s="335">
        <v>2525</v>
      </c>
      <c r="D60" s="270">
        <v>2550</v>
      </c>
      <c r="E60" s="261">
        <v>10</v>
      </c>
      <c r="F60" s="292">
        <v>2525</v>
      </c>
      <c r="G60" s="344">
        <v>1.47E-2</v>
      </c>
      <c r="H60" s="247">
        <v>2500</v>
      </c>
      <c r="I60" s="239">
        <v>2550.1</v>
      </c>
      <c r="J60" s="306">
        <v>2440</v>
      </c>
      <c r="K60" s="243">
        <v>2488.3000000000002</v>
      </c>
      <c r="L60" s="266">
        <v>179591065</v>
      </c>
      <c r="M60" s="243">
        <v>71825</v>
      </c>
      <c r="N60" s="266">
        <v>838</v>
      </c>
      <c r="O60" s="300">
        <v>45366.687083333331</v>
      </c>
      <c r="P60" s="311">
        <v>59</v>
      </c>
      <c r="Q60" s="279">
        <v>0</v>
      </c>
      <c r="R60" s="286">
        <v>0</v>
      </c>
      <c r="S60" s="290">
        <v>0</v>
      </c>
      <c r="T60" s="259">
        <v>0</v>
      </c>
      <c r="U60" s="688"/>
      <c r="V60" s="283">
        <v>0</v>
      </c>
      <c r="W60" s="522">
        <v>0</v>
      </c>
      <c r="X60" s="516">
        <v>0</v>
      </c>
      <c r="Y60" s="503">
        <f>IF(D60&lt;&gt;0,($C61*(1-$V$1))-$D60,0)</f>
        <v>-20</v>
      </c>
      <c r="Z60" s="488">
        <v>20.49</v>
      </c>
      <c r="AA60" s="760" t="str">
        <f>MID($A60,1,5)</f>
        <v xml:space="preserve">GGAL </v>
      </c>
    </row>
    <row r="61" spans="1:40" ht="12.75" customHeight="1">
      <c r="A61" s="483" t="s">
        <v>336</v>
      </c>
      <c r="B61" s="449">
        <v>12</v>
      </c>
      <c r="C61" s="433">
        <v>2530</v>
      </c>
      <c r="D61" s="478">
        <v>2534.9499999999998</v>
      </c>
      <c r="E61" s="443">
        <v>1396</v>
      </c>
      <c r="F61" s="594">
        <v>2535</v>
      </c>
      <c r="G61" s="450">
        <v>2.23E-2</v>
      </c>
      <c r="H61" s="436">
        <v>2479.65</v>
      </c>
      <c r="I61" s="437">
        <v>2552.6</v>
      </c>
      <c r="J61" s="438">
        <v>2460</v>
      </c>
      <c r="K61" s="439">
        <v>2479.6999999999998</v>
      </c>
      <c r="L61" s="427">
        <v>3720666887</v>
      </c>
      <c r="M61" s="439">
        <v>1479194</v>
      </c>
      <c r="N61" s="427">
        <v>3168</v>
      </c>
      <c r="O61" s="428">
        <v>45366.687650462962</v>
      </c>
      <c r="P61" s="310">
        <v>60</v>
      </c>
      <c r="Q61" s="429">
        <v>0</v>
      </c>
      <c r="R61" s="451">
        <v>0</v>
      </c>
      <c r="S61" s="431">
        <v>0</v>
      </c>
      <c r="T61" s="442">
        <v>0</v>
      </c>
      <c r="U61" s="687"/>
      <c r="V61" s="282">
        <v>0</v>
      </c>
      <c r="W61" s="521">
        <v>0</v>
      </c>
      <c r="X61" s="517">
        <v>0</v>
      </c>
      <c r="Y61" s="706">
        <f>IFERROR(INT($Y$1/(F60/100)),"")</f>
        <v>4050</v>
      </c>
      <c r="Z61" s="497">
        <f>Z60*F61</f>
        <v>51942.149999999994</v>
      </c>
      <c r="AA61" s="761"/>
    </row>
    <row r="62" spans="1:40" ht="12.75" hidden="1" customHeight="1">
      <c r="A62" s="285" t="s">
        <v>574</v>
      </c>
      <c r="B62" s="262">
        <v>182</v>
      </c>
      <c r="C62" s="494">
        <v>1680</v>
      </c>
      <c r="D62" s="495">
        <v>1699</v>
      </c>
      <c r="E62" s="262">
        <v>314</v>
      </c>
      <c r="F62" s="292">
        <v>1699</v>
      </c>
      <c r="G62" s="344">
        <v>2.0400000000000001E-2</v>
      </c>
      <c r="H62" s="247">
        <v>1664</v>
      </c>
      <c r="I62" s="239">
        <v>1699</v>
      </c>
      <c r="J62" s="306">
        <v>1611.55</v>
      </c>
      <c r="K62" s="243">
        <v>1664.9</v>
      </c>
      <c r="L62" s="266">
        <v>88740707</v>
      </c>
      <c r="M62" s="243">
        <v>53499</v>
      </c>
      <c r="N62" s="266">
        <v>831</v>
      </c>
      <c r="O62" s="300">
        <v>45366.687430555554</v>
      </c>
      <c r="P62" s="311">
        <v>61</v>
      </c>
      <c r="Q62" s="279">
        <v>0</v>
      </c>
      <c r="R62" s="286">
        <v>0</v>
      </c>
      <c r="S62" s="290">
        <v>0</v>
      </c>
      <c r="T62" s="259">
        <v>0</v>
      </c>
      <c r="U62" s="688"/>
      <c r="V62" s="283">
        <v>0</v>
      </c>
      <c r="W62" s="489">
        <v>0</v>
      </c>
      <c r="X62" s="506">
        <v>0</v>
      </c>
      <c r="Y62" s="503">
        <f>IF(D62&lt;&gt;0,($C63*(1-$V$1))-$D62,0)</f>
        <v>-7</v>
      </c>
      <c r="Z62" s="488">
        <f>$F63*($AE$1*$AD$1)</f>
        <v>13.009643835616439</v>
      </c>
      <c r="AA62" s="758" t="str">
        <f>MID($A62,1,5)</f>
        <v xml:space="preserve">PAMP </v>
      </c>
    </row>
    <row r="63" spans="1:40" ht="12.75" hidden="1" customHeight="1">
      <c r="A63" s="483" t="s">
        <v>575</v>
      </c>
      <c r="B63" s="484">
        <v>238</v>
      </c>
      <c r="C63" s="496">
        <v>1692</v>
      </c>
      <c r="D63" s="496">
        <v>1695.75</v>
      </c>
      <c r="E63" s="484">
        <v>6000</v>
      </c>
      <c r="F63" s="595">
        <v>1695.9</v>
      </c>
      <c r="G63" s="450">
        <v>1.95E-2</v>
      </c>
      <c r="H63" s="436">
        <v>1670</v>
      </c>
      <c r="I63" s="437">
        <v>1699.75</v>
      </c>
      <c r="J63" s="438">
        <v>1648</v>
      </c>
      <c r="K63" s="439">
        <v>1663.4</v>
      </c>
      <c r="L63" s="427">
        <v>2458517201</v>
      </c>
      <c r="M63" s="439">
        <v>1468480</v>
      </c>
      <c r="N63" s="427">
        <v>4654</v>
      </c>
      <c r="O63" s="485">
        <v>45366.687685185185</v>
      </c>
      <c r="P63" s="310">
        <v>62</v>
      </c>
      <c r="Q63" s="429">
        <v>0</v>
      </c>
      <c r="R63" s="451">
        <v>0</v>
      </c>
      <c r="S63" s="431">
        <v>0</v>
      </c>
      <c r="T63" s="442">
        <v>0</v>
      </c>
      <c r="U63" s="687"/>
      <c r="V63" s="446">
        <v>0</v>
      </c>
      <c r="W63" s="490">
        <v>0</v>
      </c>
      <c r="X63" s="505">
        <v>0</v>
      </c>
      <c r="Y63" s="504">
        <f>IFERROR(IF($Y$1&lt;&gt;"",INT($Y$1/(D62)),100),100)</f>
        <v>60</v>
      </c>
      <c r="Z63" s="487"/>
      <c r="AA63" s="759"/>
    </row>
    <row r="64" spans="1:40" ht="12.75" customHeight="1">
      <c r="A64" s="285" t="s">
        <v>13</v>
      </c>
      <c r="B64" s="408">
        <v>6100</v>
      </c>
      <c r="C64" s="335">
        <v>49090</v>
      </c>
      <c r="D64" s="270">
        <v>49235</v>
      </c>
      <c r="E64" s="408">
        <v>19427</v>
      </c>
      <c r="F64" s="292">
        <v>49100</v>
      </c>
      <c r="G64" s="344">
        <v>1.4800000000000001E-2</v>
      </c>
      <c r="H64" s="247">
        <v>49000</v>
      </c>
      <c r="I64" s="239">
        <v>49375</v>
      </c>
      <c r="J64" s="306">
        <v>47600</v>
      </c>
      <c r="K64" s="243">
        <v>48510</v>
      </c>
      <c r="L64" s="266">
        <v>90288294775</v>
      </c>
      <c r="M64" s="243">
        <v>184825773</v>
      </c>
      <c r="N64" s="266">
        <v>67075</v>
      </c>
      <c r="O64" s="300">
        <v>45366.687511574077</v>
      </c>
      <c r="P64" s="311">
        <v>63</v>
      </c>
      <c r="Q64" s="279">
        <v>0</v>
      </c>
      <c r="R64" s="286">
        <v>0</v>
      </c>
      <c r="S64" s="290">
        <v>0</v>
      </c>
      <c r="T64" s="259">
        <v>0</v>
      </c>
      <c r="U64" s="688"/>
      <c r="V64" s="458">
        <v>540</v>
      </c>
      <c r="W64" s="740">
        <f t="shared" ref="W64:W68" si="23">(V64*X64)</f>
        <v>255565.8</v>
      </c>
      <c r="X64" s="681">
        <v>473.27</v>
      </c>
      <c r="Y64" s="503">
        <f>IF(D64&lt;&gt;0,($C65*(1-$V$1))-$D64,0)</f>
        <v>230</v>
      </c>
      <c r="Z64" s="486"/>
      <c r="AA64" s="349"/>
      <c r="AB64" s="38"/>
      <c r="AC64" s="465">
        <v>325</v>
      </c>
      <c r="AE64" s="47">
        <v>0.47860000000000003</v>
      </c>
      <c r="AF64" s="47">
        <f>AC64*AE64</f>
        <v>155.54500000000002</v>
      </c>
      <c r="AN64" s="481"/>
    </row>
    <row r="65" spans="1:40" ht="12.75" customHeight="1">
      <c r="A65" s="476" t="s">
        <v>2</v>
      </c>
      <c r="B65" s="323">
        <v>5200</v>
      </c>
      <c r="C65" s="248">
        <v>49465</v>
      </c>
      <c r="D65" s="479">
        <v>49480</v>
      </c>
      <c r="E65" s="524">
        <v>4884</v>
      </c>
      <c r="F65" s="250">
        <v>49450</v>
      </c>
      <c r="G65" s="346">
        <v>1.8500000000000003E-2</v>
      </c>
      <c r="H65" s="246">
        <v>48500</v>
      </c>
      <c r="I65" s="237">
        <v>49720</v>
      </c>
      <c r="J65" s="304">
        <v>48000</v>
      </c>
      <c r="K65" s="241">
        <v>48550</v>
      </c>
      <c r="L65" s="244">
        <v>47956735135</v>
      </c>
      <c r="M65" s="241">
        <v>97353564</v>
      </c>
      <c r="N65" s="244">
        <v>25080</v>
      </c>
      <c r="O65" s="301">
        <v>45366.687569444446</v>
      </c>
      <c r="P65" s="310">
        <v>64</v>
      </c>
      <c r="Q65" s="277">
        <v>0</v>
      </c>
      <c r="R65" s="287">
        <v>0</v>
      </c>
      <c r="S65" s="289">
        <v>0</v>
      </c>
      <c r="T65" s="258">
        <v>0</v>
      </c>
      <c r="U65" s="687"/>
      <c r="V65" s="457">
        <v>0</v>
      </c>
      <c r="W65" s="739">
        <f>V64*(C64/100)</f>
        <v>265086</v>
      </c>
      <c r="X65" s="683"/>
      <c r="Y65" s="701">
        <f>IFERROR(INT($Y$1/(F64/100)),"")</f>
        <v>208</v>
      </c>
      <c r="Z65" s="410"/>
      <c r="AA65" s="350"/>
      <c r="AB65" s="38"/>
      <c r="AC65" s="465">
        <v>179</v>
      </c>
      <c r="AE65" s="47">
        <v>0.47910000000000003</v>
      </c>
      <c r="AF65" s="47">
        <f t="shared" ref="AF65:AF67" si="24">AC65*AE65</f>
        <v>85.758900000000011</v>
      </c>
      <c r="AN65" s="481"/>
    </row>
    <row r="66" spans="1:40" ht="12.75" customHeight="1">
      <c r="A66" s="252" t="s">
        <v>15</v>
      </c>
      <c r="B66" s="408">
        <v>1148</v>
      </c>
      <c r="C66" s="335">
        <v>46.345999999999997</v>
      </c>
      <c r="D66" s="270">
        <v>46.49</v>
      </c>
      <c r="E66" s="408">
        <v>18400</v>
      </c>
      <c r="F66" s="596">
        <v>46.345999999999997</v>
      </c>
      <c r="G66" s="347">
        <v>1.21E-2</v>
      </c>
      <c r="H66" s="251">
        <v>45.500999999999998</v>
      </c>
      <c r="I66" s="238">
        <v>46.62</v>
      </c>
      <c r="J66" s="309">
        <v>45.45</v>
      </c>
      <c r="K66" s="242">
        <v>45.79</v>
      </c>
      <c r="L66" s="260">
        <v>21735698</v>
      </c>
      <c r="M66" s="242">
        <v>46918525</v>
      </c>
      <c r="N66" s="260">
        <v>8344</v>
      </c>
      <c r="O66" s="302">
        <v>45366.687708333331</v>
      </c>
      <c r="P66" s="311">
        <v>65</v>
      </c>
      <c r="Q66" s="278">
        <v>0</v>
      </c>
      <c r="R66" s="288">
        <v>0</v>
      </c>
      <c r="S66" s="291">
        <v>0</v>
      </c>
      <c r="T66" s="257">
        <v>0</v>
      </c>
      <c r="U66" s="688"/>
      <c r="V66" s="327">
        <v>0</v>
      </c>
      <c r="W66" s="741">
        <f t="shared" si="23"/>
        <v>0</v>
      </c>
      <c r="X66" s="681"/>
      <c r="Y66" s="702">
        <f>IF(D66&lt;&gt;0,($C67*(1-$V$1))-$D66,0)</f>
        <v>-0.24000000000000199</v>
      </c>
      <c r="Z66" s="333">
        <f>IFERROR(IF(C66&lt;&gt;"",$Y$1/(D64/100)*(C66/100),""),"")</f>
        <v>96.263188159867269</v>
      </c>
      <c r="AA66" s="399">
        <f>IFERROR($AA$1/(D66/100)*(C64/100),"")</f>
        <v>105592.60055926004</v>
      </c>
      <c r="AB66" s="38"/>
      <c r="AC66" s="466"/>
      <c r="AF66" s="47">
        <f t="shared" si="24"/>
        <v>0</v>
      </c>
      <c r="AN66" s="481"/>
    </row>
    <row r="67" spans="1:40" ht="12.75" customHeight="1">
      <c r="A67" s="312" t="s">
        <v>3</v>
      </c>
      <c r="B67" s="323">
        <v>91331</v>
      </c>
      <c r="C67" s="248">
        <v>46.25</v>
      </c>
      <c r="D67" s="479">
        <v>46.5</v>
      </c>
      <c r="E67" s="524">
        <v>29565</v>
      </c>
      <c r="F67" s="250">
        <v>46.5</v>
      </c>
      <c r="G67" s="346">
        <v>1.7500000000000002E-2</v>
      </c>
      <c r="H67" s="246">
        <v>45.5</v>
      </c>
      <c r="I67" s="237">
        <v>46.561999999999998</v>
      </c>
      <c r="J67" s="304">
        <v>45.5</v>
      </c>
      <c r="K67" s="241">
        <v>45.7</v>
      </c>
      <c r="L67" s="244">
        <v>1604344</v>
      </c>
      <c r="M67" s="241">
        <v>3467117</v>
      </c>
      <c r="N67" s="244">
        <v>575</v>
      </c>
      <c r="O67" s="301">
        <v>45366.687106481484</v>
      </c>
      <c r="P67" s="310">
        <v>66</v>
      </c>
      <c r="Q67" s="277">
        <v>0</v>
      </c>
      <c r="R67" s="287">
        <v>0</v>
      </c>
      <c r="S67" s="289">
        <v>0</v>
      </c>
      <c r="T67" s="258">
        <v>0</v>
      </c>
      <c r="U67" s="687"/>
      <c r="V67" s="326">
        <v>0</v>
      </c>
      <c r="W67" s="742">
        <f>V66*(F66/100)</f>
        <v>0</v>
      </c>
      <c r="X67" s="683"/>
      <c r="Y67" s="703">
        <f>IFERROR(INT($AA$1/(F66/100)),"")</f>
        <v>215</v>
      </c>
      <c r="Z67" s="332">
        <f>IFERROR(IF(C67&lt;&gt;"",$Y$1/(D65/100)*(C67/100),""),"")</f>
        <v>95.588131452364053</v>
      </c>
      <c r="AA67" s="401">
        <f>IFERROR($AA$1/(D67/100)*(C65/100),"")</f>
        <v>106376.34408602149</v>
      </c>
      <c r="AB67" s="38"/>
      <c r="AC67" s="467"/>
      <c r="AD67" s="464"/>
      <c r="AE67" s="464"/>
      <c r="AF67" s="464">
        <f t="shared" si="24"/>
        <v>0</v>
      </c>
      <c r="AN67" s="481"/>
    </row>
    <row r="68" spans="1:40" ht="12.75" customHeight="1">
      <c r="A68" s="415" t="s">
        <v>14</v>
      </c>
      <c r="B68" s="408">
        <v>1158</v>
      </c>
      <c r="C68" s="335">
        <v>49.201999999999998</v>
      </c>
      <c r="D68" s="270">
        <v>47.62</v>
      </c>
      <c r="E68" s="408">
        <v>30</v>
      </c>
      <c r="F68" s="596">
        <v>48.38</v>
      </c>
      <c r="G68" s="347">
        <v>1.04E-2</v>
      </c>
      <c r="H68" s="251">
        <v>47.747999999999998</v>
      </c>
      <c r="I68" s="238">
        <v>48.579000000000001</v>
      </c>
      <c r="J68" s="309">
        <v>47.204999999999998</v>
      </c>
      <c r="K68" s="242">
        <v>47.88</v>
      </c>
      <c r="L68" s="260">
        <v>68390120</v>
      </c>
      <c r="M68" s="242">
        <v>141852935</v>
      </c>
      <c r="N68" s="260">
        <v>56322</v>
      </c>
      <c r="O68" s="302">
        <v>45366.68540509259</v>
      </c>
      <c r="P68" s="311">
        <v>67</v>
      </c>
      <c r="Q68" s="278">
        <v>0</v>
      </c>
      <c r="R68" s="288">
        <v>0</v>
      </c>
      <c r="S68" s="291">
        <v>0</v>
      </c>
      <c r="T68" s="257">
        <v>0</v>
      </c>
      <c r="U68" s="688"/>
      <c r="V68" s="455">
        <v>558</v>
      </c>
      <c r="W68" s="743">
        <f t="shared" si="23"/>
        <v>267.17040000000003</v>
      </c>
      <c r="X68" s="684">
        <v>0.4788</v>
      </c>
      <c r="Y68" s="704">
        <f>IF(D68&lt;&gt;0,($C69*(1-$V$1))-$D68,0)</f>
        <v>0.71500000000000341</v>
      </c>
      <c r="Z68" s="331">
        <f>IFERROR(IF(C68&lt;&gt;"",$Y$1/(D64/100)*(C68/100),""),"")</f>
        <v>102.1952570629998</v>
      </c>
      <c r="AA68" s="400">
        <f>IFERROR($Z$1/(D68/100)*(C64/100),"")</f>
        <v>103086.93826123478</v>
      </c>
      <c r="AB68" s="38"/>
      <c r="AC68" s="468">
        <f>SUM(AC64:AC67)</f>
        <v>504</v>
      </c>
      <c r="AD68" s="469"/>
      <c r="AE68" s="469"/>
      <c r="AF68" s="469">
        <f>SUM(AF64:AF67)</f>
        <v>241.30390000000003</v>
      </c>
    </row>
    <row r="69" spans="1:40" ht="12.75" customHeight="1">
      <c r="A69" s="448" t="s">
        <v>4</v>
      </c>
      <c r="B69" s="523">
        <v>18059</v>
      </c>
      <c r="C69" s="433">
        <v>48.335000000000001</v>
      </c>
      <c r="D69" s="478">
        <v>48.37</v>
      </c>
      <c r="E69" s="525">
        <v>5782</v>
      </c>
      <c r="F69" s="595">
        <v>48.37</v>
      </c>
      <c r="G69" s="450">
        <v>1.1899999999999999E-2</v>
      </c>
      <c r="H69" s="436">
        <v>47.5</v>
      </c>
      <c r="I69" s="437">
        <v>48.548999999999999</v>
      </c>
      <c r="J69" s="438">
        <v>47.21</v>
      </c>
      <c r="K69" s="439">
        <v>47.801000000000002</v>
      </c>
      <c r="L69" s="427">
        <v>14395417</v>
      </c>
      <c r="M69" s="439">
        <v>29864767</v>
      </c>
      <c r="N69" s="427">
        <v>10690</v>
      </c>
      <c r="O69" s="428">
        <v>45366.6875462963</v>
      </c>
      <c r="P69" s="310">
        <v>68</v>
      </c>
      <c r="Q69" s="429">
        <v>0</v>
      </c>
      <c r="R69" s="451">
        <v>0</v>
      </c>
      <c r="S69" s="431">
        <v>0</v>
      </c>
      <c r="T69" s="442">
        <v>0</v>
      </c>
      <c r="U69" s="687"/>
      <c r="V69" s="498"/>
      <c r="W69" s="744">
        <f>V68*(C68/100)</f>
        <v>274.54715999999996</v>
      </c>
      <c r="X69" s="682"/>
      <c r="Y69" s="705">
        <f>IFERROR(INT($Z$1/(F68/100)),"")</f>
        <v>206</v>
      </c>
      <c r="Z69" s="445">
        <f>IFERROR(IF(C69&lt;&gt;"",$Y$1/(D65/100)*(C69/100),""),"")</f>
        <v>99.8973477567571</v>
      </c>
      <c r="AA69" s="452">
        <f>IFERROR($Z$1/(D69/100)*(C65/100),"")</f>
        <v>102263.79987595617</v>
      </c>
      <c r="AB69" s="38"/>
      <c r="AC69" s="754">
        <f>AF68/AC68</f>
        <v>0.47877757936507942</v>
      </c>
      <c r="AD69" s="754"/>
      <c r="AE69" s="754"/>
      <c r="AF69" s="754"/>
    </row>
    <row r="70" spans="1:40" ht="12.75" customHeight="1">
      <c r="A70" s="285" t="s">
        <v>16</v>
      </c>
      <c r="B70" s="408">
        <v>110</v>
      </c>
      <c r="C70" s="335">
        <v>51600</v>
      </c>
      <c r="D70" s="270">
        <v>51600</v>
      </c>
      <c r="E70" s="408">
        <v>10</v>
      </c>
      <c r="F70" s="292">
        <v>51600</v>
      </c>
      <c r="G70" s="344">
        <v>3.85E-2</v>
      </c>
      <c r="H70" s="247">
        <v>50240</v>
      </c>
      <c r="I70" s="239">
        <v>51890</v>
      </c>
      <c r="J70" s="306">
        <v>50240</v>
      </c>
      <c r="K70" s="243">
        <v>49685</v>
      </c>
      <c r="L70" s="266">
        <v>9631091743</v>
      </c>
      <c r="M70" s="243">
        <v>18807060</v>
      </c>
      <c r="N70" s="266">
        <v>4286</v>
      </c>
      <c r="O70" s="300">
        <v>45366.685289351852</v>
      </c>
      <c r="P70" s="311">
        <v>69</v>
      </c>
      <c r="Q70" s="279"/>
      <c r="R70" s="286">
        <v>0</v>
      </c>
      <c r="S70" s="290">
        <v>0</v>
      </c>
      <c r="T70" s="259">
        <v>0</v>
      </c>
      <c r="U70" s="688"/>
      <c r="V70" s="324">
        <v>0</v>
      </c>
      <c r="W70" s="740">
        <f t="shared" ref="W70:W82" si="25">(V70*X70)</f>
        <v>0</v>
      </c>
      <c r="X70" s="681">
        <v>513.9</v>
      </c>
      <c r="Y70" s="503">
        <f t="shared" ref="Y70" si="26">IF(D70&lt;&gt;0,($C71*(1-$V$1))-$D70,0)</f>
        <v>410</v>
      </c>
      <c r="Z70" s="477"/>
      <c r="AA70" s="349"/>
      <c r="AB70" s="38"/>
      <c r="AC70" s="454">
        <v>506</v>
      </c>
      <c r="AE70" s="47">
        <v>0.48499999999999999</v>
      </c>
      <c r="AF70" s="47">
        <f>AC70*AE70</f>
        <v>245.41</v>
      </c>
    </row>
    <row r="71" spans="1:40" ht="12.75" customHeight="1">
      <c r="A71" s="476" t="s">
        <v>5</v>
      </c>
      <c r="B71" s="323">
        <v>11335</v>
      </c>
      <c r="C71" s="248">
        <v>52010</v>
      </c>
      <c r="D71" s="479">
        <v>52080</v>
      </c>
      <c r="E71" s="524">
        <v>87522</v>
      </c>
      <c r="F71" s="250">
        <v>52080</v>
      </c>
      <c r="G71" s="346">
        <v>2.8799999999999999E-2</v>
      </c>
      <c r="H71" s="246">
        <v>51000</v>
      </c>
      <c r="I71" s="237">
        <v>52200</v>
      </c>
      <c r="J71" s="304">
        <v>50630</v>
      </c>
      <c r="K71" s="241">
        <v>50620</v>
      </c>
      <c r="L71" s="244">
        <v>18419806180</v>
      </c>
      <c r="M71" s="241">
        <v>35631324</v>
      </c>
      <c r="N71" s="244">
        <v>3543</v>
      </c>
      <c r="O71" s="301">
        <v>45366.687581018516</v>
      </c>
      <c r="P71" s="310">
        <v>70</v>
      </c>
      <c r="Q71" s="277">
        <v>0</v>
      </c>
      <c r="R71" s="287">
        <v>0</v>
      </c>
      <c r="S71" s="289">
        <v>0</v>
      </c>
      <c r="T71" s="258">
        <v>0</v>
      </c>
      <c r="U71" s="687"/>
      <c r="V71" s="457">
        <v>0</v>
      </c>
      <c r="W71" s="738">
        <f>V70*(F71/100)</f>
        <v>0</v>
      </c>
      <c r="X71" s="683"/>
      <c r="Y71" s="701">
        <f t="shared" ref="Y71" si="27">IFERROR(INT($Y$1/(F70/100)),"")</f>
        <v>198</v>
      </c>
      <c r="Z71" s="410"/>
      <c r="AA71" s="350"/>
      <c r="AB71" s="38"/>
      <c r="AC71" s="454">
        <v>350</v>
      </c>
      <c r="AE71" s="47">
        <v>0.47600999999999999</v>
      </c>
      <c r="AF71" s="47">
        <f t="shared" ref="AF71:AF73" si="28">AC71*AE71</f>
        <v>166.6035</v>
      </c>
    </row>
    <row r="72" spans="1:40" ht="12.75" hidden="1" customHeight="1">
      <c r="A72" s="252" t="s">
        <v>17</v>
      </c>
      <c r="B72" s="408">
        <v>99984</v>
      </c>
      <c r="C72" s="335">
        <v>48.4</v>
      </c>
      <c r="D72" s="270">
        <v>48.723999999999997</v>
      </c>
      <c r="E72" s="408">
        <v>164570</v>
      </c>
      <c r="F72" s="596">
        <v>48.4</v>
      </c>
      <c r="G72" s="347">
        <v>8.3000000000000001E-3</v>
      </c>
      <c r="H72" s="251">
        <v>48.185000000000002</v>
      </c>
      <c r="I72" s="238">
        <v>49</v>
      </c>
      <c r="J72" s="309">
        <v>47.6</v>
      </c>
      <c r="K72" s="242">
        <v>48</v>
      </c>
      <c r="L72" s="260">
        <v>665451</v>
      </c>
      <c r="M72" s="242">
        <v>1371165</v>
      </c>
      <c r="N72" s="260">
        <v>526</v>
      </c>
      <c r="O72" s="302">
        <v>45366.685393518521</v>
      </c>
      <c r="P72" s="311">
        <v>71</v>
      </c>
      <c r="Q72" s="278">
        <v>0</v>
      </c>
      <c r="R72" s="288">
        <v>0</v>
      </c>
      <c r="S72" s="291">
        <v>0</v>
      </c>
      <c r="T72" s="257">
        <v>0</v>
      </c>
      <c r="U72" s="688"/>
      <c r="V72" s="327">
        <v>0</v>
      </c>
      <c r="W72" s="741">
        <f t="shared" ref="W72" si="29">(V72*X72)</f>
        <v>0</v>
      </c>
      <c r="X72" s="681"/>
      <c r="Y72" s="702">
        <f t="shared" ref="Y72" si="30">IF(D72&lt;&gt;0,($C73*(1-$V$1))-$D72,0)</f>
        <v>-0.32399999999999807</v>
      </c>
      <c r="Z72" s="333">
        <f>IFERROR(IF(C72&lt;&gt;"",$Y$1/(D70/100)*(C72/100),""),"")</f>
        <v>95.921858798377485</v>
      </c>
      <c r="AA72" s="399">
        <f>IFERROR($AA$1/(D72/100)*(C70/100),"")</f>
        <v>105902.6352516214</v>
      </c>
      <c r="AB72" s="38"/>
      <c r="AC72" s="454"/>
      <c r="AF72" s="47">
        <f t="shared" si="28"/>
        <v>0</v>
      </c>
    </row>
    <row r="73" spans="1:40" ht="12.75" hidden="1" customHeight="1">
      <c r="A73" s="312" t="s">
        <v>6</v>
      </c>
      <c r="B73" s="323">
        <v>99937</v>
      </c>
      <c r="C73" s="248">
        <v>48.4</v>
      </c>
      <c r="D73" s="479">
        <v>48.9</v>
      </c>
      <c r="E73" s="524">
        <v>50000</v>
      </c>
      <c r="F73" s="250">
        <v>49.005000000000003</v>
      </c>
      <c r="G73" s="346">
        <v>2.0899999999999998E-2</v>
      </c>
      <c r="H73" s="246">
        <v>48.063000000000002</v>
      </c>
      <c r="I73" s="237">
        <v>49.005000000000003</v>
      </c>
      <c r="J73" s="304">
        <v>48.063000000000002</v>
      </c>
      <c r="K73" s="241">
        <v>48</v>
      </c>
      <c r="L73" s="244">
        <v>382678</v>
      </c>
      <c r="M73" s="241">
        <v>786595</v>
      </c>
      <c r="N73" s="244">
        <v>234</v>
      </c>
      <c r="O73" s="301">
        <v>45366.646585648145</v>
      </c>
      <c r="P73" s="310">
        <v>72</v>
      </c>
      <c r="Q73" s="277">
        <v>0</v>
      </c>
      <c r="R73" s="287">
        <v>0</v>
      </c>
      <c r="S73" s="289">
        <v>0</v>
      </c>
      <c r="T73" s="258">
        <v>0</v>
      </c>
      <c r="U73" s="687"/>
      <c r="V73" s="326">
        <v>0</v>
      </c>
      <c r="W73" s="742">
        <f>V72*(F72/100)</f>
        <v>0</v>
      </c>
      <c r="X73" s="683"/>
      <c r="Y73" s="703">
        <f t="shared" ref="Y73" si="31">IFERROR(INT($AA$1/(F72/100)),"")</f>
        <v>206</v>
      </c>
      <c r="Z73" s="332">
        <f>IFERROR(IF(C73&lt;&gt;"",$Y$1/(D71/100)*(C73/100),""),"")</f>
        <v>95.037786367056043</v>
      </c>
      <c r="AA73" s="401">
        <f>IFERROR($AA$1/(D73/100)*(C71/100),"")</f>
        <v>106359.91820040901</v>
      </c>
      <c r="AB73" s="38"/>
      <c r="AC73" s="464"/>
      <c r="AD73" s="464"/>
      <c r="AE73" s="464"/>
      <c r="AF73" s="464">
        <f t="shared" si="28"/>
        <v>0</v>
      </c>
    </row>
    <row r="74" spans="1:40" ht="12.75" customHeight="1">
      <c r="A74" s="415" t="s">
        <v>18</v>
      </c>
      <c r="B74" s="408">
        <v>399</v>
      </c>
      <c r="C74" s="335">
        <v>50.75</v>
      </c>
      <c r="D74" s="270">
        <v>50.81</v>
      </c>
      <c r="E74" s="408">
        <v>632</v>
      </c>
      <c r="F74" s="596">
        <v>50.75</v>
      </c>
      <c r="G74" s="347">
        <v>1.72E-2</v>
      </c>
      <c r="H74" s="251">
        <v>50</v>
      </c>
      <c r="I74" s="238">
        <v>51.36</v>
      </c>
      <c r="J74" s="309">
        <v>49.292000000000002</v>
      </c>
      <c r="K74" s="242">
        <v>49.89</v>
      </c>
      <c r="L74" s="260">
        <v>2997745</v>
      </c>
      <c r="M74" s="242">
        <v>5924385</v>
      </c>
      <c r="N74" s="260">
        <v>2363</v>
      </c>
      <c r="O74" s="302">
        <v>45366.685393518521</v>
      </c>
      <c r="P74" s="311">
        <v>73</v>
      </c>
      <c r="Q74" s="278">
        <v>0</v>
      </c>
      <c r="R74" s="288">
        <v>0</v>
      </c>
      <c r="S74" s="291">
        <v>0</v>
      </c>
      <c r="T74" s="257">
        <v>0</v>
      </c>
      <c r="U74" s="688"/>
      <c r="V74" s="455">
        <v>0</v>
      </c>
      <c r="W74" s="743">
        <f t="shared" si="25"/>
        <v>0</v>
      </c>
      <c r="X74" s="684"/>
      <c r="Y74" s="704">
        <f t="shared" ref="Y74" si="32">IF(D74&lt;&gt;0,($C75*(1-$V$1))-$D74,0)</f>
        <v>-0.10999999999999943</v>
      </c>
      <c r="Z74" s="331">
        <f>IFERROR(IF(C74&lt;&gt;"",$Y$1/(D70/100)*(C74/100),""),"")</f>
        <v>100.57922177722432</v>
      </c>
      <c r="AA74" s="400">
        <f>IFERROR($Z$1/(D74/100)*(C70/100),"")</f>
        <v>101554.81204487306</v>
      </c>
      <c r="AB74" s="38"/>
      <c r="AC74" s="468">
        <f>SUM(AC70:AC73)</f>
        <v>856</v>
      </c>
      <c r="AD74" s="469"/>
      <c r="AE74" s="469" t="s">
        <v>588</v>
      </c>
      <c r="AF74" s="469">
        <f>SUM(AF70:AF73)</f>
        <v>412.01350000000002</v>
      </c>
    </row>
    <row r="75" spans="1:40" ht="12.75" customHeight="1">
      <c r="A75" s="448" t="s">
        <v>7</v>
      </c>
      <c r="B75" s="523">
        <v>3513</v>
      </c>
      <c r="C75" s="433">
        <v>50.7</v>
      </c>
      <c r="D75" s="478">
        <v>50.89</v>
      </c>
      <c r="E75" s="525">
        <v>11315</v>
      </c>
      <c r="F75" s="595">
        <v>50.89</v>
      </c>
      <c r="G75" s="450">
        <v>1.9E-2</v>
      </c>
      <c r="H75" s="436">
        <v>50.79</v>
      </c>
      <c r="I75" s="437">
        <v>51</v>
      </c>
      <c r="J75" s="438">
        <v>49.5</v>
      </c>
      <c r="K75" s="439">
        <v>49.94</v>
      </c>
      <c r="L75" s="444">
        <v>701292</v>
      </c>
      <c r="M75" s="439">
        <v>1384936</v>
      </c>
      <c r="N75" s="427">
        <v>718</v>
      </c>
      <c r="O75" s="428">
        <v>45366.687222222223</v>
      </c>
      <c r="P75" s="310">
        <v>74</v>
      </c>
      <c r="Q75" s="429">
        <v>0</v>
      </c>
      <c r="R75" s="451">
        <v>0</v>
      </c>
      <c r="S75" s="431">
        <v>0</v>
      </c>
      <c r="T75" s="442">
        <v>0</v>
      </c>
      <c r="U75" s="687"/>
      <c r="V75" s="456">
        <v>0</v>
      </c>
      <c r="W75" s="744">
        <f>V74*(F74/100)</f>
        <v>0</v>
      </c>
      <c r="X75" s="682"/>
      <c r="Y75" s="705">
        <f t="shared" ref="Y75" si="33">IFERROR(INT($Z$1/(F74/100)),"")</f>
        <v>197</v>
      </c>
      <c r="Z75" s="445">
        <f>IFERROR(IF(C75&lt;&gt;"",$Y$1/(D71/100)*(C75/100),""),"")</f>
        <v>99.55404481011864</v>
      </c>
      <c r="AA75" s="452">
        <f>IFERROR($Z$1/(D75/100)*(C71/100),"")</f>
        <v>102200.82530949106</v>
      </c>
      <c r="AB75" s="38"/>
      <c r="AC75" s="754">
        <f>AF74/AC74</f>
        <v>0.48132418224299067</v>
      </c>
      <c r="AD75" s="754"/>
      <c r="AE75" s="754"/>
      <c r="AF75" s="754"/>
    </row>
    <row r="76" spans="1:40" ht="12.75" customHeight="1">
      <c r="A76" s="285" t="s">
        <v>582</v>
      </c>
      <c r="B76" s="261">
        <v>15742760</v>
      </c>
      <c r="C76" s="335">
        <v>171.499</v>
      </c>
      <c r="D76" s="270">
        <v>172.5</v>
      </c>
      <c r="E76" s="261">
        <v>199500000</v>
      </c>
      <c r="F76" s="292">
        <v>172.5</v>
      </c>
      <c r="G76" s="344">
        <v>7.4000000000000003E-3</v>
      </c>
      <c r="H76" s="247">
        <v>173</v>
      </c>
      <c r="I76" s="239">
        <v>173.25</v>
      </c>
      <c r="J76" s="306">
        <v>167.3</v>
      </c>
      <c r="K76" s="243">
        <v>171.221</v>
      </c>
      <c r="L76" s="266">
        <v>8279850957</v>
      </c>
      <c r="M76" s="243">
        <v>4815525107</v>
      </c>
      <c r="N76" s="266">
        <v>2518</v>
      </c>
      <c r="O76" s="300">
        <v>45366.687569444446</v>
      </c>
      <c r="P76" s="311">
        <v>75</v>
      </c>
      <c r="Q76" s="279">
        <v>0</v>
      </c>
      <c r="R76" s="286">
        <v>0</v>
      </c>
      <c r="S76" s="290">
        <v>0</v>
      </c>
      <c r="T76" s="259">
        <v>0</v>
      </c>
      <c r="U76" s="688"/>
      <c r="V76" s="473">
        <v>0</v>
      </c>
      <c r="W76" s="512">
        <f>V76*X76</f>
        <v>0</v>
      </c>
      <c r="X76" s="681"/>
      <c r="Y76" s="503">
        <f t="shared" ref="Y76" si="34">IF(D76&lt;&gt;0,($C77*(1-$V$1))-$D76,0)</f>
        <v>0</v>
      </c>
      <c r="Z76" s="477"/>
      <c r="AA76" s="349"/>
      <c r="AB76" s="38"/>
    </row>
    <row r="77" spans="1:40" ht="12.75" customHeight="1">
      <c r="A77" s="476" t="s">
        <v>583</v>
      </c>
      <c r="B77" s="249">
        <v>99940997</v>
      </c>
      <c r="C77" s="248">
        <v>172.5</v>
      </c>
      <c r="D77" s="479">
        <v>172.99</v>
      </c>
      <c r="E77" s="480">
        <v>565783</v>
      </c>
      <c r="F77" s="250">
        <v>172.99</v>
      </c>
      <c r="G77" s="346">
        <v>-2.8000000000000004E-3</v>
      </c>
      <c r="H77" s="246">
        <v>174.75</v>
      </c>
      <c r="I77" s="237">
        <v>174.75</v>
      </c>
      <c r="J77" s="304">
        <v>172</v>
      </c>
      <c r="K77" s="241">
        <v>173</v>
      </c>
      <c r="L77" s="244">
        <v>405892697</v>
      </c>
      <c r="M77" s="241">
        <v>234739392</v>
      </c>
      <c r="N77" s="244">
        <v>1882</v>
      </c>
      <c r="O77" s="301">
        <v>45366.687615740739</v>
      </c>
      <c r="P77" s="310">
        <v>76</v>
      </c>
      <c r="Q77" s="277">
        <v>0</v>
      </c>
      <c r="R77" s="287">
        <v>0</v>
      </c>
      <c r="S77" s="289">
        <v>0</v>
      </c>
      <c r="T77" s="258">
        <v>0</v>
      </c>
      <c r="U77" s="687"/>
      <c r="V77" s="470">
        <v>0</v>
      </c>
      <c r="W77" s="507">
        <f>V76*(F76/100)</f>
        <v>0</v>
      </c>
      <c r="X77" s="683"/>
      <c r="Y77" s="701">
        <f t="shared" ref="Y77" si="35">IFERROR(INT($Y$1/(F76/100)),"")</f>
        <v>59283</v>
      </c>
      <c r="Z77" s="410"/>
      <c r="AA77" s="350"/>
      <c r="AB77" s="38"/>
    </row>
    <row r="78" spans="1:40" ht="12.75" hidden="1" customHeight="1">
      <c r="A78" s="252" t="s">
        <v>584</v>
      </c>
      <c r="B78" s="261">
        <v>104095000</v>
      </c>
      <c r="C78" s="335">
        <v>0.161</v>
      </c>
      <c r="D78" s="270">
        <v>0.16200000000000001</v>
      </c>
      <c r="E78" s="261">
        <v>50000000</v>
      </c>
      <c r="F78" s="596">
        <v>0.16200000000000001</v>
      </c>
      <c r="G78" s="347">
        <v>-1.21E-2</v>
      </c>
      <c r="H78" s="251">
        <v>0.16400000000000001</v>
      </c>
      <c r="I78" s="238">
        <v>0.16600000000000001</v>
      </c>
      <c r="J78" s="309">
        <v>0.161</v>
      </c>
      <c r="K78" s="242">
        <v>0.16400000000000001</v>
      </c>
      <c r="L78" s="260">
        <v>6522776</v>
      </c>
      <c r="M78" s="242">
        <v>3998208651</v>
      </c>
      <c r="N78" s="260">
        <v>761</v>
      </c>
      <c r="O78" s="302">
        <v>45366.685243055559</v>
      </c>
      <c r="P78" s="311">
        <v>77</v>
      </c>
      <c r="Q78" s="278">
        <v>0</v>
      </c>
      <c r="R78" s="288">
        <v>0</v>
      </c>
      <c r="S78" s="291">
        <v>0</v>
      </c>
      <c r="T78" s="257">
        <v>0</v>
      </c>
      <c r="U78" s="688"/>
      <c r="V78" s="474">
        <v>0</v>
      </c>
      <c r="W78" s="508">
        <f t="shared" ref="W78" si="36">(V78*X78)</f>
        <v>0</v>
      </c>
      <c r="X78" s="681"/>
      <c r="Y78" s="702">
        <f t="shared" ref="Y78" si="37">IF(D78&lt;&gt;0,($C79*(1-$V$1))-$D78,0)</f>
        <v>-0.16200000000000001</v>
      </c>
      <c r="Z78" s="333">
        <f>IFERROR(IF(C78&lt;&gt;"",$Y$1/(D76/100)*(C78/100),""),"")</f>
        <v>95.446213217559105</v>
      </c>
      <c r="AA78" s="399">
        <f>IFERROR($AA$1/(D78/100)*(C76/100),"")</f>
        <v>105863.58024691358</v>
      </c>
      <c r="AB78" s="38"/>
    </row>
    <row r="79" spans="1:40" ht="12.75" hidden="1" customHeight="1">
      <c r="A79" s="312" t="s">
        <v>585</v>
      </c>
      <c r="B79" s="249"/>
      <c r="C79" s="248"/>
      <c r="D79" s="479"/>
      <c r="E79" s="480"/>
      <c r="F79" s="250"/>
      <c r="G79" s="346"/>
      <c r="H79" s="246"/>
      <c r="I79" s="237"/>
      <c r="J79" s="304"/>
      <c r="K79" s="241">
        <v>0.16400000000000001</v>
      </c>
      <c r="L79" s="244"/>
      <c r="M79" s="241"/>
      <c r="N79" s="244"/>
      <c r="O79" s="301"/>
      <c r="P79" s="310">
        <v>78</v>
      </c>
      <c r="Q79" s="277">
        <v>0</v>
      </c>
      <c r="R79" s="287">
        <v>0</v>
      </c>
      <c r="S79" s="289">
        <v>0</v>
      </c>
      <c r="T79" s="258">
        <v>0</v>
      </c>
      <c r="U79" s="687"/>
      <c r="V79" s="471">
        <v>0</v>
      </c>
      <c r="W79" s="509">
        <f>V78*(F78/100)</f>
        <v>0</v>
      </c>
      <c r="X79" s="683"/>
      <c r="Y79" s="703">
        <f t="shared" ref="Y79" si="38">IFERROR(INT($AA$1/(F78/100)),"")</f>
        <v>61728</v>
      </c>
      <c r="Z79" s="332" t="str">
        <f>IFERROR(IF(C79&lt;&gt;"",$Y$1/(D77/100)*(C79/100),""),"")</f>
        <v/>
      </c>
      <c r="AA79" s="401" t="str">
        <f>IFERROR($AA$1/(D79/100)*(C77/100),"")</f>
        <v/>
      </c>
      <c r="AB79" s="38"/>
    </row>
    <row r="80" spans="1:40" ht="12.75" customHeight="1">
      <c r="A80" s="415" t="s">
        <v>586</v>
      </c>
      <c r="B80" s="261">
        <v>1777521</v>
      </c>
      <c r="C80" s="494">
        <v>0.16900000000000001</v>
      </c>
      <c r="D80" s="495">
        <v>0.17</v>
      </c>
      <c r="E80" s="261">
        <v>219282447</v>
      </c>
      <c r="F80" s="596">
        <v>0.16900000000000001</v>
      </c>
      <c r="G80" s="347">
        <v>-5.7999999999999996E-3</v>
      </c>
      <c r="H80" s="251">
        <v>0.17</v>
      </c>
      <c r="I80" s="238">
        <v>0.17299999999999999</v>
      </c>
      <c r="J80" s="309">
        <v>0.16800000000000001</v>
      </c>
      <c r="K80" s="242">
        <v>0.17</v>
      </c>
      <c r="L80" s="260">
        <v>6202314</v>
      </c>
      <c r="M80" s="242">
        <v>3644002741</v>
      </c>
      <c r="N80" s="260">
        <v>627</v>
      </c>
      <c r="O80" s="302">
        <v>45366.687615740739</v>
      </c>
      <c r="P80" s="311">
        <v>79</v>
      </c>
      <c r="Q80" s="278">
        <v>0</v>
      </c>
      <c r="R80" s="288">
        <v>0</v>
      </c>
      <c r="S80" s="291">
        <v>0</v>
      </c>
      <c r="T80" s="257">
        <v>0</v>
      </c>
      <c r="U80" s="688"/>
      <c r="V80" s="475">
        <v>0</v>
      </c>
      <c r="W80" s="510">
        <f t="shared" si="25"/>
        <v>0</v>
      </c>
      <c r="X80" s="684"/>
      <c r="Y80" s="704">
        <f t="shared" ref="Y80" si="39">IF(D80&lt;&gt;0,($C81*(1-$V$1))-$D80,0)</f>
        <v>-1.0000000000000009E-3</v>
      </c>
      <c r="Z80" s="331">
        <f>IFERROR(IF(C80&lt;&gt;"",$Y$1/(D76/100)*(C80/100),""),"")</f>
        <v>100.18888219731359</v>
      </c>
      <c r="AA80" s="400">
        <f>IFERROR($Z$1/(D80/100)*(C76/100),"")</f>
        <v>100881.76470588233</v>
      </c>
      <c r="AB80" s="38"/>
      <c r="AC80"/>
    </row>
    <row r="81" spans="1:29" ht="12.75" customHeight="1">
      <c r="A81" s="448" t="s">
        <v>587</v>
      </c>
      <c r="B81" s="449">
        <v>130884</v>
      </c>
      <c r="C81" s="433">
        <v>0.16900000000000001</v>
      </c>
      <c r="D81" s="478">
        <v>0.17299999999999999</v>
      </c>
      <c r="E81" s="443">
        <v>86705</v>
      </c>
      <c r="F81" s="595">
        <v>0.16900000000000001</v>
      </c>
      <c r="G81" s="450">
        <v>-1.1599999999999999E-2</v>
      </c>
      <c r="H81" s="436">
        <v>0.16900000000000001</v>
      </c>
      <c r="I81" s="437">
        <v>0.17399999999999999</v>
      </c>
      <c r="J81" s="438">
        <v>0.16700000000000001</v>
      </c>
      <c r="K81" s="439">
        <v>0.17100000000000001</v>
      </c>
      <c r="L81" s="427">
        <v>12139</v>
      </c>
      <c r="M81" s="439">
        <v>7142037</v>
      </c>
      <c r="N81" s="427">
        <v>52</v>
      </c>
      <c r="O81" s="428">
        <v>45366.686898148146</v>
      </c>
      <c r="P81" s="310">
        <v>80</v>
      </c>
      <c r="Q81" s="429">
        <v>0</v>
      </c>
      <c r="R81" s="451">
        <v>0</v>
      </c>
      <c r="S81" s="431">
        <v>0</v>
      </c>
      <c r="T81" s="442">
        <v>0</v>
      </c>
      <c r="U81" s="687"/>
      <c r="V81" s="472">
        <v>0</v>
      </c>
      <c r="W81" s="511">
        <f>V80*(F80/100)</f>
        <v>0</v>
      </c>
      <c r="X81" s="682"/>
      <c r="Y81" s="705">
        <f t="shared" ref="Y81" si="40">IFERROR(INT($Z$1/(F80/100)),"")</f>
        <v>59171</v>
      </c>
      <c r="Z81" s="445">
        <f>IFERROR(IF(C81&lt;&gt;"",$Y$1/(D77/100)*(C81/100),""),"")</f>
        <v>99.905093814882903</v>
      </c>
      <c r="AA81" s="452">
        <f>IFERROR($Z$1/(D81/100)*(C77/100),"")</f>
        <v>99710.982658959547</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8"/>
      <c r="V82" s="458">
        <v>487</v>
      </c>
      <c r="W82" s="512">
        <f t="shared" si="25"/>
        <v>508915</v>
      </c>
      <c r="X82" s="681">
        <v>1045</v>
      </c>
      <c r="Y82" s="503">
        <f t="shared" ref="Y82" si="41">IF(D82&lt;&gt;0,($C83*(1-$V$1))-$D82,0)</f>
        <v>0</v>
      </c>
      <c r="Z82" s="477"/>
      <c r="AA82" s="349"/>
      <c r="AB82" s="38"/>
      <c r="AC82"/>
    </row>
    <row r="83" spans="1:29" ht="12.75" customHeight="1">
      <c r="A83" s="284" t="s">
        <v>622</v>
      </c>
      <c r="B83" s="249">
        <v>37</v>
      </c>
      <c r="C83" s="248">
        <v>97500</v>
      </c>
      <c r="D83" s="479">
        <v>108300</v>
      </c>
      <c r="E83" s="480">
        <v>2228</v>
      </c>
      <c r="F83" s="250"/>
      <c r="G83" s="346"/>
      <c r="H83" s="246"/>
      <c r="I83" s="237"/>
      <c r="J83" s="304"/>
      <c r="K83" s="241">
        <v>105000</v>
      </c>
      <c r="L83" s="244"/>
      <c r="M83" s="241"/>
      <c r="N83" s="244"/>
      <c r="O83" s="301"/>
      <c r="P83" s="310">
        <v>82</v>
      </c>
      <c r="Q83" s="277">
        <v>0</v>
      </c>
      <c r="R83" s="287">
        <v>0</v>
      </c>
      <c r="S83" s="289">
        <v>0</v>
      </c>
      <c r="T83" s="258">
        <v>0</v>
      </c>
      <c r="U83" s="687"/>
      <c r="V83" s="457"/>
      <c r="W83" s="507">
        <f>V82*(D83/100)</f>
        <v>527421</v>
      </c>
      <c r="X83" s="683"/>
      <c r="Y83" s="701"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8"/>
      <c r="V84" s="327"/>
      <c r="W84" s="508">
        <f t="shared" ref="W84" si="43">(V84*X84)</f>
        <v>0</v>
      </c>
      <c r="X84" s="681"/>
      <c r="Y84" s="702">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c r="E85" s="480"/>
      <c r="F85" s="250"/>
      <c r="G85" s="346"/>
      <c r="H85" s="246"/>
      <c r="I85" s="237"/>
      <c r="J85" s="304"/>
      <c r="K85" s="241"/>
      <c r="L85" s="244"/>
      <c r="M85" s="241"/>
      <c r="N85" s="244"/>
      <c r="O85" s="301"/>
      <c r="P85" s="310">
        <v>84</v>
      </c>
      <c r="Q85" s="277">
        <v>0</v>
      </c>
      <c r="R85" s="287">
        <v>0</v>
      </c>
      <c r="S85" s="289">
        <v>0</v>
      </c>
      <c r="T85" s="258">
        <v>0</v>
      </c>
      <c r="U85" s="687"/>
      <c r="V85" s="326">
        <v>0</v>
      </c>
      <c r="W85" s="509">
        <f>V84*(F84/100)</f>
        <v>0</v>
      </c>
      <c r="X85" s="683"/>
      <c r="Y85" s="703" t="str">
        <f t="shared" ref="Y85" si="45">IFERROR(INT($AA$1/(F84/100)),"")</f>
        <v/>
      </c>
      <c r="Z85" s="332" t="str">
        <f>IFERROR(IF(C85&lt;&gt;"",$Y$1/(D83/100)*(C85/100),""),"")</f>
        <v/>
      </c>
      <c r="AA85" s="401" t="str">
        <f>IFERROR($AA$1/(D85/100)*(C83/100),"")</f>
        <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8"/>
      <c r="V86" s="455">
        <v>0</v>
      </c>
      <c r="W86" s="510">
        <f t="shared" ref="W86" si="46">(V86*X86)</f>
        <v>0</v>
      </c>
      <c r="X86" s="684"/>
      <c r="Y86" s="704">
        <f t="shared" ref="Y86" si="47">IF(D86&lt;&gt;0,($C87*(1-$V$1))-$D86,0)</f>
        <v>0</v>
      </c>
      <c r="Z86" s="331" t="str">
        <f>IFERROR(IF(C86&lt;&gt;"",$Y$1/(D82/100)*(C86/100),""),"")</f>
        <v/>
      </c>
      <c r="AA86" s="400" t="str">
        <f>IFERROR($Z$1/(D86/100)*(C82/100),"")</f>
        <v/>
      </c>
      <c r="AB86" s="38"/>
      <c r="AC86"/>
    </row>
    <row r="87" spans="1:29" ht="12.75" customHeight="1">
      <c r="A87" s="448" t="s">
        <v>626</v>
      </c>
      <c r="B87" s="449"/>
      <c r="C87" s="433"/>
      <c r="D87" s="478"/>
      <c r="E87" s="443"/>
      <c r="F87" s="595"/>
      <c r="G87" s="450"/>
      <c r="H87" s="436"/>
      <c r="I87" s="437"/>
      <c r="J87" s="438"/>
      <c r="K87" s="439">
        <v>100.5</v>
      </c>
      <c r="L87" s="427"/>
      <c r="M87" s="439"/>
      <c r="N87" s="427"/>
      <c r="O87" s="428"/>
      <c r="P87" s="310">
        <v>86</v>
      </c>
      <c r="Q87" s="429">
        <v>0</v>
      </c>
      <c r="R87" s="451">
        <v>0</v>
      </c>
      <c r="S87" s="431">
        <v>0</v>
      </c>
      <c r="T87" s="442">
        <v>0</v>
      </c>
      <c r="U87" s="687"/>
      <c r="V87" s="456">
        <v>0</v>
      </c>
      <c r="W87" s="513">
        <f>V86*(F86/100)</f>
        <v>0</v>
      </c>
      <c r="X87" s="682"/>
      <c r="Y87" s="705" t="str">
        <f t="shared" ref="Y87" si="48">IFERROR(INT($Z$1/(F86/100)),"")</f>
        <v/>
      </c>
      <c r="Z87" s="445" t="str">
        <f>IFERROR(IF(C87&lt;&gt;"",$Y$1/(D83/100)*(C87/100),""),"")</f>
        <v/>
      </c>
      <c r="AA87" s="452" t="str">
        <f>IFERROR($Z$1/(D87/100)*(C83/100),"")</f>
        <v/>
      </c>
      <c r="AB87" s="38"/>
      <c r="AC87"/>
    </row>
    <row r="88" spans="1:29" ht="12.75" customHeight="1">
      <c r="A88" s="285" t="s">
        <v>568</v>
      </c>
      <c r="B88" s="261">
        <v>10</v>
      </c>
      <c r="C88" s="335">
        <v>83770</v>
      </c>
      <c r="D88" s="270">
        <v>84500</v>
      </c>
      <c r="E88" s="261">
        <v>250</v>
      </c>
      <c r="F88" s="292">
        <v>83770</v>
      </c>
      <c r="G88" s="344">
        <v>3.2000000000000002E-3</v>
      </c>
      <c r="H88" s="247">
        <v>84400</v>
      </c>
      <c r="I88" s="239">
        <v>84950</v>
      </c>
      <c r="J88" s="306">
        <v>82500</v>
      </c>
      <c r="K88" s="243">
        <v>83500</v>
      </c>
      <c r="L88" s="266">
        <v>42229076</v>
      </c>
      <c r="M88" s="243">
        <v>50262</v>
      </c>
      <c r="N88" s="266">
        <v>236</v>
      </c>
      <c r="O88" s="300">
        <v>45366.687696759262</v>
      </c>
      <c r="P88" s="311">
        <v>87</v>
      </c>
      <c r="Q88" s="279">
        <v>0</v>
      </c>
      <c r="R88" s="286">
        <v>0</v>
      </c>
      <c r="S88" s="290">
        <v>0</v>
      </c>
      <c r="T88" s="259">
        <v>0</v>
      </c>
      <c r="U88" s="688"/>
      <c r="V88" s="458"/>
      <c r="W88" s="512">
        <f t="shared" ref="W88" si="49">(V88*X88)</f>
        <v>0</v>
      </c>
      <c r="X88" s="681"/>
      <c r="Y88" s="503">
        <f t="shared" ref="Y88" si="50">IF(D88&lt;&gt;0,($C89*(1-$V$1))-$D88,0)</f>
        <v>200</v>
      </c>
      <c r="Z88" s="477"/>
      <c r="AA88" s="349"/>
      <c r="AB88" s="38"/>
      <c r="AC88"/>
    </row>
    <row r="89" spans="1:29" ht="12.75" customHeight="1">
      <c r="A89" s="284" t="s">
        <v>569</v>
      </c>
      <c r="B89" s="249">
        <v>3329</v>
      </c>
      <c r="C89" s="248">
        <v>84700</v>
      </c>
      <c r="D89" s="479">
        <v>84740</v>
      </c>
      <c r="E89" s="480">
        <v>4855</v>
      </c>
      <c r="F89" s="250">
        <v>84740</v>
      </c>
      <c r="G89" s="346">
        <v>3.4999999999999996E-3</v>
      </c>
      <c r="H89" s="246">
        <v>84440</v>
      </c>
      <c r="I89" s="237">
        <v>85950</v>
      </c>
      <c r="J89" s="304">
        <v>82100</v>
      </c>
      <c r="K89" s="241">
        <v>84440</v>
      </c>
      <c r="L89" s="244">
        <v>282507598</v>
      </c>
      <c r="M89" s="241">
        <v>333748</v>
      </c>
      <c r="N89" s="244">
        <v>920</v>
      </c>
      <c r="O89" s="301">
        <v>45366.687708333331</v>
      </c>
      <c r="P89" s="310">
        <v>88</v>
      </c>
      <c r="Q89" s="277">
        <v>0</v>
      </c>
      <c r="R89" s="287">
        <v>0</v>
      </c>
      <c r="S89" s="289">
        <v>0</v>
      </c>
      <c r="T89" s="258">
        <v>0</v>
      </c>
      <c r="U89" s="687"/>
      <c r="V89" s="457">
        <v>0</v>
      </c>
      <c r="W89" s="507">
        <f>V88*(F88/100)</f>
        <v>0</v>
      </c>
      <c r="X89" s="683"/>
      <c r="Y89" s="701">
        <f t="shared" ref="Y89" si="51">IFERROR(INT($Y$1/(F88/100)),"")</f>
        <v>122</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8"/>
      <c r="V90" s="327"/>
      <c r="W90" s="508">
        <f t="shared" ref="W90" si="52">(V90*X90)</f>
        <v>0</v>
      </c>
      <c r="X90" s="681"/>
      <c r="Y90" s="702">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7"/>
      <c r="V91" s="326">
        <v>0</v>
      </c>
      <c r="W91" s="509">
        <f>V90*(F90/100)</f>
        <v>0</v>
      </c>
      <c r="X91" s="683"/>
      <c r="Y91" s="703" t="str">
        <f t="shared" ref="Y91" si="54">IFERROR(INT($AA$1/(F90/100)),"")</f>
        <v/>
      </c>
      <c r="Z91" s="332" t="str">
        <f>IFERROR(IF(C91&lt;&gt;"",$Y$1/(D89/100)*(C91/100),""),"")</f>
        <v/>
      </c>
      <c r="AA91" s="401" t="str">
        <f>IFERROR($AA$1/(D91/100)*(C89/100),"")</f>
        <v/>
      </c>
      <c r="AB91" s="38"/>
      <c r="AC91"/>
    </row>
    <row r="92" spans="1:29" ht="12.75" customHeight="1">
      <c r="A92" s="415" t="s">
        <v>572</v>
      </c>
      <c r="B92" s="261">
        <v>63082</v>
      </c>
      <c r="C92" s="335">
        <v>83</v>
      </c>
      <c r="D92" s="270">
        <v>83.2</v>
      </c>
      <c r="E92" s="261">
        <v>20586</v>
      </c>
      <c r="F92" s="596">
        <v>83.2</v>
      </c>
      <c r="G92" s="347">
        <v>-5.8999999999999999E-3</v>
      </c>
      <c r="H92" s="251">
        <v>83.98</v>
      </c>
      <c r="I92" s="238">
        <v>83.98</v>
      </c>
      <c r="J92" s="238">
        <v>82.71</v>
      </c>
      <c r="K92" s="275">
        <v>83.7</v>
      </c>
      <c r="L92" s="260">
        <v>13285</v>
      </c>
      <c r="M92" s="242">
        <v>15937</v>
      </c>
      <c r="N92" s="260">
        <v>32</v>
      </c>
      <c r="O92" s="302">
        <v>45366.685127314813</v>
      </c>
      <c r="P92" s="311">
        <v>91</v>
      </c>
      <c r="Q92" s="278">
        <v>0</v>
      </c>
      <c r="R92" s="288">
        <v>0</v>
      </c>
      <c r="S92" s="291">
        <v>0</v>
      </c>
      <c r="T92" s="257">
        <v>0</v>
      </c>
      <c r="U92" s="688"/>
      <c r="V92" s="455">
        <v>0</v>
      </c>
      <c r="W92" s="510">
        <f t="shared" ref="W92" si="55">(V92*X92)</f>
        <v>0</v>
      </c>
      <c r="X92" s="684"/>
      <c r="Y92" s="704">
        <f t="shared" ref="Y92" si="56">IF(D92&lt;&gt;0,($C93*(1-$V$1))-$D92,0)</f>
        <v>-0.29000000000000625</v>
      </c>
      <c r="Z92" s="331">
        <f>IFERROR(IF(C92&lt;&gt;"",$Y$1/(D88/100)*(C92/100),""),"")</f>
        <v>100.44846615034749</v>
      </c>
      <c r="AA92" s="400">
        <f>IFERROR($Z$1/(D92/100)*(C88/100),"")</f>
        <v>100685.09615384614</v>
      </c>
      <c r="AB92" s="38"/>
      <c r="AC92"/>
    </row>
    <row r="93" spans="1:29" ht="12.75" customHeight="1">
      <c r="A93" s="448" t="s">
        <v>573</v>
      </c>
      <c r="B93" s="449">
        <v>190</v>
      </c>
      <c r="C93" s="433">
        <v>82.91</v>
      </c>
      <c r="D93" s="478">
        <v>82.92</v>
      </c>
      <c r="E93" s="443">
        <v>561</v>
      </c>
      <c r="F93" s="595">
        <v>82.91</v>
      </c>
      <c r="G93" s="450">
        <v>-1.01E-2</v>
      </c>
      <c r="H93" s="436">
        <v>83.7</v>
      </c>
      <c r="I93" s="437">
        <v>83.7</v>
      </c>
      <c r="J93" s="437">
        <v>82.8</v>
      </c>
      <c r="K93" s="453">
        <v>83.76</v>
      </c>
      <c r="L93" s="427">
        <v>293171</v>
      </c>
      <c r="M93" s="439">
        <v>352476</v>
      </c>
      <c r="N93" s="427">
        <v>486</v>
      </c>
      <c r="O93" s="428">
        <v>45366.687708333331</v>
      </c>
      <c r="P93" s="310">
        <v>92</v>
      </c>
      <c r="Q93" s="429">
        <v>0</v>
      </c>
      <c r="R93" s="451">
        <v>0</v>
      </c>
      <c r="S93" s="431">
        <v>0</v>
      </c>
      <c r="T93" s="442">
        <v>0</v>
      </c>
      <c r="U93" s="687"/>
      <c r="V93" s="456">
        <v>0</v>
      </c>
      <c r="W93" s="513">
        <f>V92*(F92/100)</f>
        <v>0</v>
      </c>
      <c r="X93" s="682"/>
      <c r="Y93" s="705">
        <f t="shared" ref="Y93" si="57">IFERROR(INT($Z$1/(F92/100)),"")</f>
        <v>120</v>
      </c>
      <c r="Z93" s="445">
        <f>IFERROR(IF(C93&lt;&gt;"",$Y$1/(D89/100)*(C93/100),""),"")</f>
        <v>100.05536520787734</v>
      </c>
      <c r="AA93" s="452">
        <f>IFERROR($Z$1/(D93/100)*(C89/100),"")</f>
        <v>102146.64737095995</v>
      </c>
      <c r="AB93" s="38"/>
      <c r="AC93"/>
    </row>
    <row r="94" spans="1:29" ht="12.75" customHeight="1">
      <c r="A94" s="285" t="s">
        <v>535</v>
      </c>
      <c r="B94" s="261">
        <v>178</v>
      </c>
      <c r="C94" s="335">
        <v>41365</v>
      </c>
      <c r="D94" s="270">
        <v>42385</v>
      </c>
      <c r="E94" s="261">
        <v>295</v>
      </c>
      <c r="F94" s="292">
        <v>42390</v>
      </c>
      <c r="G94" s="344">
        <v>3.8900000000000004E-2</v>
      </c>
      <c r="H94" s="247">
        <v>41495</v>
      </c>
      <c r="I94" s="239">
        <v>42395</v>
      </c>
      <c r="J94" s="239">
        <v>40295</v>
      </c>
      <c r="K94" s="274">
        <v>40800</v>
      </c>
      <c r="L94" s="266">
        <v>62542245</v>
      </c>
      <c r="M94" s="243">
        <v>151899</v>
      </c>
      <c r="N94" s="266">
        <v>164</v>
      </c>
      <c r="O94" s="300">
        <v>45366.685185185182</v>
      </c>
      <c r="P94" s="311">
        <v>93</v>
      </c>
      <c r="Q94" s="279">
        <v>0</v>
      </c>
      <c r="R94" s="286">
        <v>0</v>
      </c>
      <c r="S94" s="290">
        <v>0</v>
      </c>
      <c r="T94" s="259">
        <v>0</v>
      </c>
      <c r="U94" s="688"/>
      <c r="V94" s="458">
        <v>0</v>
      </c>
      <c r="W94" s="512">
        <f t="shared" ref="W94" si="58">(V94*X94)</f>
        <v>0</v>
      </c>
      <c r="X94" s="681"/>
      <c r="Y94" s="503">
        <f t="shared" ref="Y94" si="59">IF(D94&lt;&gt;0,($C95*(1-$V$1))-$D94,0)</f>
        <v>-775</v>
      </c>
      <c r="Z94" s="477"/>
      <c r="AA94" s="349"/>
      <c r="AB94" s="38"/>
      <c r="AC94"/>
    </row>
    <row r="95" spans="1:29" ht="12.75" customHeight="1">
      <c r="A95" s="284" t="s">
        <v>536</v>
      </c>
      <c r="B95" s="249">
        <v>500</v>
      </c>
      <c r="C95" s="248">
        <v>41610</v>
      </c>
      <c r="D95" s="479">
        <v>41995</v>
      </c>
      <c r="E95" s="480">
        <v>2000</v>
      </c>
      <c r="F95" s="250">
        <v>42000</v>
      </c>
      <c r="G95" s="346">
        <v>2.81E-2</v>
      </c>
      <c r="H95" s="246">
        <v>41800</v>
      </c>
      <c r="I95" s="237">
        <v>43500</v>
      </c>
      <c r="J95" s="237">
        <v>40450</v>
      </c>
      <c r="K95" s="272">
        <v>40850</v>
      </c>
      <c r="L95" s="244">
        <v>267300739</v>
      </c>
      <c r="M95" s="241">
        <v>647242</v>
      </c>
      <c r="N95" s="244">
        <v>482</v>
      </c>
      <c r="O95" s="301">
        <v>45366.687060185184</v>
      </c>
      <c r="P95" s="310">
        <v>94</v>
      </c>
      <c r="Q95" s="277">
        <v>0</v>
      </c>
      <c r="R95" s="287">
        <v>0</v>
      </c>
      <c r="S95" s="289">
        <v>0</v>
      </c>
      <c r="T95" s="258">
        <v>0</v>
      </c>
      <c r="U95" s="687"/>
      <c r="V95" s="457">
        <v>0</v>
      </c>
      <c r="W95" s="507">
        <f>V94*(F94/100)</f>
        <v>0</v>
      </c>
      <c r="X95" s="683"/>
      <c r="Y95" s="701">
        <f t="shared" ref="Y95" si="60">IFERROR(INT($Y$1/(F94/100)),"")</f>
        <v>241</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8"/>
      <c r="V96" s="327"/>
      <c r="W96" s="508">
        <f t="shared" ref="W96" si="61">(V96*X96)</f>
        <v>0</v>
      </c>
      <c r="X96" s="681"/>
      <c r="Y96" s="702">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7"/>
      <c r="V97" s="326">
        <v>0</v>
      </c>
      <c r="W97" s="509">
        <f>V96*(F96/100)</f>
        <v>0</v>
      </c>
      <c r="X97" s="683"/>
      <c r="Y97" s="703" t="str">
        <f t="shared" ref="Y97" si="63">IFERROR(INT($AA$1/(F96/100)),"")</f>
        <v/>
      </c>
      <c r="Z97" s="332" t="str">
        <f>IFERROR(IF(C97&lt;&gt;"",$Y$1/(D95/100)*(C97/100),""),"")</f>
        <v/>
      </c>
      <c r="AA97" s="401" t="str">
        <f>IFERROR($AA$1/(D97/100)*(C95/100),"")</f>
        <v/>
      </c>
      <c r="AB97" s="38"/>
    </row>
    <row r="98" spans="1:29" ht="12.75" customHeight="1">
      <c r="A98" s="415" t="s">
        <v>539</v>
      </c>
      <c r="B98" s="261">
        <v>302</v>
      </c>
      <c r="C98" s="335">
        <v>40.799999999999997</v>
      </c>
      <c r="D98" s="270">
        <v>41.249000000000002</v>
      </c>
      <c r="E98" s="261">
        <v>14859</v>
      </c>
      <c r="F98" s="596">
        <v>40.799999999999997</v>
      </c>
      <c r="G98" s="347">
        <v>1.49E-2</v>
      </c>
      <c r="H98" s="251">
        <v>40.799999999999997</v>
      </c>
      <c r="I98" s="238">
        <v>41.5</v>
      </c>
      <c r="J98" s="238">
        <v>40.25</v>
      </c>
      <c r="K98" s="275">
        <v>40.200000000000003</v>
      </c>
      <c r="L98" s="260">
        <v>22354</v>
      </c>
      <c r="M98" s="242">
        <v>54657</v>
      </c>
      <c r="N98" s="260">
        <v>47</v>
      </c>
      <c r="O98" s="302">
        <v>45366.668645833335</v>
      </c>
      <c r="P98" s="311">
        <v>97</v>
      </c>
      <c r="Q98" s="278">
        <v>0</v>
      </c>
      <c r="R98" s="288">
        <v>0</v>
      </c>
      <c r="S98" s="291">
        <v>0</v>
      </c>
      <c r="T98" s="257">
        <v>0</v>
      </c>
      <c r="U98" s="688"/>
      <c r="V98" s="455">
        <v>0</v>
      </c>
      <c r="W98" s="510">
        <f t="shared" ref="W98" si="64">(V98*X98)</f>
        <v>0</v>
      </c>
      <c r="X98" s="684"/>
      <c r="Y98" s="704">
        <f t="shared" ref="Y98" si="65">IF(D98&lt;&gt;0,($C99*(1-$V$1))-$D98,0)</f>
        <v>-0.59900000000000375</v>
      </c>
      <c r="Z98" s="331">
        <f>IFERROR(IF(C98&lt;&gt;"",$Y$1/(D94/100)*(C98/100),""),"")</f>
        <v>98.439613894986692</v>
      </c>
      <c r="AA98" s="400">
        <f>IFERROR($Z$1/(D98/100)*(C94/100),"")</f>
        <v>100281.21893864093</v>
      </c>
      <c r="AB98" s="38"/>
      <c r="AC98" s="11"/>
    </row>
    <row r="99" spans="1:29" ht="12.75" customHeight="1">
      <c r="A99" s="448" t="s">
        <v>540</v>
      </c>
      <c r="B99" s="449">
        <v>1000</v>
      </c>
      <c r="C99" s="433">
        <v>40.65</v>
      </c>
      <c r="D99" s="478">
        <v>40.950000000000003</v>
      </c>
      <c r="E99" s="443">
        <v>1211</v>
      </c>
      <c r="F99" s="595">
        <v>40.950000000000003</v>
      </c>
      <c r="G99" s="450">
        <v>1.61E-2</v>
      </c>
      <c r="H99" s="436">
        <v>40.299999999999997</v>
      </c>
      <c r="I99" s="437">
        <v>41.5</v>
      </c>
      <c r="J99" s="437">
        <v>39.502000000000002</v>
      </c>
      <c r="K99" s="453">
        <v>40.299999999999997</v>
      </c>
      <c r="L99" s="427">
        <v>115792</v>
      </c>
      <c r="M99" s="439">
        <v>282273</v>
      </c>
      <c r="N99" s="427">
        <v>86</v>
      </c>
      <c r="O99" s="428">
        <v>45366.68037037037</v>
      </c>
      <c r="P99" s="310">
        <v>98</v>
      </c>
      <c r="Q99" s="429">
        <v>0</v>
      </c>
      <c r="R99" s="451">
        <v>0</v>
      </c>
      <c r="S99" s="431">
        <v>0</v>
      </c>
      <c r="T99" s="442">
        <v>0</v>
      </c>
      <c r="U99" s="687"/>
      <c r="V99" s="456">
        <v>0</v>
      </c>
      <c r="W99" s="513">
        <f>V98*(F98/100)</f>
        <v>0</v>
      </c>
      <c r="X99" s="682"/>
      <c r="Y99" s="705">
        <f t="shared" ref="Y99" si="66">IFERROR(INT($Z$1/(F98/100)),"")</f>
        <v>245</v>
      </c>
      <c r="Z99" s="445">
        <f>IFERROR(IF(C99&lt;&gt;"",$Y$1/(D95/100)*(C99/100),""),"")</f>
        <v>98.988533514885532</v>
      </c>
      <c r="AA99" s="452">
        <f>IFERROR($Z$1/(D99/100)*(C95/100),"")</f>
        <v>101611.72161172162</v>
      </c>
      <c r="AB99" s="38"/>
      <c r="AC99" s="11"/>
    </row>
    <row r="100" spans="1:29" ht="12.75" customHeight="1">
      <c r="A100" s="285" t="s">
        <v>576</v>
      </c>
      <c r="B100" s="261">
        <v>2000</v>
      </c>
      <c r="C100" s="335">
        <v>24610</v>
      </c>
      <c r="D100" s="270">
        <v>25200</v>
      </c>
      <c r="E100" s="261">
        <v>2000</v>
      </c>
      <c r="F100" s="292">
        <v>24570</v>
      </c>
      <c r="G100" s="344">
        <v>2.3700000000000002E-2</v>
      </c>
      <c r="H100" s="247">
        <v>24900</v>
      </c>
      <c r="I100" s="239">
        <v>25500</v>
      </c>
      <c r="J100" s="239">
        <v>24570</v>
      </c>
      <c r="K100" s="274">
        <v>24000</v>
      </c>
      <c r="L100" s="266">
        <v>840096</v>
      </c>
      <c r="M100" s="243">
        <v>3372</v>
      </c>
      <c r="N100" s="266">
        <v>5</v>
      </c>
      <c r="O100" s="300">
        <v>45366.658842592595</v>
      </c>
      <c r="P100" s="311">
        <v>99</v>
      </c>
      <c r="Q100" s="279">
        <v>0</v>
      </c>
      <c r="R100" s="286">
        <v>0</v>
      </c>
      <c r="S100" s="290">
        <v>0</v>
      </c>
      <c r="T100" s="259">
        <v>0</v>
      </c>
      <c r="U100" s="688"/>
      <c r="V100" s="458">
        <v>0</v>
      </c>
      <c r="W100" s="512">
        <f t="shared" ref="W100" si="67">(V100*X100)</f>
        <v>0</v>
      </c>
      <c r="X100" s="681"/>
      <c r="Y100" s="503">
        <f t="shared" ref="Y100" si="68">IF(D100&lt;&gt;0,($C101*(1-$V$1))-$D100,0)</f>
        <v>-500</v>
      </c>
      <c r="Z100" s="477"/>
      <c r="AA100" s="349"/>
      <c r="AB100" s="38"/>
      <c r="AC100" s="11"/>
    </row>
    <row r="101" spans="1:29" ht="12.75" customHeight="1">
      <c r="A101" s="284" t="s">
        <v>577</v>
      </c>
      <c r="B101" s="249">
        <v>8617</v>
      </c>
      <c r="C101" s="248">
        <v>24700</v>
      </c>
      <c r="D101" s="479">
        <v>24710</v>
      </c>
      <c r="E101" s="480">
        <v>802</v>
      </c>
      <c r="F101" s="250">
        <v>24710</v>
      </c>
      <c r="G101" s="346">
        <v>-7.6E-3</v>
      </c>
      <c r="H101" s="246">
        <v>24620</v>
      </c>
      <c r="I101" s="237">
        <v>25500</v>
      </c>
      <c r="J101" s="237">
        <v>24620</v>
      </c>
      <c r="K101" s="272">
        <v>24900</v>
      </c>
      <c r="L101" s="244">
        <v>17609475</v>
      </c>
      <c r="M101" s="241">
        <v>70104</v>
      </c>
      <c r="N101" s="244">
        <v>93</v>
      </c>
      <c r="O101" s="301">
        <v>45366.687465277777</v>
      </c>
      <c r="P101" s="310">
        <v>100</v>
      </c>
      <c r="Q101" s="277">
        <v>0</v>
      </c>
      <c r="R101" s="287">
        <v>0</v>
      </c>
      <c r="S101" s="289">
        <v>0</v>
      </c>
      <c r="T101" s="258">
        <v>0</v>
      </c>
      <c r="U101" s="687"/>
      <c r="V101" s="457">
        <v>0</v>
      </c>
      <c r="W101" s="507">
        <f>V100*(F100/100)</f>
        <v>0</v>
      </c>
      <c r="X101" s="683"/>
      <c r="Y101" s="701">
        <f t="shared" ref="Y101" si="69">IFERROR(INT($Y$1/(F100/100)),"")</f>
        <v>416</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8"/>
      <c r="V102" s="327"/>
      <c r="W102" s="508">
        <f t="shared" ref="W102" si="70">(V102*X102)</f>
        <v>0</v>
      </c>
      <c r="X102" s="681"/>
      <c r="Y102" s="702">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v>31</v>
      </c>
      <c r="E103" s="480">
        <v>10586</v>
      </c>
      <c r="F103" s="250"/>
      <c r="G103" s="346"/>
      <c r="H103" s="246"/>
      <c r="I103" s="237"/>
      <c r="J103" s="237"/>
      <c r="K103" s="272">
        <v>31</v>
      </c>
      <c r="L103" s="244"/>
      <c r="M103" s="241"/>
      <c r="N103" s="244"/>
      <c r="O103" s="301"/>
      <c r="P103" s="310">
        <v>102</v>
      </c>
      <c r="Q103" s="277">
        <v>0</v>
      </c>
      <c r="R103" s="287">
        <v>0</v>
      </c>
      <c r="S103" s="289">
        <v>0</v>
      </c>
      <c r="T103" s="258">
        <v>0</v>
      </c>
      <c r="U103" s="687"/>
      <c r="V103" s="326">
        <v>0</v>
      </c>
      <c r="W103" s="509">
        <f>V102*(F102/100)</f>
        <v>0</v>
      </c>
      <c r="X103" s="683"/>
      <c r="Y103" s="703" t="str">
        <f t="shared" ref="Y103" si="72">IFERROR(INT($AA$1/(F102/100)),"")</f>
        <v/>
      </c>
      <c r="Z103" s="332" t="str">
        <f>IFERROR(IF(C103&lt;&gt;"",$Y$1/(D101/100)*(C103/100),""),"")</f>
        <v/>
      </c>
      <c r="AA103" s="401">
        <f>IFERROR($AA$1/(D103/100)*(C101/100),"")</f>
        <v>79677.419354838712</v>
      </c>
      <c r="AB103" s="38"/>
      <c r="AC103" s="11"/>
    </row>
    <row r="104" spans="1:29" ht="12.75" customHeight="1">
      <c r="A104" s="415" t="s">
        <v>580</v>
      </c>
      <c r="B104" s="261">
        <v>20000</v>
      </c>
      <c r="C104" s="335">
        <v>24.4</v>
      </c>
      <c r="D104" s="270">
        <v>25.5</v>
      </c>
      <c r="E104" s="261">
        <v>2000</v>
      </c>
      <c r="F104" s="596"/>
      <c r="G104" s="347"/>
      <c r="H104" s="251"/>
      <c r="I104" s="238"/>
      <c r="J104" s="238"/>
      <c r="K104" s="275">
        <v>23.9</v>
      </c>
      <c r="L104" s="260"/>
      <c r="M104" s="242"/>
      <c r="N104" s="260"/>
      <c r="O104" s="302"/>
      <c r="P104" s="311">
        <v>103</v>
      </c>
      <c r="Q104" s="278">
        <v>0</v>
      </c>
      <c r="R104" s="288">
        <v>0</v>
      </c>
      <c r="S104" s="291">
        <v>0</v>
      </c>
      <c r="T104" s="257">
        <v>0</v>
      </c>
      <c r="U104" s="688"/>
      <c r="V104" s="455">
        <v>0</v>
      </c>
      <c r="W104" s="510">
        <f t="shared" ref="W104" si="73">(V104*X104)</f>
        <v>0</v>
      </c>
      <c r="X104" s="684"/>
      <c r="Y104" s="704">
        <f t="shared" ref="Y104" si="74">IF(D104&lt;&gt;0,($C105*(1-$V$1))-$D104,0)</f>
        <v>-0.94999999999999929</v>
      </c>
      <c r="Z104" s="331">
        <f>IFERROR(IF(C104&lt;&gt;"",$Y$1/(D100/100)*(C104/100),""),"")</f>
        <v>99.017330038624223</v>
      </c>
      <c r="AA104" s="400">
        <f>IFERROR($Z$1/(D104/100)*(C100/100),"")</f>
        <v>96509.803921568615</v>
      </c>
      <c r="AB104" s="38"/>
      <c r="AC104" s="11"/>
    </row>
    <row r="105" spans="1:29" ht="12.75" customHeight="1">
      <c r="A105" s="448" t="s">
        <v>581</v>
      </c>
      <c r="B105" s="449">
        <v>2675</v>
      </c>
      <c r="C105" s="433">
        <v>24.55</v>
      </c>
      <c r="D105" s="478">
        <v>25.3</v>
      </c>
      <c r="E105" s="443">
        <v>150</v>
      </c>
      <c r="F105" s="595">
        <v>24.6</v>
      </c>
      <c r="G105" s="450">
        <v>4.0000000000000001E-3</v>
      </c>
      <c r="H105" s="436">
        <v>24.4</v>
      </c>
      <c r="I105" s="437">
        <v>25.77</v>
      </c>
      <c r="J105" s="437">
        <v>24.4</v>
      </c>
      <c r="K105" s="453">
        <v>24.5</v>
      </c>
      <c r="L105" s="427">
        <v>7548</v>
      </c>
      <c r="M105" s="439">
        <v>29966</v>
      </c>
      <c r="N105" s="427">
        <v>36</v>
      </c>
      <c r="O105" s="428">
        <v>45366.681689814817</v>
      </c>
      <c r="P105" s="310">
        <v>104</v>
      </c>
      <c r="Q105" s="429">
        <v>0</v>
      </c>
      <c r="R105" s="451">
        <v>0</v>
      </c>
      <c r="S105" s="431">
        <v>0</v>
      </c>
      <c r="T105" s="442">
        <v>0</v>
      </c>
      <c r="U105" s="687"/>
      <c r="V105" s="456">
        <v>0</v>
      </c>
      <c r="W105" s="513">
        <f>V104*(F104/100)</f>
        <v>0</v>
      </c>
      <c r="X105" s="682"/>
      <c r="Y105" s="705" t="str">
        <f t="shared" ref="Y105" si="75">IFERROR(INT($Z$1/(F104/100)),"")</f>
        <v/>
      </c>
      <c r="Z105" s="445">
        <f>IFERROR(IF(C105&lt;&gt;"",$Y$1/(D101/100)*(C105/100),""),"")</f>
        <v>101.60163039072133</v>
      </c>
      <c r="AA105" s="452">
        <f>IFERROR($Z$1/(D105/100)*(C101/100),"")</f>
        <v>97628.458498023712</v>
      </c>
      <c r="AB105" s="38"/>
    </row>
    <row r="106" spans="1:29" ht="12.75" customHeight="1">
      <c r="A106" s="285" t="s">
        <v>627</v>
      </c>
      <c r="B106" s="261">
        <v>31</v>
      </c>
      <c r="C106" s="335">
        <v>90570</v>
      </c>
      <c r="D106" s="270">
        <v>92000</v>
      </c>
      <c r="E106" s="261">
        <v>27</v>
      </c>
      <c r="F106" s="292">
        <v>90530</v>
      </c>
      <c r="G106" s="344">
        <v>1.4000000000000002E-3</v>
      </c>
      <c r="H106" s="247">
        <v>91300</v>
      </c>
      <c r="I106" s="239">
        <v>91300</v>
      </c>
      <c r="J106" s="239">
        <v>89000</v>
      </c>
      <c r="K106" s="274">
        <v>90400</v>
      </c>
      <c r="L106" s="266">
        <v>48728650</v>
      </c>
      <c r="M106" s="243">
        <v>54207</v>
      </c>
      <c r="N106" s="266">
        <v>67</v>
      </c>
      <c r="O106" s="300">
        <v>45366.665891203702</v>
      </c>
      <c r="P106" s="311">
        <v>105</v>
      </c>
      <c r="Q106" s="279">
        <v>0</v>
      </c>
      <c r="R106" s="286">
        <v>0</v>
      </c>
      <c r="S106" s="290">
        <v>0</v>
      </c>
      <c r="T106" s="259">
        <v>0</v>
      </c>
      <c r="U106" s="688"/>
      <c r="V106" s="458"/>
      <c r="W106" s="512">
        <f t="shared" ref="W106" si="76">(V106*X106)</f>
        <v>0</v>
      </c>
      <c r="X106" s="681"/>
      <c r="Y106" s="503">
        <f t="shared" ref="Y106" si="77">IF(D106&lt;&gt;0,($C107*(1-$V$1))-$D106,0)</f>
        <v>-540</v>
      </c>
      <c r="Z106" s="477"/>
      <c r="AA106" s="349"/>
      <c r="AB106" s="38"/>
    </row>
    <row r="107" spans="1:29" ht="12.75" customHeight="1">
      <c r="A107" s="284" t="s">
        <v>628</v>
      </c>
      <c r="B107" s="249">
        <v>1985</v>
      </c>
      <c r="C107" s="248">
        <v>91460</v>
      </c>
      <c r="D107" s="479">
        <v>91990</v>
      </c>
      <c r="E107" s="480">
        <v>2328</v>
      </c>
      <c r="F107" s="250">
        <v>91990</v>
      </c>
      <c r="G107" s="346">
        <v>2.2099999999999998E-2</v>
      </c>
      <c r="H107" s="246">
        <v>90100</v>
      </c>
      <c r="I107" s="237">
        <v>93000</v>
      </c>
      <c r="J107" s="237">
        <v>89000</v>
      </c>
      <c r="K107" s="272">
        <v>90000</v>
      </c>
      <c r="L107" s="244">
        <v>3519689337</v>
      </c>
      <c r="M107" s="241">
        <v>3880550</v>
      </c>
      <c r="N107" s="244">
        <v>401</v>
      </c>
      <c r="O107" s="301">
        <v>45366.686956018515</v>
      </c>
      <c r="P107" s="310">
        <v>106</v>
      </c>
      <c r="Q107" s="277">
        <v>0</v>
      </c>
      <c r="R107" s="287">
        <v>0</v>
      </c>
      <c r="S107" s="289">
        <v>0</v>
      </c>
      <c r="T107" s="258">
        <v>0</v>
      </c>
      <c r="U107" s="687"/>
      <c r="V107" s="457">
        <v>0</v>
      </c>
      <c r="W107" s="507">
        <f>V106*(F106/100)</f>
        <v>0</v>
      </c>
      <c r="X107" s="683"/>
      <c r="Y107" s="701">
        <f t="shared" ref="Y107" si="78">IFERROR(INT($Y$1/(F106/100)),"")</f>
        <v>112</v>
      </c>
      <c r="Z107" s="410"/>
      <c r="AA107" s="350"/>
      <c r="AB107" s="38"/>
    </row>
    <row r="108" spans="1:29" ht="12.75" hidden="1" customHeight="1">
      <c r="A108" s="252" t="s">
        <v>629</v>
      </c>
      <c r="B108" s="261">
        <v>100000</v>
      </c>
      <c r="C108" s="335">
        <v>84.95</v>
      </c>
      <c r="D108" s="270"/>
      <c r="E108" s="261"/>
      <c r="F108" s="596">
        <v>85.39</v>
      </c>
      <c r="G108" s="347">
        <v>4.5000000000000005E-3</v>
      </c>
      <c r="H108" s="251">
        <v>84.9</v>
      </c>
      <c r="I108" s="238">
        <v>85.39</v>
      </c>
      <c r="J108" s="238">
        <v>84.9</v>
      </c>
      <c r="K108" s="275">
        <v>85</v>
      </c>
      <c r="L108" s="260">
        <v>106753</v>
      </c>
      <c r="M108" s="242">
        <v>125532</v>
      </c>
      <c r="N108" s="260">
        <v>15</v>
      </c>
      <c r="O108" s="302">
        <v>45366.635347222225</v>
      </c>
      <c r="P108" s="311">
        <v>107</v>
      </c>
      <c r="Q108" s="278">
        <v>0</v>
      </c>
      <c r="R108" s="288">
        <v>0</v>
      </c>
      <c r="S108" s="291">
        <v>0</v>
      </c>
      <c r="T108" s="257">
        <v>0</v>
      </c>
      <c r="U108" s="688"/>
      <c r="V108" s="327"/>
      <c r="W108" s="508">
        <f t="shared" ref="W108" si="79">(V108*X108)</f>
        <v>0</v>
      </c>
      <c r="X108" s="681"/>
      <c r="Y108" s="702">
        <f t="shared" ref="Y108" si="80">IF(D108&lt;&gt;0,($C109*(1-$V$1))-$D108,0)</f>
        <v>0</v>
      </c>
      <c r="Z108" s="333">
        <f>IFERROR(IF(C108&lt;&gt;"",$Y$1/(D106/100)*(C108/100),""),"")</f>
        <v>94.427280428939966</v>
      </c>
      <c r="AA108" s="399" t="str">
        <f>IFERROR($AA$1/(D108/100)*(C106/100),"")</f>
        <v/>
      </c>
      <c r="AB108" s="38"/>
    </row>
    <row r="109" spans="1:29" ht="12.75" hidden="1" customHeight="1">
      <c r="A109" s="312" t="s">
        <v>630</v>
      </c>
      <c r="B109" s="249">
        <v>175832</v>
      </c>
      <c r="C109" s="248">
        <v>85.25</v>
      </c>
      <c r="D109" s="479">
        <v>85.7</v>
      </c>
      <c r="E109" s="480">
        <v>46820</v>
      </c>
      <c r="F109" s="250">
        <v>85.25</v>
      </c>
      <c r="G109" s="346">
        <v>1.06E-2</v>
      </c>
      <c r="H109" s="246">
        <v>85.1</v>
      </c>
      <c r="I109" s="237">
        <v>86</v>
      </c>
      <c r="J109" s="237">
        <v>84.5</v>
      </c>
      <c r="K109" s="272">
        <v>84.35</v>
      </c>
      <c r="L109" s="244">
        <v>2257810</v>
      </c>
      <c r="M109" s="241">
        <v>2649731</v>
      </c>
      <c r="N109" s="244">
        <v>107</v>
      </c>
      <c r="O109" s="301">
        <v>45366.67423611111</v>
      </c>
      <c r="P109" s="310">
        <v>108</v>
      </c>
      <c r="Q109" s="277">
        <v>0</v>
      </c>
      <c r="R109" s="287">
        <v>0</v>
      </c>
      <c r="S109" s="289">
        <v>0</v>
      </c>
      <c r="T109" s="258">
        <v>0</v>
      </c>
      <c r="U109" s="687"/>
      <c r="V109" s="326">
        <v>0</v>
      </c>
      <c r="W109" s="509">
        <f>V108*(F108/100)</f>
        <v>0</v>
      </c>
      <c r="X109" s="683"/>
      <c r="Y109" s="703">
        <f t="shared" ref="Y109" si="81">IFERROR(INT($AA$1/(F108/100)),"")</f>
        <v>117</v>
      </c>
      <c r="Z109" s="332">
        <f>IFERROR(IF(C109&lt;&gt;"",$Y$1/(D107/100)*(C109/100),""),"")</f>
        <v>94.771050542724907</v>
      </c>
      <c r="AA109" s="401">
        <f>IFERROR($AA$1/(D109/100)*(C107/100),"")</f>
        <v>106721.12018669779</v>
      </c>
      <c r="AB109" s="38"/>
    </row>
    <row r="110" spans="1:29" ht="12.75" customHeight="1">
      <c r="A110" s="415" t="s">
        <v>631</v>
      </c>
      <c r="B110" s="261">
        <v>34</v>
      </c>
      <c r="C110" s="335">
        <v>88.61</v>
      </c>
      <c r="D110" s="270">
        <v>90.2</v>
      </c>
      <c r="E110" s="261">
        <v>384</v>
      </c>
      <c r="F110" s="596">
        <v>88.61</v>
      </c>
      <c r="G110" s="347">
        <v>-4.3E-3</v>
      </c>
      <c r="H110" s="251">
        <v>88.07</v>
      </c>
      <c r="I110" s="238">
        <v>90.2</v>
      </c>
      <c r="J110" s="238">
        <v>88.07</v>
      </c>
      <c r="K110" s="275">
        <v>89</v>
      </c>
      <c r="L110" s="260">
        <v>29253</v>
      </c>
      <c r="M110" s="242">
        <v>32954</v>
      </c>
      <c r="N110" s="260">
        <v>27</v>
      </c>
      <c r="O110" s="302">
        <v>45366.678414351853</v>
      </c>
      <c r="P110" s="311">
        <v>109</v>
      </c>
      <c r="Q110" s="278">
        <v>0</v>
      </c>
      <c r="R110" s="288">
        <v>0</v>
      </c>
      <c r="S110" s="291">
        <v>0</v>
      </c>
      <c r="T110" s="257">
        <v>0</v>
      </c>
      <c r="U110" s="688"/>
      <c r="V110" s="455">
        <v>0</v>
      </c>
      <c r="W110" s="510">
        <f t="shared" ref="W110" si="82">(V110*X110)</f>
        <v>0</v>
      </c>
      <c r="X110" s="684"/>
      <c r="Y110" s="704">
        <f t="shared" ref="Y110" si="83">IF(D110&lt;&gt;0,($C111*(1-$V$1))-$D110,0)</f>
        <v>-0.93999999999999773</v>
      </c>
      <c r="Z110" s="331">
        <f>IFERROR(IF(C110&lt;&gt;"",$Y$1/(D106/100)*(C110/100),""),"")</f>
        <v>98.495601163135603</v>
      </c>
      <c r="AA110" s="400">
        <f>IFERROR($Z$1/(D110/100)*(C106/100),"")</f>
        <v>100410.19955654102</v>
      </c>
      <c r="AB110" s="38"/>
    </row>
    <row r="111" spans="1:29" ht="12.75" customHeight="1">
      <c r="A111" s="448" t="s">
        <v>632</v>
      </c>
      <c r="B111" s="449">
        <v>74</v>
      </c>
      <c r="C111" s="433">
        <v>89.26</v>
      </c>
      <c r="D111" s="478">
        <v>91.5</v>
      </c>
      <c r="E111" s="443">
        <v>45000</v>
      </c>
      <c r="F111" s="595">
        <v>92</v>
      </c>
      <c r="G111" s="450">
        <v>3.3700000000000001E-2</v>
      </c>
      <c r="H111" s="436">
        <v>89</v>
      </c>
      <c r="I111" s="437">
        <v>92</v>
      </c>
      <c r="J111" s="437">
        <v>88.1</v>
      </c>
      <c r="K111" s="453">
        <v>89</v>
      </c>
      <c r="L111" s="427">
        <v>952127</v>
      </c>
      <c r="M111" s="439">
        <v>1059282</v>
      </c>
      <c r="N111" s="427">
        <v>103</v>
      </c>
      <c r="O111" s="428">
        <v>45366.685752314814</v>
      </c>
      <c r="P111" s="310">
        <v>110</v>
      </c>
      <c r="Q111" s="429">
        <v>0</v>
      </c>
      <c r="R111" s="451">
        <v>0</v>
      </c>
      <c r="S111" s="431">
        <v>0</v>
      </c>
      <c r="T111" s="442">
        <v>0</v>
      </c>
      <c r="U111" s="687"/>
      <c r="V111" s="456">
        <v>0</v>
      </c>
      <c r="W111" s="513">
        <f>V110*(F110/100)</f>
        <v>0</v>
      </c>
      <c r="X111" s="682"/>
      <c r="Y111" s="705">
        <f t="shared" ref="Y111" si="84">IFERROR(INT($Z$1/(F110/100)),"")</f>
        <v>112</v>
      </c>
      <c r="Z111" s="445">
        <f>IFERROR(IF(C111&lt;&gt;"",$Y$1/(D107/100)*(C111/100),""),"")</f>
        <v>99.22890289083432</v>
      </c>
      <c r="AA111" s="452">
        <f>IFERROR($Z$1/(D111/100)*(C107/100),"")</f>
        <v>99956.284153005472</v>
      </c>
      <c r="AB111" s="38"/>
    </row>
    <row r="112" spans="1:29" ht="12.75" customHeight="1">
      <c r="A112" s="285" t="s">
        <v>547</v>
      </c>
      <c r="B112" s="261">
        <v>20</v>
      </c>
      <c r="C112" s="335">
        <v>43000</v>
      </c>
      <c r="D112" s="270">
        <v>43180</v>
      </c>
      <c r="E112" s="261">
        <v>50</v>
      </c>
      <c r="F112" s="292">
        <v>43030</v>
      </c>
      <c r="G112" s="344">
        <v>2.1099999999999997E-2</v>
      </c>
      <c r="H112" s="247">
        <v>41590</v>
      </c>
      <c r="I112" s="239">
        <v>43250</v>
      </c>
      <c r="J112" s="239">
        <v>40310</v>
      </c>
      <c r="K112" s="274">
        <v>42140</v>
      </c>
      <c r="L112" s="266">
        <v>275055521</v>
      </c>
      <c r="M112" s="243">
        <v>644455</v>
      </c>
      <c r="N112" s="266">
        <v>675</v>
      </c>
      <c r="O112" s="300">
        <v>45366.685034722221</v>
      </c>
      <c r="P112" s="311">
        <v>111</v>
      </c>
      <c r="Q112" s="279">
        <v>0</v>
      </c>
      <c r="R112" s="286">
        <v>0</v>
      </c>
      <c r="S112" s="290">
        <v>0</v>
      </c>
      <c r="T112" s="259">
        <v>0</v>
      </c>
      <c r="U112" s="688"/>
      <c r="V112" s="458"/>
      <c r="W112" s="512">
        <f t="shared" ref="W112" si="85">(V112*X112)</f>
        <v>0</v>
      </c>
      <c r="X112" s="681"/>
      <c r="Y112" s="503">
        <f t="shared" ref="Y112" si="86">IF(D112&lt;&gt;0,($C113*(1-$V$1))-$D112,0)</f>
        <v>-60</v>
      </c>
      <c r="Z112" s="477"/>
      <c r="AA112" s="349"/>
      <c r="AB112" s="38"/>
    </row>
    <row r="113" spans="1:28" ht="12.75" customHeight="1">
      <c r="A113" s="284" t="s">
        <v>183</v>
      </c>
      <c r="B113" s="249">
        <v>10432</v>
      </c>
      <c r="C113" s="248">
        <v>43120</v>
      </c>
      <c r="D113" s="479">
        <v>43150</v>
      </c>
      <c r="E113" s="480">
        <v>48574</v>
      </c>
      <c r="F113" s="250">
        <v>43150</v>
      </c>
      <c r="G113" s="346">
        <v>0.02</v>
      </c>
      <c r="H113" s="246">
        <v>42100</v>
      </c>
      <c r="I113" s="237">
        <v>43500</v>
      </c>
      <c r="J113" s="237">
        <v>41555</v>
      </c>
      <c r="K113" s="272">
        <v>42300</v>
      </c>
      <c r="L113" s="244">
        <v>1304121188</v>
      </c>
      <c r="M113" s="241">
        <v>3023767</v>
      </c>
      <c r="N113" s="244">
        <v>1255</v>
      </c>
      <c r="O113" s="301">
        <v>45366.687083333331</v>
      </c>
      <c r="P113" s="310">
        <v>112</v>
      </c>
      <c r="Q113" s="277">
        <v>0</v>
      </c>
      <c r="R113" s="287">
        <v>0</v>
      </c>
      <c r="S113" s="289">
        <v>0</v>
      </c>
      <c r="T113" s="258">
        <v>0</v>
      </c>
      <c r="U113" s="687"/>
      <c r="V113" s="457">
        <v>0</v>
      </c>
      <c r="W113" s="507">
        <f>V112*(F112/100)</f>
        <v>0</v>
      </c>
      <c r="X113" s="683"/>
      <c r="Y113" s="701">
        <f t="shared" ref="Y113" si="87">IFERROR(INT($Y$1/(F112/100)),"")</f>
        <v>237</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88"/>
      <c r="V114" s="327"/>
      <c r="W114" s="508">
        <f t="shared" ref="W114" si="88">(V114*X114)</f>
        <v>0</v>
      </c>
      <c r="X114" s="681"/>
      <c r="Y114" s="702">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87"/>
      <c r="V115" s="326">
        <v>0</v>
      </c>
      <c r="W115" s="509">
        <f>V114*(F114/100)</f>
        <v>0</v>
      </c>
      <c r="X115" s="683"/>
      <c r="Y115" s="703" t="str">
        <f t="shared" ref="Y115" si="90">IFERROR(INT($AA$1/(F114/100)),"")</f>
        <v/>
      </c>
      <c r="Z115" s="332" t="str">
        <f>IFERROR(IF(C115&lt;&gt;"",$Y$1/(D113/100)*(C115/100),""),"")</f>
        <v/>
      </c>
      <c r="AA115" s="401" t="str">
        <f>IFERROR($AA$1/(D115/100)*(C113/100),"")</f>
        <v/>
      </c>
      <c r="AB115" s="38"/>
    </row>
    <row r="116" spans="1:28" ht="12.75" customHeight="1">
      <c r="A116" s="415" t="s">
        <v>549</v>
      </c>
      <c r="B116" s="261">
        <v>1481</v>
      </c>
      <c r="C116" s="335">
        <v>42.3</v>
      </c>
      <c r="D116" s="270">
        <v>42.63</v>
      </c>
      <c r="E116" s="261">
        <v>680</v>
      </c>
      <c r="F116" s="596">
        <v>42.301000000000002</v>
      </c>
      <c r="G116" s="347">
        <v>1.5600000000000001E-2</v>
      </c>
      <c r="H116" s="251">
        <v>41</v>
      </c>
      <c r="I116" s="238">
        <v>42.7</v>
      </c>
      <c r="J116" s="238">
        <v>40.917999999999999</v>
      </c>
      <c r="K116" s="275">
        <v>41.65</v>
      </c>
      <c r="L116" s="260">
        <v>93518</v>
      </c>
      <c r="M116" s="242">
        <v>222112</v>
      </c>
      <c r="N116" s="260">
        <v>285</v>
      </c>
      <c r="O116" s="302">
        <v>45366.683819444443</v>
      </c>
      <c r="P116" s="311">
        <v>115</v>
      </c>
      <c r="Q116" s="278">
        <v>0</v>
      </c>
      <c r="R116" s="288">
        <v>0</v>
      </c>
      <c r="S116" s="291">
        <v>0</v>
      </c>
      <c r="T116" s="257">
        <v>0</v>
      </c>
      <c r="U116" s="688"/>
      <c r="V116" s="455">
        <v>0</v>
      </c>
      <c r="W116" s="510">
        <f t="shared" ref="W116" si="91">(V116*X116)</f>
        <v>0</v>
      </c>
      <c r="X116" s="684"/>
      <c r="Y116" s="704">
        <f t="shared" ref="Y116" si="92">IF(D116&lt;&gt;0,($C117*(1-$V$1))-$D116,0)</f>
        <v>-0.40000000000000568</v>
      </c>
      <c r="Z116" s="331">
        <f>IFERROR(IF(C116&lt;&gt;"",$Y$1/(D112/100)*(C116/100),""),"")</f>
        <v>100.17968352832204</v>
      </c>
      <c r="AA116" s="400">
        <f>IFERROR($Z$1/(D116/100)*(C112/100),"")</f>
        <v>100867.93338024865</v>
      </c>
      <c r="AB116" s="38"/>
    </row>
    <row r="117" spans="1:28" ht="12.75" customHeight="1">
      <c r="A117" s="448" t="s">
        <v>231</v>
      </c>
      <c r="B117" s="449">
        <v>2450</v>
      </c>
      <c r="C117" s="433">
        <v>42.23</v>
      </c>
      <c r="D117" s="478">
        <v>42.448999999999998</v>
      </c>
      <c r="E117" s="443">
        <v>8000</v>
      </c>
      <c r="F117" s="595">
        <v>42.36</v>
      </c>
      <c r="G117" s="450">
        <v>1.21E-2</v>
      </c>
      <c r="H117" s="436">
        <v>41</v>
      </c>
      <c r="I117" s="437">
        <v>42.55</v>
      </c>
      <c r="J117" s="437">
        <v>39</v>
      </c>
      <c r="K117" s="453">
        <v>41.85</v>
      </c>
      <c r="L117" s="427">
        <v>615579</v>
      </c>
      <c r="M117" s="439">
        <v>1481909</v>
      </c>
      <c r="N117" s="427">
        <v>514</v>
      </c>
      <c r="O117" s="428">
        <v>45366.68513888889</v>
      </c>
      <c r="P117" s="310">
        <v>116</v>
      </c>
      <c r="Q117" s="429">
        <v>0</v>
      </c>
      <c r="R117" s="451">
        <v>0</v>
      </c>
      <c r="S117" s="431">
        <v>0</v>
      </c>
      <c r="T117" s="442">
        <v>0</v>
      </c>
      <c r="U117" s="687"/>
      <c r="V117" s="456">
        <v>0</v>
      </c>
      <c r="W117" s="513">
        <f>V116*(F116/100)</f>
        <v>0</v>
      </c>
      <c r="X117" s="682"/>
      <c r="Y117" s="705">
        <f t="shared" ref="Y117" si="93">IFERROR(INT($Z$1/(F116/100)),"")</f>
        <v>236</v>
      </c>
      <c r="Z117" s="445">
        <f>IFERROR(IF(C117&lt;&gt;"",$Y$1/(D113/100)*(C117/100),""),"")</f>
        <v>100.0834361242556</v>
      </c>
      <c r="AA117" s="452">
        <f>IFERROR($Z$1/(D117/100)*(C113/100),"")</f>
        <v>101580.72039388443</v>
      </c>
      <c r="AB117" s="38"/>
    </row>
    <row r="118" spans="1:28" ht="12.75" customHeight="1">
      <c r="A118" s="285" t="s">
        <v>541</v>
      </c>
      <c r="B118" s="261">
        <v>184</v>
      </c>
      <c r="C118" s="335">
        <v>50100</v>
      </c>
      <c r="D118" s="270">
        <v>50500</v>
      </c>
      <c r="E118" s="261">
        <v>238</v>
      </c>
      <c r="F118" s="292">
        <v>50100</v>
      </c>
      <c r="G118" s="344">
        <v>1.37E-2</v>
      </c>
      <c r="H118" s="247">
        <v>49790</v>
      </c>
      <c r="I118" s="239">
        <v>50770</v>
      </c>
      <c r="J118" s="239">
        <v>49000</v>
      </c>
      <c r="K118" s="274">
        <v>49420</v>
      </c>
      <c r="L118" s="266">
        <v>72633077</v>
      </c>
      <c r="M118" s="243">
        <v>145196</v>
      </c>
      <c r="N118" s="266">
        <v>424</v>
      </c>
      <c r="O118" s="300">
        <v>45366.687592592592</v>
      </c>
      <c r="P118" s="311">
        <v>117</v>
      </c>
      <c r="Q118" s="279">
        <v>0</v>
      </c>
      <c r="R118" s="286">
        <v>0</v>
      </c>
      <c r="S118" s="290">
        <v>0</v>
      </c>
      <c r="T118" s="259">
        <v>0</v>
      </c>
      <c r="U118" s="688"/>
      <c r="V118" s="458"/>
      <c r="W118" s="512">
        <f t="shared" ref="W118" si="94">(V118*X118)</f>
        <v>0</v>
      </c>
      <c r="X118" s="681"/>
      <c r="Y118" s="503">
        <f t="shared" ref="Y118" si="95">IF(D118&lt;&gt;0,($C119*(1-$V$1))-$D118,0)</f>
        <v>-10</v>
      </c>
      <c r="Z118" s="477"/>
      <c r="AA118" s="349"/>
      <c r="AB118" s="38"/>
    </row>
    <row r="119" spans="1:28" ht="12.75" customHeight="1">
      <c r="A119" s="284" t="s">
        <v>186</v>
      </c>
      <c r="B119" s="249">
        <v>5000</v>
      </c>
      <c r="C119" s="248">
        <v>50490</v>
      </c>
      <c r="D119" s="479">
        <v>50560</v>
      </c>
      <c r="E119" s="480">
        <v>190</v>
      </c>
      <c r="F119" s="250">
        <v>50570</v>
      </c>
      <c r="G119" s="346">
        <v>1.5600000000000001E-2</v>
      </c>
      <c r="H119" s="246">
        <v>50000</v>
      </c>
      <c r="I119" s="237">
        <v>50800</v>
      </c>
      <c r="J119" s="237">
        <v>48100</v>
      </c>
      <c r="K119" s="272">
        <v>49790</v>
      </c>
      <c r="L119" s="244">
        <v>228344899</v>
      </c>
      <c r="M119" s="241">
        <v>453734</v>
      </c>
      <c r="N119" s="244">
        <v>892</v>
      </c>
      <c r="O119" s="301">
        <v>45366.684942129628</v>
      </c>
      <c r="P119" s="310">
        <v>118</v>
      </c>
      <c r="Q119" s="277">
        <v>0</v>
      </c>
      <c r="R119" s="287">
        <v>0</v>
      </c>
      <c r="S119" s="289">
        <v>0</v>
      </c>
      <c r="T119" s="258">
        <v>0</v>
      </c>
      <c r="U119" s="687"/>
      <c r="V119" s="457">
        <v>0</v>
      </c>
      <c r="W119" s="507">
        <f>V118*(F118/100)</f>
        <v>0</v>
      </c>
      <c r="X119" s="683"/>
      <c r="Y119" s="701">
        <f t="shared" ref="Y119" si="96">IFERROR(INT($Y$1/(F118/100)),"")</f>
        <v>204</v>
      </c>
      <c r="Z119" s="410"/>
      <c r="AA119" s="350"/>
      <c r="AB119" s="38"/>
    </row>
    <row r="120" spans="1:28" ht="12.75" hidden="1" customHeight="1">
      <c r="A120" s="252" t="s">
        <v>542</v>
      </c>
      <c r="B120" s="261"/>
      <c r="C120" s="335"/>
      <c r="D120" s="270">
        <v>50</v>
      </c>
      <c r="E120" s="261">
        <v>4234</v>
      </c>
      <c r="F120" s="596"/>
      <c r="G120" s="347"/>
      <c r="H120" s="251"/>
      <c r="I120" s="238"/>
      <c r="J120" s="238"/>
      <c r="K120" s="275">
        <v>22</v>
      </c>
      <c r="L120" s="260"/>
      <c r="M120" s="242"/>
      <c r="N120" s="260"/>
      <c r="O120" s="302"/>
      <c r="P120" s="311">
        <v>119</v>
      </c>
      <c r="Q120" s="278">
        <v>0</v>
      </c>
      <c r="R120" s="288">
        <v>0</v>
      </c>
      <c r="S120" s="291">
        <v>0</v>
      </c>
      <c r="T120" s="257">
        <v>0</v>
      </c>
      <c r="U120" s="688"/>
      <c r="V120" s="327"/>
      <c r="W120" s="508">
        <f t="shared" ref="W120" si="97">(V120*X120)</f>
        <v>0</v>
      </c>
      <c r="X120" s="681"/>
      <c r="Y120" s="702">
        <f t="shared" ref="Y120" si="98">IF(D120&lt;&gt;0,($C121*(1-$V$1))-$D120,0)</f>
        <v>-50</v>
      </c>
      <c r="Z120" s="333" t="str">
        <f>IFERROR(IF(C120&lt;&gt;"",$Y$1/(D118/100)*(C120/100),""),"")</f>
        <v/>
      </c>
      <c r="AA120" s="399">
        <f>IFERROR($AA$1/(D120/100)*(C118/100),"")</f>
        <v>100200</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7"/>
      <c r="V121" s="326">
        <v>0</v>
      </c>
      <c r="W121" s="509">
        <f>V120*(F120/100)</f>
        <v>0</v>
      </c>
      <c r="X121" s="683"/>
      <c r="Y121" s="703" t="str">
        <f t="shared" ref="Y121" si="99">IFERROR(INT($AA$1/(F120/100)),"")</f>
        <v/>
      </c>
      <c r="Z121" s="332" t="str">
        <f>IFERROR(IF(C121&lt;&gt;"",$Y$1/(D119/100)*(C121/100),""),"")</f>
        <v/>
      </c>
      <c r="AA121" s="401" t="str">
        <f>IFERROR($AA$1/(D121/100)*(C119/100),"")</f>
        <v/>
      </c>
      <c r="AB121" s="38"/>
    </row>
    <row r="122" spans="1:28" ht="12.75" customHeight="1">
      <c r="A122" s="415" t="s">
        <v>543</v>
      </c>
      <c r="B122" s="261">
        <v>5000</v>
      </c>
      <c r="C122" s="335">
        <v>49.3</v>
      </c>
      <c r="D122" s="270">
        <v>49.8</v>
      </c>
      <c r="E122" s="261">
        <v>101</v>
      </c>
      <c r="F122" s="596">
        <v>49.5</v>
      </c>
      <c r="G122" s="347">
        <v>1.43E-2</v>
      </c>
      <c r="H122" s="251">
        <v>48.05</v>
      </c>
      <c r="I122" s="238">
        <v>50.1</v>
      </c>
      <c r="J122" s="238">
        <v>47.881</v>
      </c>
      <c r="K122" s="275">
        <v>48.8</v>
      </c>
      <c r="L122" s="260">
        <v>40127</v>
      </c>
      <c r="M122" s="242">
        <v>81167</v>
      </c>
      <c r="N122" s="260">
        <v>147</v>
      </c>
      <c r="O122" s="302">
        <v>45366.675393518519</v>
      </c>
      <c r="P122" s="311">
        <v>121</v>
      </c>
      <c r="Q122" s="278">
        <v>0</v>
      </c>
      <c r="R122" s="288">
        <v>0</v>
      </c>
      <c r="S122" s="291">
        <v>0</v>
      </c>
      <c r="T122" s="257">
        <v>0</v>
      </c>
      <c r="U122" s="688"/>
      <c r="V122" s="455"/>
      <c r="W122" s="510">
        <f t="shared" ref="W122" si="100">(V122*X122)</f>
        <v>0</v>
      </c>
      <c r="X122" s="684"/>
      <c r="Y122" s="704">
        <f t="shared" ref="Y122" si="101">IF(D122&lt;&gt;0,($C123*(1-$V$1))-$D122,0)</f>
        <v>-0.19999999999999574</v>
      </c>
      <c r="Z122" s="331">
        <f>IFERROR(IF(C122&lt;&gt;"",$Y$1/(D118/100)*(C122/100),""),"")</f>
        <v>99.833768987814636</v>
      </c>
      <c r="AA122" s="400">
        <f>IFERROR($Z$1/(D122/100)*(C118/100),"")</f>
        <v>100602.40963855422</v>
      </c>
      <c r="AB122" s="38"/>
    </row>
    <row r="123" spans="1:28" ht="12.75" customHeight="1">
      <c r="A123" s="448" t="s">
        <v>239</v>
      </c>
      <c r="B123" s="449">
        <v>5000</v>
      </c>
      <c r="C123" s="433">
        <v>49.6</v>
      </c>
      <c r="D123" s="478">
        <v>49.64</v>
      </c>
      <c r="E123" s="443">
        <v>184</v>
      </c>
      <c r="F123" s="595">
        <v>49.64</v>
      </c>
      <c r="G123" s="450">
        <v>1.3500000000000002E-2</v>
      </c>
      <c r="H123" s="436">
        <v>48</v>
      </c>
      <c r="I123" s="437">
        <v>49.64</v>
      </c>
      <c r="J123" s="437">
        <v>47.75</v>
      </c>
      <c r="K123" s="453">
        <v>48.976999999999997</v>
      </c>
      <c r="L123" s="427">
        <v>54276</v>
      </c>
      <c r="M123" s="439">
        <v>110331</v>
      </c>
      <c r="N123" s="427">
        <v>217</v>
      </c>
      <c r="O123" s="428">
        <v>45366.683645833335</v>
      </c>
      <c r="P123" s="310">
        <v>122</v>
      </c>
      <c r="Q123" s="429">
        <v>0</v>
      </c>
      <c r="R123" s="451">
        <v>0</v>
      </c>
      <c r="S123" s="431">
        <v>0</v>
      </c>
      <c r="T123" s="442">
        <v>0</v>
      </c>
      <c r="U123" s="687"/>
      <c r="V123" s="456">
        <v>0</v>
      </c>
      <c r="W123" s="514">
        <f>V122*(F122/100)</f>
        <v>0</v>
      </c>
      <c r="X123" s="682"/>
      <c r="Y123" s="705">
        <f t="shared" ref="Y123" si="102">IFERROR(INT($Z$1/(F122/100)),"")</f>
        <v>202</v>
      </c>
      <c r="Z123" s="445">
        <f>IFERROR(IF(C123&lt;&gt;"",$Y$1/(D119/100)*(C123/100),""),"")</f>
        <v>100.32208215679245</v>
      </c>
      <c r="AA123" s="452">
        <f>IFERROR($Z$1/(D123/100)*(C119/100),"")</f>
        <v>101712.32876712328</v>
      </c>
      <c r="AB123" s="38"/>
    </row>
    <row r="124" spans="1:28" ht="12.75" customHeight="1">
      <c r="A124" s="285" t="s">
        <v>544</v>
      </c>
      <c r="B124" s="261">
        <v>466</v>
      </c>
      <c r="C124" s="335">
        <v>40950</v>
      </c>
      <c r="D124" s="270">
        <v>41390</v>
      </c>
      <c r="E124" s="261">
        <v>1607</v>
      </c>
      <c r="F124" s="292">
        <v>41200</v>
      </c>
      <c r="G124" s="344">
        <v>2.7300000000000001E-2</v>
      </c>
      <c r="H124" s="247">
        <v>40500</v>
      </c>
      <c r="I124" s="239">
        <v>41450</v>
      </c>
      <c r="J124" s="239">
        <v>39770</v>
      </c>
      <c r="K124" s="274">
        <v>40105</v>
      </c>
      <c r="L124" s="266">
        <v>181405773</v>
      </c>
      <c r="M124" s="243">
        <v>446457</v>
      </c>
      <c r="N124" s="266">
        <v>495</v>
      </c>
      <c r="O124" s="300">
        <v>45366.685173611113</v>
      </c>
      <c r="P124" s="311">
        <v>123</v>
      </c>
      <c r="Q124" s="279">
        <v>0</v>
      </c>
      <c r="R124" s="286">
        <v>0</v>
      </c>
      <c r="S124" s="290">
        <v>0</v>
      </c>
      <c r="T124" s="259">
        <v>0</v>
      </c>
      <c r="U124" s="688"/>
      <c r="V124" s="458"/>
      <c r="W124" s="512">
        <f t="shared" ref="W124" si="103">(V124*X124)</f>
        <v>0</v>
      </c>
      <c r="X124" s="681"/>
      <c r="Y124" s="503">
        <f t="shared" ref="Y124" si="104">IF(D124&lt;&gt;0,($C125*(1-$V$1))-$D124,0)</f>
        <v>-180</v>
      </c>
      <c r="Z124" s="477"/>
      <c r="AA124" s="349"/>
      <c r="AB124" s="38"/>
    </row>
    <row r="125" spans="1:28" ht="12.75" customHeight="1">
      <c r="A125" s="284" t="s">
        <v>184</v>
      </c>
      <c r="B125" s="249">
        <v>2863</v>
      </c>
      <c r="C125" s="248">
        <v>41210</v>
      </c>
      <c r="D125" s="479">
        <v>41390</v>
      </c>
      <c r="E125" s="480">
        <v>43</v>
      </c>
      <c r="F125" s="250">
        <v>41395</v>
      </c>
      <c r="G125" s="346">
        <v>2.4500000000000001E-2</v>
      </c>
      <c r="H125" s="246">
        <v>40405</v>
      </c>
      <c r="I125" s="237">
        <v>41950</v>
      </c>
      <c r="J125" s="237">
        <v>40005</v>
      </c>
      <c r="K125" s="272">
        <v>40405</v>
      </c>
      <c r="L125" s="244">
        <v>653505249</v>
      </c>
      <c r="M125" s="241">
        <v>1594146</v>
      </c>
      <c r="N125" s="244">
        <v>981</v>
      </c>
      <c r="O125" s="301">
        <v>45366.686469907407</v>
      </c>
      <c r="P125" s="310">
        <v>124</v>
      </c>
      <c r="Q125" s="277">
        <v>0</v>
      </c>
      <c r="R125" s="287">
        <v>0</v>
      </c>
      <c r="S125" s="289">
        <v>0</v>
      </c>
      <c r="T125" s="258">
        <v>0</v>
      </c>
      <c r="U125" s="687"/>
      <c r="V125" s="457">
        <v>0</v>
      </c>
      <c r="W125" s="507">
        <f>V124*(F124/100)</f>
        <v>0</v>
      </c>
      <c r="X125" s="683"/>
      <c r="Y125" s="701">
        <f t="shared" ref="Y125" si="105">IFERROR(INT($Y$1/(F124/100)),"")</f>
        <v>248</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88"/>
      <c r="V126" s="327"/>
      <c r="W126" s="508">
        <f t="shared" ref="W126" si="106">(V126*X126)</f>
        <v>0</v>
      </c>
      <c r="X126" s="681"/>
      <c r="Y126" s="702">
        <f t="shared" ref="Y126" si="107">IF(D126&lt;&gt;0,($C127*(1-$V$1))-$D126,0)</f>
        <v>0</v>
      </c>
      <c r="Z126" s="333" t="str">
        <f>IFERROR(IF(C126&lt;&gt;"",$Y$1/(D124/100)*(C126/100),""),"")</f>
        <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87"/>
      <c r="V127" s="326">
        <v>0</v>
      </c>
      <c r="W127" s="509">
        <f>V126*(F126/100)</f>
        <v>0</v>
      </c>
      <c r="X127" s="683"/>
      <c r="Y127" s="703" t="str">
        <f t="shared" ref="Y127" si="108">IFERROR(INT($AA$1/(F126/100)),"")</f>
        <v/>
      </c>
      <c r="Z127" s="332" t="str">
        <f>IFERROR(IF(C127&lt;&gt;"",$Y$1/(D125/100)*(C127/100),""),"")</f>
        <v/>
      </c>
      <c r="AA127" s="401" t="str">
        <f>IFERROR($AA$1/(D127/100)*(C125/100),"")</f>
        <v/>
      </c>
      <c r="AB127" s="38"/>
    </row>
    <row r="128" spans="1:28" ht="12.75" customHeight="1">
      <c r="A128" s="415" t="s">
        <v>546</v>
      </c>
      <c r="B128" s="261">
        <v>226</v>
      </c>
      <c r="C128" s="335">
        <v>40.5</v>
      </c>
      <c r="D128" s="270">
        <v>40.549999999999997</v>
      </c>
      <c r="E128" s="261">
        <v>9</v>
      </c>
      <c r="F128" s="596">
        <v>40.5</v>
      </c>
      <c r="G128" s="347">
        <v>2.0099999999999996E-2</v>
      </c>
      <c r="H128" s="251">
        <v>39.220999999999997</v>
      </c>
      <c r="I128" s="238">
        <v>40.700000000000003</v>
      </c>
      <c r="J128" s="238">
        <v>39.201000000000001</v>
      </c>
      <c r="K128" s="275">
        <v>39.700000000000003</v>
      </c>
      <c r="L128" s="260">
        <v>167581</v>
      </c>
      <c r="M128" s="242">
        <v>418107</v>
      </c>
      <c r="N128" s="260">
        <v>272</v>
      </c>
      <c r="O128" s="302">
        <v>45366.6875462963</v>
      </c>
      <c r="P128" s="311">
        <v>127</v>
      </c>
      <c r="Q128" s="278">
        <v>0</v>
      </c>
      <c r="R128" s="288">
        <v>0</v>
      </c>
      <c r="S128" s="291">
        <v>0</v>
      </c>
      <c r="T128" s="257">
        <v>0</v>
      </c>
      <c r="U128" s="688"/>
      <c r="V128" s="455">
        <v>0</v>
      </c>
      <c r="W128" s="510">
        <f t="shared" ref="W128" si="109">(V128*X128)</f>
        <v>0</v>
      </c>
      <c r="X128" s="684"/>
      <c r="Y128" s="704">
        <f t="shared" ref="Y128" si="110">IF(D128&lt;&gt;0,($C129*(1-$V$1))-$D128,0)</f>
        <v>-0.54899999999999949</v>
      </c>
      <c r="Z128" s="331">
        <f>IFERROR(IF(C128&lt;&gt;"",$Y$1/(D124/100)*(C128/100),""),"")</f>
        <v>100.06484404388078</v>
      </c>
      <c r="AA128" s="400">
        <f>IFERROR($Z$1/(D128/100)*(C124/100),"")</f>
        <v>100986.43649815043</v>
      </c>
      <c r="AB128" s="38"/>
    </row>
    <row r="129" spans="1:28" ht="12.75" customHeight="1">
      <c r="A129" s="448" t="s">
        <v>241</v>
      </c>
      <c r="B129" s="449">
        <v>8000</v>
      </c>
      <c r="C129" s="433">
        <v>40.000999999999998</v>
      </c>
      <c r="D129" s="478">
        <v>40.5</v>
      </c>
      <c r="E129" s="443">
        <v>632</v>
      </c>
      <c r="F129" s="595">
        <v>40.5</v>
      </c>
      <c r="G129" s="450">
        <v>3.8399999999999997E-2</v>
      </c>
      <c r="H129" s="436">
        <v>39.979999999999997</v>
      </c>
      <c r="I129" s="437">
        <v>40.75</v>
      </c>
      <c r="J129" s="437">
        <v>39.25</v>
      </c>
      <c r="K129" s="453">
        <v>39</v>
      </c>
      <c r="L129" s="427">
        <v>202071</v>
      </c>
      <c r="M129" s="439">
        <v>504842</v>
      </c>
      <c r="N129" s="427">
        <v>302</v>
      </c>
      <c r="O129" s="428">
        <v>45366.687476851854</v>
      </c>
      <c r="P129" s="310">
        <v>128</v>
      </c>
      <c r="Q129" s="429">
        <v>0</v>
      </c>
      <c r="R129" s="451">
        <v>0</v>
      </c>
      <c r="S129" s="431">
        <v>0</v>
      </c>
      <c r="T129" s="442">
        <v>0</v>
      </c>
      <c r="U129" s="687"/>
      <c r="V129" s="456">
        <v>0</v>
      </c>
      <c r="W129" s="513">
        <f>V128*(F128/100)</f>
        <v>0</v>
      </c>
      <c r="X129" s="682"/>
      <c r="Y129" s="705">
        <f t="shared" ref="Y129" si="111">IFERROR(INT($Z$1/(F128/100)),"")</f>
        <v>246</v>
      </c>
      <c r="Z129" s="445">
        <f>IFERROR(IF(C129&lt;&gt;"",$Y$1/(D125/100)*(C129/100),""),"")</f>
        <v>98.831946335784551</v>
      </c>
      <c r="AA129" s="452">
        <f>IFERROR($Z$1/(D129/100)*(C125/100),"")</f>
        <v>101753.08641975309</v>
      </c>
      <c r="AB129" s="38"/>
    </row>
    <row r="130" spans="1:28" ht="12.75" customHeight="1">
      <c r="A130" s="285" t="s">
        <v>550</v>
      </c>
      <c r="B130" s="261">
        <v>164</v>
      </c>
      <c r="C130" s="335">
        <v>37800</v>
      </c>
      <c r="D130" s="270">
        <v>38390</v>
      </c>
      <c r="E130" s="261">
        <v>14999</v>
      </c>
      <c r="F130" s="292">
        <v>38390</v>
      </c>
      <c r="G130" s="344">
        <v>1.6399999999999998E-2</v>
      </c>
      <c r="H130" s="247">
        <v>38125</v>
      </c>
      <c r="I130" s="239">
        <v>38500</v>
      </c>
      <c r="J130" s="239">
        <v>37000</v>
      </c>
      <c r="K130" s="274">
        <v>37770</v>
      </c>
      <c r="L130" s="266">
        <v>113973053</v>
      </c>
      <c r="M130" s="243">
        <v>301083</v>
      </c>
      <c r="N130" s="266">
        <v>275</v>
      </c>
      <c r="O130" s="300">
        <v>45366.687662037039</v>
      </c>
      <c r="P130" s="311">
        <v>129</v>
      </c>
      <c r="Q130" s="279">
        <v>0</v>
      </c>
      <c r="R130" s="286">
        <v>0</v>
      </c>
      <c r="S130" s="290">
        <v>0</v>
      </c>
      <c r="T130" s="259">
        <v>0</v>
      </c>
      <c r="U130" s="688"/>
      <c r="V130" s="458"/>
      <c r="W130" s="512">
        <f t="shared" ref="W130" si="112">(V130*X130)</f>
        <v>0</v>
      </c>
      <c r="X130" s="681"/>
      <c r="Y130" s="503">
        <f t="shared" ref="Y130" si="113">IF(D130&lt;&gt;0,($C131*(1-$V$1))-$D130,0)</f>
        <v>-140</v>
      </c>
      <c r="Z130" s="477"/>
      <c r="AA130" s="349"/>
      <c r="AB130" s="38"/>
    </row>
    <row r="131" spans="1:28" ht="12.75" customHeight="1">
      <c r="A131" s="284" t="s">
        <v>185</v>
      </c>
      <c r="B131" s="249">
        <v>1083</v>
      </c>
      <c r="C131" s="248">
        <v>38250</v>
      </c>
      <c r="D131" s="479">
        <v>38260</v>
      </c>
      <c r="E131" s="480">
        <v>5000</v>
      </c>
      <c r="F131" s="250">
        <v>38260</v>
      </c>
      <c r="G131" s="346">
        <v>1.8000000000000002E-2</v>
      </c>
      <c r="H131" s="246">
        <v>37600</v>
      </c>
      <c r="I131" s="237">
        <v>38600</v>
      </c>
      <c r="J131" s="237">
        <v>37510</v>
      </c>
      <c r="K131" s="272">
        <v>37580</v>
      </c>
      <c r="L131" s="244">
        <v>785251422</v>
      </c>
      <c r="M131" s="241">
        <v>2059986</v>
      </c>
      <c r="N131" s="244">
        <v>682</v>
      </c>
      <c r="O131" s="301">
        <v>45366.687708333331</v>
      </c>
      <c r="P131" s="310">
        <v>130</v>
      </c>
      <c r="Q131" s="277">
        <v>0</v>
      </c>
      <c r="R131" s="287">
        <v>0</v>
      </c>
      <c r="S131" s="289">
        <v>0</v>
      </c>
      <c r="T131" s="258">
        <v>0</v>
      </c>
      <c r="U131" s="687"/>
      <c r="V131" s="457">
        <v>0</v>
      </c>
      <c r="W131" s="507">
        <f>V130*(F130/100)</f>
        <v>0</v>
      </c>
      <c r="X131" s="683"/>
      <c r="Y131" s="701">
        <f t="shared" ref="Y131" si="114">IFERROR(INT($Y$1/(F130/100)),"")</f>
        <v>266</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8"/>
      <c r="V132" s="327"/>
      <c r="W132" s="508">
        <f t="shared" ref="W132" si="115">(V132*X132)</f>
        <v>0</v>
      </c>
      <c r="X132" s="681"/>
      <c r="Y132" s="702">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7"/>
      <c r="V133" s="326">
        <v>0</v>
      </c>
      <c r="W133" s="509">
        <f>V132*(F132/100)</f>
        <v>0</v>
      </c>
      <c r="X133" s="683"/>
      <c r="Y133" s="703" t="str">
        <f t="shared" ref="Y133" si="117">IFERROR(INT($AA$1/(F132/100)),"")</f>
        <v/>
      </c>
      <c r="Z133" s="332" t="str">
        <f>IFERROR(IF(C133&lt;&gt;"",$Y$1/(D131/100)*(C133/100),""),"")</f>
        <v/>
      </c>
      <c r="AA133" s="401" t="str">
        <f>IFERROR($AA$1/(D133/100)*(C131/100),"")</f>
        <v/>
      </c>
      <c r="AB133" s="38"/>
    </row>
    <row r="134" spans="1:28" ht="12.75" customHeight="1">
      <c r="A134" s="415" t="s">
        <v>552</v>
      </c>
      <c r="B134" s="261">
        <v>193</v>
      </c>
      <c r="C134" s="335">
        <v>37.799999999999997</v>
      </c>
      <c r="D134" s="270">
        <v>37.966999999999999</v>
      </c>
      <c r="E134" s="261">
        <v>458</v>
      </c>
      <c r="F134" s="596">
        <v>37.966999999999999</v>
      </c>
      <c r="G134" s="347">
        <v>8.9999999999999998E-4</v>
      </c>
      <c r="H134" s="251">
        <v>37.417999999999999</v>
      </c>
      <c r="I134" s="238">
        <v>38</v>
      </c>
      <c r="J134" s="238">
        <v>37.122999999999998</v>
      </c>
      <c r="K134" s="275">
        <v>37.93</v>
      </c>
      <c r="L134" s="260">
        <v>44823</v>
      </c>
      <c r="M134" s="242">
        <v>118271</v>
      </c>
      <c r="N134" s="260">
        <v>138</v>
      </c>
      <c r="O134" s="302">
        <v>45366.687534722223</v>
      </c>
      <c r="P134" s="311">
        <v>133</v>
      </c>
      <c r="Q134" s="278">
        <v>0</v>
      </c>
      <c r="R134" s="288">
        <v>0</v>
      </c>
      <c r="S134" s="291">
        <v>0</v>
      </c>
      <c r="T134" s="257">
        <v>0</v>
      </c>
      <c r="U134" s="688"/>
      <c r="V134" s="455">
        <v>0</v>
      </c>
      <c r="W134" s="510">
        <f t="shared" ref="W134" si="118">(V134*X134)</f>
        <v>0</v>
      </c>
      <c r="X134" s="684"/>
      <c r="Y134" s="704">
        <f t="shared" ref="Y134" si="119">IF(D134&lt;&gt;0,($C135*(1-$V$1))-$D134,0)</f>
        <v>-4.6999999999997044E-2</v>
      </c>
      <c r="Z134" s="331">
        <f>IFERROR(IF(C134&lt;&gt;"",$Y$1/(D130/100)*(C134/100),""),"")</f>
        <v>100.69214991693522</v>
      </c>
      <c r="AA134" s="400">
        <f>IFERROR($Z$1/(D134/100)*(C130/100),"")</f>
        <v>99560.144335870616</v>
      </c>
      <c r="AB134" s="38"/>
    </row>
    <row r="135" spans="1:28" ht="12.75" customHeight="1">
      <c r="A135" s="448" t="s">
        <v>243</v>
      </c>
      <c r="B135" s="449">
        <v>650</v>
      </c>
      <c r="C135" s="433">
        <v>37.92</v>
      </c>
      <c r="D135" s="478">
        <v>37.948999999999998</v>
      </c>
      <c r="E135" s="443">
        <v>3240</v>
      </c>
      <c r="F135" s="595">
        <v>37.948999999999998</v>
      </c>
      <c r="G135" s="450">
        <v>-8.0000000000000004E-4</v>
      </c>
      <c r="H135" s="436">
        <v>37.6</v>
      </c>
      <c r="I135" s="437">
        <v>37.99</v>
      </c>
      <c r="J135" s="437">
        <v>37.200000000000003</v>
      </c>
      <c r="K135" s="453">
        <v>37.979999999999997</v>
      </c>
      <c r="L135" s="427">
        <v>44582</v>
      </c>
      <c r="M135" s="439">
        <v>117709</v>
      </c>
      <c r="N135" s="427">
        <v>195</v>
      </c>
      <c r="O135" s="428">
        <v>45366.682708333334</v>
      </c>
      <c r="P135" s="310">
        <v>134</v>
      </c>
      <c r="Q135" s="429">
        <v>0</v>
      </c>
      <c r="R135" s="451">
        <v>0</v>
      </c>
      <c r="S135" s="431">
        <v>0</v>
      </c>
      <c r="T135" s="442">
        <v>0</v>
      </c>
      <c r="U135" s="687"/>
      <c r="V135" s="456">
        <v>0</v>
      </c>
      <c r="W135" s="513">
        <f>V134*(F134/100)</f>
        <v>0</v>
      </c>
      <c r="X135" s="682"/>
      <c r="Y135" s="705">
        <f t="shared" ref="Y135" si="120">IFERROR(INT($Z$1/(F134/100)),"")</f>
        <v>263</v>
      </c>
      <c r="Z135" s="445">
        <f>IFERROR(IF(C135&lt;&gt;"",$Y$1/(D131/100)*(C135/100),""),"")</f>
        <v>101.35502590946832</v>
      </c>
      <c r="AA135" s="452">
        <f>IFERROR($Z$1/(D135/100)*(C131/100),"")</f>
        <v>100793.16978049488</v>
      </c>
      <c r="AB135" s="38"/>
    </row>
    <row r="136" spans="1:28" ht="12.75" customHeight="1">
      <c r="A136" s="285" t="s">
        <v>553</v>
      </c>
      <c r="B136" s="261">
        <v>2180</v>
      </c>
      <c r="C136" s="335">
        <v>51200</v>
      </c>
      <c r="D136" s="270">
        <v>52450</v>
      </c>
      <c r="E136" s="261">
        <v>28</v>
      </c>
      <c r="F136" s="292">
        <v>52010</v>
      </c>
      <c r="G136" s="344">
        <v>1.9799999999999998E-2</v>
      </c>
      <c r="H136" s="247">
        <v>52100</v>
      </c>
      <c r="I136" s="239">
        <v>52490</v>
      </c>
      <c r="J136" s="239">
        <v>50920</v>
      </c>
      <c r="K136" s="274">
        <v>51000</v>
      </c>
      <c r="L136" s="266">
        <v>19279245</v>
      </c>
      <c r="M136" s="243">
        <v>37164</v>
      </c>
      <c r="N136" s="266">
        <v>118</v>
      </c>
      <c r="O136" s="300">
        <v>45366.684131944443</v>
      </c>
      <c r="P136" s="311">
        <v>135</v>
      </c>
      <c r="Q136" s="279">
        <v>0</v>
      </c>
      <c r="R136" s="286">
        <v>0</v>
      </c>
      <c r="S136" s="290">
        <v>0</v>
      </c>
      <c r="T136" s="259">
        <v>0</v>
      </c>
      <c r="U136" s="688"/>
      <c r="V136" s="458"/>
      <c r="W136" s="512">
        <f t="shared" ref="W136" si="121">(V136*X136)</f>
        <v>0</v>
      </c>
      <c r="X136" s="681"/>
      <c r="Y136" s="503">
        <f t="shared" ref="Y136" si="122">IF(D136&lt;&gt;0,($C137*(1-$V$1))-$D136,0)</f>
        <v>-60</v>
      </c>
      <c r="Z136" s="477"/>
      <c r="AA136" s="349"/>
      <c r="AB136" s="38"/>
    </row>
    <row r="137" spans="1:28" ht="12.75" customHeight="1">
      <c r="A137" s="284" t="s">
        <v>187</v>
      </c>
      <c r="B137" s="249">
        <v>100</v>
      </c>
      <c r="C137" s="248">
        <v>52390</v>
      </c>
      <c r="D137" s="479">
        <v>52770</v>
      </c>
      <c r="E137" s="480">
        <v>1276</v>
      </c>
      <c r="F137" s="250">
        <v>52490</v>
      </c>
      <c r="G137" s="346">
        <v>2.3300000000000001E-2</v>
      </c>
      <c r="H137" s="246">
        <v>51100</v>
      </c>
      <c r="I137" s="237">
        <v>52960</v>
      </c>
      <c r="J137" s="237">
        <v>51100</v>
      </c>
      <c r="K137" s="272">
        <v>51290</v>
      </c>
      <c r="L137" s="244">
        <v>95722231</v>
      </c>
      <c r="M137" s="241">
        <v>184462</v>
      </c>
      <c r="N137" s="244">
        <v>168</v>
      </c>
      <c r="O137" s="301">
        <v>45366.683969907404</v>
      </c>
      <c r="P137" s="310">
        <v>136</v>
      </c>
      <c r="Q137" s="277">
        <v>0</v>
      </c>
      <c r="R137" s="287">
        <v>0</v>
      </c>
      <c r="S137" s="289">
        <v>0</v>
      </c>
      <c r="T137" s="258">
        <v>0</v>
      </c>
      <c r="U137" s="687"/>
      <c r="V137" s="457">
        <v>0</v>
      </c>
      <c r="W137" s="507">
        <f>V136*(F136/100)</f>
        <v>0</v>
      </c>
      <c r="X137" s="683"/>
      <c r="Y137" s="701">
        <f t="shared" ref="Y137" si="123">IFERROR(INT($Y$1/(F136/100)),"")</f>
        <v>196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8"/>
      <c r="V138" s="327"/>
      <c r="W138" s="508">
        <f t="shared" ref="W138" si="124">(V138*X138)</f>
        <v>0</v>
      </c>
      <c r="X138" s="681"/>
      <c r="Y138" s="702">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87"/>
      <c r="V139" s="326">
        <v>0</v>
      </c>
      <c r="W139" s="509">
        <f>V138*(F138/100)</f>
        <v>0</v>
      </c>
      <c r="X139" s="683"/>
      <c r="Y139" s="703" t="str">
        <f t="shared" ref="Y139" si="126">IFERROR(INT($AA$1/(F138/100)),"")</f>
        <v/>
      </c>
      <c r="Z139" s="332" t="str">
        <f>IFERROR(IF(C139&lt;&gt;"",$Y$1/(D137/100)*(C139/100),""),"")</f>
        <v/>
      </c>
      <c r="AA139" s="401" t="str">
        <f>IFERROR($Z$1/(D139/100)*(C137/100),"")</f>
        <v/>
      </c>
      <c r="AB139" s="38"/>
    </row>
    <row r="140" spans="1:28" ht="12.75" customHeight="1">
      <c r="A140" s="415" t="s">
        <v>555</v>
      </c>
      <c r="B140" s="261">
        <v>1428</v>
      </c>
      <c r="C140" s="335">
        <v>51</v>
      </c>
      <c r="D140" s="270">
        <v>52.1</v>
      </c>
      <c r="E140" s="261">
        <v>1725</v>
      </c>
      <c r="F140" s="596">
        <v>51.5</v>
      </c>
      <c r="G140" s="347">
        <v>2.4799999999999999E-2</v>
      </c>
      <c r="H140" s="251">
        <v>50.92</v>
      </c>
      <c r="I140" s="238">
        <v>52.18</v>
      </c>
      <c r="J140" s="238">
        <v>50.16</v>
      </c>
      <c r="K140" s="275">
        <v>50.25</v>
      </c>
      <c r="L140" s="260">
        <v>8075</v>
      </c>
      <c r="M140" s="242">
        <v>15719</v>
      </c>
      <c r="N140" s="260">
        <v>48</v>
      </c>
      <c r="O140" s="302">
        <v>45366.68409722222</v>
      </c>
      <c r="P140" s="311">
        <v>139</v>
      </c>
      <c r="Q140" s="278">
        <v>0</v>
      </c>
      <c r="R140" s="288">
        <v>0</v>
      </c>
      <c r="S140" s="291">
        <v>0</v>
      </c>
      <c r="T140" s="257">
        <v>0</v>
      </c>
      <c r="U140" s="688"/>
      <c r="V140" s="455">
        <v>0</v>
      </c>
      <c r="W140" s="510">
        <f t="shared" ref="W140" si="127">(V140*X140)</f>
        <v>0</v>
      </c>
      <c r="X140" s="684"/>
      <c r="Y140" s="704">
        <f t="shared" ref="Y140" si="128">IF(D140&lt;&gt;0,($C141*(1-$V$1))-$D140,0)</f>
        <v>-1.5900000000000034</v>
      </c>
      <c r="Z140" s="331">
        <f>IFERROR(IF(C140&lt;&gt;"",$Y$1/(D136/100)*(C140/100),""),"")</f>
        <v>99.436678621044138</v>
      </c>
      <c r="AA140" s="400">
        <f>IFERROR($Z$1/(D140/100)*(C136/100),"")</f>
        <v>98272.552783109408</v>
      </c>
      <c r="AB140" s="38"/>
    </row>
    <row r="141" spans="1:28" ht="12.75" customHeight="1">
      <c r="A141" s="448" t="s">
        <v>233</v>
      </c>
      <c r="B141" s="449">
        <v>8000</v>
      </c>
      <c r="C141" s="433">
        <v>50.51</v>
      </c>
      <c r="D141" s="478">
        <v>51.5</v>
      </c>
      <c r="E141" s="443">
        <v>266</v>
      </c>
      <c r="F141" s="595">
        <v>51.5</v>
      </c>
      <c r="G141" s="450">
        <v>2.0199999999999999E-2</v>
      </c>
      <c r="H141" s="436">
        <v>50</v>
      </c>
      <c r="I141" s="437">
        <v>51.5</v>
      </c>
      <c r="J141" s="437">
        <v>50</v>
      </c>
      <c r="K141" s="453">
        <v>50.48</v>
      </c>
      <c r="L141" s="427">
        <v>7385</v>
      </c>
      <c r="M141" s="439">
        <v>14570</v>
      </c>
      <c r="N141" s="427">
        <v>25</v>
      </c>
      <c r="O141" s="428">
        <v>45366.674745370372</v>
      </c>
      <c r="P141" s="310">
        <v>140</v>
      </c>
      <c r="Q141" s="429">
        <v>0</v>
      </c>
      <c r="R141" s="451">
        <v>0</v>
      </c>
      <c r="S141" s="431">
        <v>0</v>
      </c>
      <c r="T141" s="442">
        <v>0</v>
      </c>
      <c r="U141" s="687"/>
      <c r="V141" s="456">
        <v>0</v>
      </c>
      <c r="W141" s="513">
        <f>V140*(F140/100)</f>
        <v>0</v>
      </c>
      <c r="X141" s="682"/>
      <c r="Y141" s="705">
        <f t="shared" ref="Y141" si="129">IFERROR(INT($Z$1/(F140/100)),"")</f>
        <v>194</v>
      </c>
      <c r="Z141" s="445">
        <f>IFERROR(IF(C141&lt;&gt;"",$Y$1/(D137/100)*(C141/100),""),"")</f>
        <v>97.884110891312218</v>
      </c>
      <c r="AA141" s="452">
        <f>IFERROR($Z$1/(D141/100)*(C137/100),"")</f>
        <v>101728.15533980582</v>
      </c>
      <c r="AB141" s="38"/>
    </row>
    <row r="142" spans="1:28" ht="12.75" customHeight="1">
      <c r="A142" s="285" t="s">
        <v>556</v>
      </c>
      <c r="B142" s="261">
        <v>16493</v>
      </c>
      <c r="C142" s="335">
        <v>41950</v>
      </c>
      <c r="D142" s="270">
        <v>42040</v>
      </c>
      <c r="E142" s="261">
        <v>70</v>
      </c>
      <c r="F142" s="292">
        <v>42040</v>
      </c>
      <c r="G142" s="344">
        <v>1.5800000000000002E-2</v>
      </c>
      <c r="H142" s="247">
        <v>41650</v>
      </c>
      <c r="I142" s="239">
        <v>42200</v>
      </c>
      <c r="J142" s="239">
        <v>41055</v>
      </c>
      <c r="K142" s="274">
        <v>41385</v>
      </c>
      <c r="L142" s="266">
        <v>372871382</v>
      </c>
      <c r="M142" s="243">
        <v>890375</v>
      </c>
      <c r="N142" s="266">
        <v>659</v>
      </c>
      <c r="O142" s="300">
        <v>45366.68513888889</v>
      </c>
      <c r="P142" s="311">
        <v>141</v>
      </c>
      <c r="Q142" s="279">
        <v>0</v>
      </c>
      <c r="R142" s="286">
        <v>0</v>
      </c>
      <c r="S142" s="290">
        <v>0</v>
      </c>
      <c r="T142" s="259">
        <v>0</v>
      </c>
      <c r="U142" s="688"/>
      <c r="V142" s="458"/>
      <c r="W142" s="512">
        <f t="shared" ref="W142" si="130">(V142*X142)</f>
        <v>0</v>
      </c>
      <c r="X142" s="681"/>
      <c r="Y142" s="503">
        <f t="shared" ref="Y142" si="131">IF(D142&lt;&gt;0,($C143*(1-$V$1))-$D142,0)</f>
        <v>260</v>
      </c>
      <c r="Z142" s="477"/>
      <c r="AA142" s="349"/>
      <c r="AB142" s="38"/>
    </row>
    <row r="143" spans="1:28" ht="12.75" customHeight="1">
      <c r="A143" s="284" t="s">
        <v>164</v>
      </c>
      <c r="B143" s="249">
        <v>2697</v>
      </c>
      <c r="C143" s="248">
        <v>42300</v>
      </c>
      <c r="D143" s="479">
        <v>42350</v>
      </c>
      <c r="E143" s="480">
        <v>952</v>
      </c>
      <c r="F143" s="250">
        <v>42350</v>
      </c>
      <c r="G143" s="346">
        <v>2.3E-2</v>
      </c>
      <c r="H143" s="246">
        <v>41395</v>
      </c>
      <c r="I143" s="237">
        <v>42500</v>
      </c>
      <c r="J143" s="237">
        <v>41390</v>
      </c>
      <c r="K143" s="272">
        <v>41395</v>
      </c>
      <c r="L143" s="244">
        <v>4687484806</v>
      </c>
      <c r="M143" s="241">
        <v>11108065</v>
      </c>
      <c r="N143" s="244">
        <v>1785</v>
      </c>
      <c r="O143" s="301">
        <v>45366.687650462962</v>
      </c>
      <c r="P143" s="310">
        <v>142</v>
      </c>
      <c r="Q143" s="277">
        <v>0</v>
      </c>
      <c r="R143" s="287">
        <v>0</v>
      </c>
      <c r="S143" s="289">
        <v>0</v>
      </c>
      <c r="T143" s="258">
        <v>0</v>
      </c>
      <c r="U143" s="687"/>
      <c r="V143" s="457">
        <v>0</v>
      </c>
      <c r="W143" s="507">
        <f>V142*(F142/100)</f>
        <v>0</v>
      </c>
      <c r="X143" s="683"/>
      <c r="Y143" s="701">
        <f t="shared" ref="Y143" si="132">IFERROR(INT($Y$1/(F142/100)),"")</f>
        <v>243</v>
      </c>
      <c r="Z143" s="410"/>
      <c r="AA143" s="350"/>
      <c r="AB143" s="38"/>
    </row>
    <row r="144" spans="1:28" ht="12.75" hidden="1" customHeight="1">
      <c r="A144" s="252" t="s">
        <v>557</v>
      </c>
      <c r="B144" s="261">
        <v>250000</v>
      </c>
      <c r="C144" s="335">
        <v>39</v>
      </c>
      <c r="D144" s="270"/>
      <c r="E144" s="261"/>
      <c r="F144" s="596"/>
      <c r="G144" s="347"/>
      <c r="H144" s="251"/>
      <c r="I144" s="238"/>
      <c r="J144" s="238"/>
      <c r="K144" s="275">
        <v>37.5</v>
      </c>
      <c r="L144" s="260"/>
      <c r="M144" s="242"/>
      <c r="N144" s="260"/>
      <c r="O144" s="302"/>
      <c r="P144" s="311">
        <v>143</v>
      </c>
      <c r="Q144" s="278">
        <v>0</v>
      </c>
      <c r="R144" s="288">
        <v>0</v>
      </c>
      <c r="S144" s="291">
        <v>0</v>
      </c>
      <c r="T144" s="257">
        <v>0</v>
      </c>
      <c r="U144" s="688"/>
      <c r="V144" s="327"/>
      <c r="W144" s="508">
        <f t="shared" ref="W144" si="133">(V144*X144)</f>
        <v>0</v>
      </c>
      <c r="X144" s="681"/>
      <c r="Y144" s="702">
        <f t="shared" ref="Y144" si="134">IF(D144&lt;&gt;0,($C145*(1-$V$1))-$D144,0)</f>
        <v>0</v>
      </c>
      <c r="Z144" s="333">
        <f>IFERROR(IF(C144&lt;&gt;"",$Y$1/(D142/100)*(C144/100),""),"")</f>
        <v>94.868891416800466</v>
      </c>
      <c r="AA144" s="399" t="str">
        <f>IFERROR($AA$1/(D144/100)*(C142/100),"")</f>
        <v/>
      </c>
      <c r="AB144" s="38"/>
    </row>
    <row r="145" spans="1:32" ht="12.75" hidden="1" customHeight="1">
      <c r="A145" s="312" t="s">
        <v>220</v>
      </c>
      <c r="B145" s="249">
        <v>250000</v>
      </c>
      <c r="C145" s="248">
        <v>39</v>
      </c>
      <c r="D145" s="479"/>
      <c r="E145" s="480"/>
      <c r="F145" s="250"/>
      <c r="G145" s="346"/>
      <c r="H145" s="246"/>
      <c r="I145" s="237"/>
      <c r="J145" s="237"/>
      <c r="K145" s="272">
        <v>39.6</v>
      </c>
      <c r="L145" s="244"/>
      <c r="M145" s="241"/>
      <c r="N145" s="244"/>
      <c r="O145" s="301"/>
      <c r="P145" s="310">
        <v>144</v>
      </c>
      <c r="Q145" s="277">
        <v>0</v>
      </c>
      <c r="R145" s="287">
        <v>0</v>
      </c>
      <c r="S145" s="289">
        <v>0</v>
      </c>
      <c r="T145" s="258">
        <v>0</v>
      </c>
      <c r="U145" s="687"/>
      <c r="V145" s="326">
        <v>0</v>
      </c>
      <c r="W145" s="509">
        <f>V144*(F144/100)</f>
        <v>0</v>
      </c>
      <c r="X145" s="683"/>
      <c r="Y145" s="703" t="str">
        <f t="shared" ref="Y145" si="135">IFERROR(INT($AA$1/(F144/100)),"")</f>
        <v/>
      </c>
      <c r="Z145" s="332">
        <f>IFERROR(IF(C145&lt;&gt;"",$Y$1/(D143/100)*(C145/100),""),"")</f>
        <v>94.174455611860466</v>
      </c>
      <c r="AA145" s="401" t="str">
        <f>IFERROR($AA$1/(D145/100)*(C143/100),"")</f>
        <v/>
      </c>
      <c r="AB145" s="38"/>
    </row>
    <row r="146" spans="1:32" ht="12.75" customHeight="1">
      <c r="A146" s="415" t="s">
        <v>558</v>
      </c>
      <c r="B146" s="261">
        <v>57787</v>
      </c>
      <c r="C146" s="335">
        <v>41.2</v>
      </c>
      <c r="D146" s="270">
        <v>41.3</v>
      </c>
      <c r="E146" s="261">
        <v>608</v>
      </c>
      <c r="F146" s="596">
        <v>41.3</v>
      </c>
      <c r="G146" s="347">
        <v>4.8999999999999998E-3</v>
      </c>
      <c r="H146" s="251">
        <v>41</v>
      </c>
      <c r="I146" s="238">
        <v>41.99</v>
      </c>
      <c r="J146" s="238">
        <v>39.99</v>
      </c>
      <c r="K146" s="275">
        <v>41.097000000000001</v>
      </c>
      <c r="L146" s="260">
        <v>134173</v>
      </c>
      <c r="M146" s="242">
        <v>324078</v>
      </c>
      <c r="N146" s="260">
        <v>309</v>
      </c>
      <c r="O146" s="302">
        <v>45366.687662037039</v>
      </c>
      <c r="P146" s="311">
        <v>145</v>
      </c>
      <c r="Q146" s="278">
        <v>0</v>
      </c>
      <c r="R146" s="288">
        <v>0</v>
      </c>
      <c r="S146" s="291">
        <v>0</v>
      </c>
      <c r="T146" s="257">
        <v>0</v>
      </c>
      <c r="U146" s="688"/>
      <c r="V146" s="455"/>
      <c r="W146" s="510">
        <f t="shared" ref="W146" si="136">(V146*X146)</f>
        <v>0</v>
      </c>
      <c r="X146" s="684"/>
      <c r="Y146" s="704">
        <f t="shared" ref="Y146" si="137">IF(D146&lt;&gt;0,($C147*(1-$V$1))-$D146,0)</f>
        <v>5.0000000000004263E-2</v>
      </c>
      <c r="Z146" s="331">
        <f>IFERROR(IF(C146&lt;&gt;"",$Y$1/(D142/100)*(C146/100),""),"")</f>
        <v>100.22046990697895</v>
      </c>
      <c r="AA146" s="400">
        <f>IFERROR($Z$1/(D146/100)*(C142/100),"")</f>
        <v>101573.84987893462</v>
      </c>
      <c r="AB146" s="38"/>
    </row>
    <row r="147" spans="1:32" ht="12.75" customHeight="1">
      <c r="A147" s="448" t="s">
        <v>221</v>
      </c>
      <c r="B147" s="449">
        <v>1982</v>
      </c>
      <c r="C147" s="433">
        <v>41.35</v>
      </c>
      <c r="D147" s="478">
        <v>41.44</v>
      </c>
      <c r="E147" s="443">
        <v>25000</v>
      </c>
      <c r="F147" s="595">
        <v>41.35</v>
      </c>
      <c r="G147" s="450">
        <v>1.44E-2</v>
      </c>
      <c r="H147" s="436">
        <v>40.75</v>
      </c>
      <c r="I147" s="437">
        <v>41.75</v>
      </c>
      <c r="J147" s="437">
        <v>40.01</v>
      </c>
      <c r="K147" s="453">
        <v>40.76</v>
      </c>
      <c r="L147" s="427">
        <v>257178</v>
      </c>
      <c r="M147" s="439">
        <v>621159</v>
      </c>
      <c r="N147" s="427">
        <v>322</v>
      </c>
      <c r="O147" s="428">
        <v>45366.686192129629</v>
      </c>
      <c r="P147" s="310">
        <v>146</v>
      </c>
      <c r="Q147" s="429">
        <v>0</v>
      </c>
      <c r="R147" s="451">
        <v>0</v>
      </c>
      <c r="S147" s="431">
        <v>0</v>
      </c>
      <c r="T147" s="442">
        <v>0</v>
      </c>
      <c r="U147" s="687"/>
      <c r="V147" s="456">
        <v>0</v>
      </c>
      <c r="W147" s="513">
        <f>V146*(F146/100)</f>
        <v>0</v>
      </c>
      <c r="X147" s="682"/>
      <c r="Y147" s="705">
        <f t="shared" ref="Y147" si="138">IFERROR(INT($Z$1/(F146/100)),"")</f>
        <v>242</v>
      </c>
      <c r="Z147" s="445">
        <f>IFERROR(IF(C147&lt;&gt;"",$Y$1/(D143/100)*(C147/100),""),"")</f>
        <v>99.849070244882839</v>
      </c>
      <c r="AA147" s="452">
        <f>IFERROR($Z$1/(D147/100)*(C143/100),"")</f>
        <v>102075.28957528957</v>
      </c>
      <c r="AB147" s="38"/>
    </row>
    <row r="148" spans="1:32" ht="12.75" customHeight="1">
      <c r="A148" s="285" t="s">
        <v>562</v>
      </c>
      <c r="B148" s="261">
        <v>1500</v>
      </c>
      <c r="C148" s="335">
        <v>45600</v>
      </c>
      <c r="D148" s="270">
        <v>47890</v>
      </c>
      <c r="E148" s="261">
        <v>1000</v>
      </c>
      <c r="F148" s="292">
        <v>46345</v>
      </c>
      <c r="G148" s="344">
        <v>3.7400000000000003E-2</v>
      </c>
      <c r="H148" s="247">
        <v>43910</v>
      </c>
      <c r="I148" s="239">
        <v>47390</v>
      </c>
      <c r="J148" s="239">
        <v>43860</v>
      </c>
      <c r="K148" s="274">
        <v>44670</v>
      </c>
      <c r="L148" s="266">
        <v>44900181</v>
      </c>
      <c r="M148" s="243">
        <v>97775</v>
      </c>
      <c r="N148" s="266">
        <v>200</v>
      </c>
      <c r="O148" s="300">
        <v>45366.678946759261</v>
      </c>
      <c r="P148" s="311">
        <v>147</v>
      </c>
      <c r="Q148" s="279">
        <v>0</v>
      </c>
      <c r="R148" s="286">
        <v>0</v>
      </c>
      <c r="S148" s="290">
        <v>0</v>
      </c>
      <c r="T148" s="259">
        <v>0</v>
      </c>
      <c r="U148" s="688"/>
      <c r="V148" s="458">
        <v>0</v>
      </c>
      <c r="W148" s="512">
        <f t="shared" ref="W148" si="139">(V148*X148)</f>
        <v>0</v>
      </c>
      <c r="X148" s="681"/>
      <c r="Y148" s="503">
        <f t="shared" ref="Y148" si="140">IF(D148&lt;&gt;0,($C149*(1-$V$1))-$D148,0)</f>
        <v>-1170</v>
      </c>
      <c r="Z148" s="477"/>
      <c r="AA148" s="349"/>
      <c r="AB148" s="38"/>
    </row>
    <row r="149" spans="1:32" ht="12.75" customHeight="1">
      <c r="A149" s="284" t="s">
        <v>190</v>
      </c>
      <c r="B149" s="249">
        <v>3863</v>
      </c>
      <c r="C149" s="248">
        <v>46720</v>
      </c>
      <c r="D149" s="479">
        <v>46895</v>
      </c>
      <c r="E149" s="480">
        <v>2068</v>
      </c>
      <c r="F149" s="250">
        <v>46720</v>
      </c>
      <c r="G149" s="346">
        <v>3.8199999999999998E-2</v>
      </c>
      <c r="H149" s="246">
        <v>45000</v>
      </c>
      <c r="I149" s="237">
        <v>47160</v>
      </c>
      <c r="J149" s="237">
        <v>44235</v>
      </c>
      <c r="K149" s="272">
        <v>45000</v>
      </c>
      <c r="L149" s="244">
        <v>730230528</v>
      </c>
      <c r="M149" s="241">
        <v>1569846</v>
      </c>
      <c r="N149" s="244">
        <v>484</v>
      </c>
      <c r="O149" s="301">
        <v>45366.687488425923</v>
      </c>
      <c r="P149" s="310">
        <v>148</v>
      </c>
      <c r="Q149" s="277">
        <v>0</v>
      </c>
      <c r="R149" s="287">
        <v>0</v>
      </c>
      <c r="S149" s="289">
        <v>0</v>
      </c>
      <c r="T149" s="258">
        <v>0</v>
      </c>
      <c r="U149" s="687"/>
      <c r="V149" s="457">
        <v>0</v>
      </c>
      <c r="W149" s="507">
        <f>V148*(F148/100)</f>
        <v>0</v>
      </c>
      <c r="X149" s="683"/>
      <c r="Y149" s="701">
        <f t="shared" ref="Y149" si="141">IFERROR(INT($Y$1/(F148/100)),"")</f>
        <v>220</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8"/>
      <c r="V150" s="327"/>
      <c r="W150" s="508">
        <f t="shared" ref="W150" si="142">(V150*X150)</f>
        <v>0</v>
      </c>
      <c r="X150" s="681"/>
      <c r="Y150" s="702">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7"/>
      <c r="V151" s="326">
        <v>0</v>
      </c>
      <c r="W151" s="509">
        <f>V150*(F150/100)</f>
        <v>0</v>
      </c>
      <c r="X151" s="683"/>
      <c r="Y151" s="703" t="str">
        <f t="shared" ref="Y151" si="144">IFERROR(INT($AA$1/(F150/100)),"")</f>
        <v/>
      </c>
      <c r="Z151" s="332" t="str">
        <f>IFERROR(IF(C151&lt;&gt;"",$Y$1/(D149/100)*(C151/100),""),"")</f>
        <v/>
      </c>
      <c r="AA151" s="401" t="str">
        <f>IFERROR($AA$1/(D151/100)*(C149/100),"")</f>
        <v/>
      </c>
      <c r="AB151" s="38"/>
    </row>
    <row r="152" spans="1:32" ht="12.75" customHeight="1">
      <c r="A152" s="415" t="s">
        <v>564</v>
      </c>
      <c r="B152" s="261">
        <v>914</v>
      </c>
      <c r="C152" s="335">
        <v>43.76</v>
      </c>
      <c r="D152" s="270">
        <v>45.99</v>
      </c>
      <c r="E152" s="261">
        <v>1931</v>
      </c>
      <c r="F152" s="596">
        <v>45.99</v>
      </c>
      <c r="G152" s="347">
        <v>3.6299999999999999E-2</v>
      </c>
      <c r="H152" s="251">
        <v>43.558</v>
      </c>
      <c r="I152" s="238">
        <v>45.999000000000002</v>
      </c>
      <c r="J152" s="238">
        <v>42.95</v>
      </c>
      <c r="K152" s="275">
        <v>44.377000000000002</v>
      </c>
      <c r="L152" s="260">
        <v>40098</v>
      </c>
      <c r="M152" s="242">
        <v>90380</v>
      </c>
      <c r="N152" s="260">
        <v>118</v>
      </c>
      <c r="O152" s="302">
        <v>45366.683321759258</v>
      </c>
      <c r="P152" s="311">
        <v>151</v>
      </c>
      <c r="Q152" s="278">
        <v>0</v>
      </c>
      <c r="R152" s="288">
        <v>0</v>
      </c>
      <c r="S152" s="291">
        <v>0</v>
      </c>
      <c r="T152" s="257">
        <v>0</v>
      </c>
      <c r="U152" s="688"/>
      <c r="V152" s="455">
        <v>0</v>
      </c>
      <c r="W152" s="510">
        <f t="shared" ref="W152" si="145">(V152*X152)</f>
        <v>0</v>
      </c>
      <c r="X152" s="684"/>
      <c r="Y152" s="704">
        <f t="shared" ref="Y152" si="146">IF(D152&lt;&gt;0,($C153*(1-$V$1))-$D152,0)</f>
        <v>-0.34000000000000341</v>
      </c>
      <c r="Z152" s="331">
        <f>IFERROR(IF(C152&lt;&gt;"",$Y$1/(D148/100)*(C152/100),""),"")</f>
        <v>93.444641523738611</v>
      </c>
      <c r="AA152" s="400">
        <f>IFERROR($Z$1/(D152/100)*(C148/100),"")</f>
        <v>99151.989562948467</v>
      </c>
      <c r="AB152" s="38"/>
    </row>
    <row r="153" spans="1:32" ht="12.75" customHeight="1">
      <c r="A153" s="448" t="s">
        <v>235</v>
      </c>
      <c r="B153" s="449">
        <v>7811</v>
      </c>
      <c r="C153" s="433">
        <v>45.65</v>
      </c>
      <c r="D153" s="478">
        <v>45.9</v>
      </c>
      <c r="E153" s="443">
        <v>20</v>
      </c>
      <c r="F153" s="595">
        <v>45.65</v>
      </c>
      <c r="G153" s="450">
        <v>3.7400000000000003E-2</v>
      </c>
      <c r="H153" s="436">
        <v>43.6</v>
      </c>
      <c r="I153" s="437">
        <v>45.9</v>
      </c>
      <c r="J153" s="437">
        <v>43.6</v>
      </c>
      <c r="K153" s="453">
        <v>44</v>
      </c>
      <c r="L153" s="427">
        <v>51997</v>
      </c>
      <c r="M153" s="439">
        <v>114931</v>
      </c>
      <c r="N153" s="427">
        <v>107</v>
      </c>
      <c r="O153" s="428">
        <v>45366.685497685183</v>
      </c>
      <c r="P153" s="310">
        <v>152</v>
      </c>
      <c r="Q153" s="429">
        <v>0</v>
      </c>
      <c r="R153" s="451">
        <v>0</v>
      </c>
      <c r="S153" s="431">
        <v>0</v>
      </c>
      <c r="T153" s="442">
        <v>0</v>
      </c>
      <c r="U153" s="687"/>
      <c r="V153" s="456">
        <v>0</v>
      </c>
      <c r="W153" s="513">
        <f>V152*(F152/100)</f>
        <v>0</v>
      </c>
      <c r="X153" s="682"/>
      <c r="Y153" s="705">
        <f t="shared" ref="Y153" si="147">IFERROR(INT($Z$1/(F152/100)),"")</f>
        <v>217</v>
      </c>
      <c r="Z153" s="445">
        <f>IFERROR(IF(C153&lt;&gt;"",$Y$1/(D149/100)*(C153/100),""),"")</f>
        <v>99.548831737656442</v>
      </c>
      <c r="AA153" s="452">
        <f>IFERROR($Z$1/(D153/100)*(C149/100),"")</f>
        <v>101786.49237472768</v>
      </c>
      <c r="AB153" s="38"/>
    </row>
    <row r="154" spans="1:32" ht="12.75" customHeight="1">
      <c r="A154" s="285" t="s">
        <v>559</v>
      </c>
      <c r="B154" s="261">
        <v>230</v>
      </c>
      <c r="C154" s="335">
        <v>39475</v>
      </c>
      <c r="D154" s="270">
        <v>40920</v>
      </c>
      <c r="E154" s="261">
        <v>5179</v>
      </c>
      <c r="F154" s="292">
        <v>40065</v>
      </c>
      <c r="G154" s="344">
        <v>3.4799999999999998E-2</v>
      </c>
      <c r="H154" s="247">
        <v>39710</v>
      </c>
      <c r="I154" s="239">
        <v>40290</v>
      </c>
      <c r="J154" s="239">
        <v>38180</v>
      </c>
      <c r="K154" s="274">
        <v>38715</v>
      </c>
      <c r="L154" s="266">
        <v>312290580</v>
      </c>
      <c r="M154" s="243">
        <v>780161</v>
      </c>
      <c r="N154" s="266">
        <v>127</v>
      </c>
      <c r="O154" s="300">
        <v>45366.683888888889</v>
      </c>
      <c r="P154" s="311">
        <v>153</v>
      </c>
      <c r="Q154" s="279">
        <v>0</v>
      </c>
      <c r="R154" s="286">
        <v>0</v>
      </c>
      <c r="S154" s="290">
        <v>0</v>
      </c>
      <c r="T154" s="259">
        <v>0</v>
      </c>
      <c r="U154" s="688"/>
      <c r="V154" s="458">
        <v>0</v>
      </c>
      <c r="W154" s="512">
        <f t="shared" ref="W154" si="148">(V154*X154)</f>
        <v>0</v>
      </c>
      <c r="X154" s="681"/>
      <c r="Y154" s="503">
        <f t="shared" ref="Y154" si="149">IF(D154&lt;&gt;0,($C155*(1-$V$1))-$D154,0)</f>
        <v>-720</v>
      </c>
      <c r="Z154" s="477"/>
      <c r="AA154" s="349"/>
      <c r="AB154" s="38"/>
      <c r="AC154" s="454">
        <v>28</v>
      </c>
      <c r="AE154" s="47">
        <v>440</v>
      </c>
      <c r="AF154" s="47">
        <f>AC154*AE154</f>
        <v>12320</v>
      </c>
    </row>
    <row r="155" spans="1:32" ht="12.75" customHeight="1">
      <c r="A155" s="284" t="s">
        <v>188</v>
      </c>
      <c r="B155" s="249">
        <v>5042</v>
      </c>
      <c r="C155" s="248">
        <v>40200</v>
      </c>
      <c r="D155" s="479">
        <v>40590</v>
      </c>
      <c r="E155" s="480">
        <v>564</v>
      </c>
      <c r="F155" s="250">
        <v>40200</v>
      </c>
      <c r="G155" s="346">
        <v>3.6600000000000001E-2</v>
      </c>
      <c r="H155" s="246">
        <v>38800</v>
      </c>
      <c r="I155" s="237">
        <v>41595</v>
      </c>
      <c r="J155" s="237">
        <v>38150</v>
      </c>
      <c r="K155" s="272">
        <v>38780</v>
      </c>
      <c r="L155" s="244">
        <v>744617424</v>
      </c>
      <c r="M155" s="241">
        <v>1858084</v>
      </c>
      <c r="N155" s="244">
        <v>403</v>
      </c>
      <c r="O155" s="301">
        <v>45366.687685185185</v>
      </c>
      <c r="P155" s="310">
        <v>154</v>
      </c>
      <c r="Q155" s="277">
        <v>0</v>
      </c>
      <c r="R155" s="287">
        <v>0</v>
      </c>
      <c r="S155" s="289">
        <v>0</v>
      </c>
      <c r="T155" s="258">
        <v>0</v>
      </c>
      <c r="U155" s="687"/>
      <c r="V155" s="457">
        <v>0</v>
      </c>
      <c r="W155" s="507">
        <f>V154*(F154/100)</f>
        <v>0</v>
      </c>
      <c r="X155" s="683"/>
      <c r="Y155" s="701">
        <f t="shared" ref="Y155" si="150">IFERROR(INT($Y$1/(F154/100)),"")</f>
        <v>255</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8"/>
      <c r="V156" s="327"/>
      <c r="W156" s="508">
        <f t="shared" ref="W156" si="152">(V156*X156)</f>
        <v>0</v>
      </c>
      <c r="X156" s="681"/>
      <c r="Y156" s="702">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7"/>
      <c r="V157" s="326">
        <v>0</v>
      </c>
      <c r="W157" s="509">
        <f>V156*(F156/100)</f>
        <v>0</v>
      </c>
      <c r="X157" s="683"/>
      <c r="Y157" s="703"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12097</v>
      </c>
      <c r="C158" s="335">
        <v>38.6</v>
      </c>
      <c r="D158" s="270">
        <v>39.799999999999997</v>
      </c>
      <c r="E158" s="261">
        <v>500</v>
      </c>
      <c r="F158" s="596">
        <v>39.200000000000003</v>
      </c>
      <c r="G158" s="347">
        <v>1.9699999999999999E-2</v>
      </c>
      <c r="H158" s="251">
        <v>38.43</v>
      </c>
      <c r="I158" s="238">
        <v>39.683999999999997</v>
      </c>
      <c r="J158" s="238">
        <v>38.43</v>
      </c>
      <c r="K158" s="275">
        <v>38.439</v>
      </c>
      <c r="L158" s="260">
        <v>14463</v>
      </c>
      <c r="M158" s="242">
        <v>37035</v>
      </c>
      <c r="N158" s="260">
        <v>42</v>
      </c>
      <c r="O158" s="302">
        <v>45366.680914351855</v>
      </c>
      <c r="P158" s="311">
        <v>157</v>
      </c>
      <c r="Q158" s="278">
        <v>0</v>
      </c>
      <c r="R158" s="288">
        <v>0</v>
      </c>
      <c r="S158" s="291">
        <v>0</v>
      </c>
      <c r="T158" s="257">
        <v>0</v>
      </c>
      <c r="U158" s="688"/>
      <c r="V158" s="455">
        <v>0</v>
      </c>
      <c r="W158" s="510">
        <f t="shared" ref="W158" si="155">(V158*X158)</f>
        <v>0</v>
      </c>
      <c r="X158" s="684"/>
      <c r="Y158" s="704">
        <f t="shared" ref="Y158" si="156">IF(D158&lt;&gt;0,($C159*(1-$V$1))-$D158,0)</f>
        <v>-0.79899999999999949</v>
      </c>
      <c r="Z158" s="331">
        <f>IFERROR(IF(C158&lt;&gt;"",$Y$1/(D154/100)*(C158/100),""),"")</f>
        <v>96.465852277905881</v>
      </c>
      <c r="AA158" s="400">
        <f>IFERROR($Z$1/(D158/100)*(C154/100),"")</f>
        <v>99183.417085427151</v>
      </c>
      <c r="AB158" s="38"/>
      <c r="AC158" s="468">
        <f>SUM(AC154:AC157)</f>
        <v>28</v>
      </c>
      <c r="AD158" s="469"/>
      <c r="AE158" s="469" t="s">
        <v>588</v>
      </c>
      <c r="AF158" s="469">
        <f>SUM(AF154:AF157)</f>
        <v>12320</v>
      </c>
    </row>
    <row r="159" spans="1:32" ht="12.75" customHeight="1">
      <c r="A159" s="448" t="s">
        <v>237</v>
      </c>
      <c r="B159" s="449">
        <v>7996</v>
      </c>
      <c r="C159" s="433">
        <v>39.000999999999998</v>
      </c>
      <c r="D159" s="478">
        <v>39.700000000000003</v>
      </c>
      <c r="E159" s="443">
        <v>3467</v>
      </c>
      <c r="F159" s="595">
        <v>39.000999999999998</v>
      </c>
      <c r="G159" s="450">
        <v>3.1699999999999999E-2</v>
      </c>
      <c r="H159" s="436">
        <v>37.81</v>
      </c>
      <c r="I159" s="437">
        <v>39.899000000000001</v>
      </c>
      <c r="J159" s="437">
        <v>37.81</v>
      </c>
      <c r="K159" s="453">
        <v>37.799999999999997</v>
      </c>
      <c r="L159" s="427">
        <v>6890</v>
      </c>
      <c r="M159" s="439">
        <v>17481</v>
      </c>
      <c r="N159" s="427">
        <v>50</v>
      </c>
      <c r="O159" s="428">
        <v>45366.685740740744</v>
      </c>
      <c r="P159" s="310">
        <v>158</v>
      </c>
      <c r="Q159" s="429">
        <v>0</v>
      </c>
      <c r="R159" s="451">
        <v>0</v>
      </c>
      <c r="S159" s="431">
        <v>0</v>
      </c>
      <c r="T159" s="442">
        <v>0</v>
      </c>
      <c r="U159" s="687"/>
      <c r="V159" s="456">
        <v>0</v>
      </c>
      <c r="W159" s="513">
        <f>V158*(F158/100)</f>
        <v>0</v>
      </c>
      <c r="X159" s="682"/>
      <c r="Y159" s="705">
        <f t="shared" ref="Y159" si="157">IFERROR(INT($Z$1/(F158/100)),"")</f>
        <v>255</v>
      </c>
      <c r="Z159" s="445">
        <f>IFERROR(IF(C159&lt;&gt;"",$Y$1/(D155/100)*(C159/100),""),"")</f>
        <v>98.260420274997955</v>
      </c>
      <c r="AA159" s="452">
        <f>IFERROR($Z$1/(D159/100)*(C155/100),"")</f>
        <v>101259.44584382871</v>
      </c>
      <c r="AB159" s="38"/>
      <c r="AC159" s="754">
        <f>AF158/AC158</f>
        <v>440</v>
      </c>
      <c r="AD159" s="754"/>
      <c r="AE159" s="754"/>
      <c r="AF159" s="754"/>
    </row>
    <row r="160" spans="1:32" ht="12.75" customHeight="1">
      <c r="A160" s="285" t="s">
        <v>565</v>
      </c>
      <c r="B160" s="261">
        <v>453</v>
      </c>
      <c r="C160" s="335">
        <v>43800</v>
      </c>
      <c r="D160" s="270">
        <v>44375</v>
      </c>
      <c r="E160" s="261">
        <v>728</v>
      </c>
      <c r="F160" s="292">
        <v>44375</v>
      </c>
      <c r="G160" s="344">
        <v>2.7300000000000001E-2</v>
      </c>
      <c r="H160" s="247">
        <v>43600</v>
      </c>
      <c r="I160" s="239">
        <v>45000</v>
      </c>
      <c r="J160" s="239">
        <v>42700</v>
      </c>
      <c r="K160" s="274">
        <v>43195</v>
      </c>
      <c r="L160" s="266">
        <v>6419782</v>
      </c>
      <c r="M160" s="243">
        <v>14515</v>
      </c>
      <c r="N160" s="266">
        <v>64</v>
      </c>
      <c r="O160" s="300">
        <v>45366.687662037039</v>
      </c>
      <c r="P160" s="311">
        <v>159</v>
      </c>
      <c r="Q160" s="279">
        <v>0</v>
      </c>
      <c r="R160" s="286">
        <v>0</v>
      </c>
      <c r="S160" s="290">
        <v>0</v>
      </c>
      <c r="T160" s="259">
        <v>0</v>
      </c>
      <c r="U160" s="688"/>
      <c r="V160" s="458"/>
      <c r="W160" s="512">
        <f t="shared" ref="W160" si="158">(V160*X160)</f>
        <v>0</v>
      </c>
      <c r="X160" s="681"/>
      <c r="Y160" s="503">
        <f t="shared" ref="Y160" si="159">IF(D160&lt;&gt;0,($C161*(1-$V$1))-$D160,0)</f>
        <v>-775</v>
      </c>
      <c r="Z160" s="477"/>
      <c r="AA160" s="349"/>
      <c r="AB160" s="38"/>
    </row>
    <row r="161" spans="1:28" ht="12.75" customHeight="1">
      <c r="A161" s="284" t="s">
        <v>189</v>
      </c>
      <c r="B161" s="249">
        <v>901</v>
      </c>
      <c r="C161" s="248">
        <v>43600</v>
      </c>
      <c r="D161" s="479">
        <v>44735</v>
      </c>
      <c r="E161" s="480">
        <v>855</v>
      </c>
      <c r="F161" s="250">
        <v>44735</v>
      </c>
      <c r="G161" s="346">
        <v>2.8300000000000002E-2</v>
      </c>
      <c r="H161" s="246">
        <v>43000</v>
      </c>
      <c r="I161" s="237">
        <v>45685</v>
      </c>
      <c r="J161" s="237">
        <v>42700</v>
      </c>
      <c r="K161" s="272">
        <v>43500</v>
      </c>
      <c r="L161" s="244">
        <v>69248742</v>
      </c>
      <c r="M161" s="241">
        <v>156798</v>
      </c>
      <c r="N161" s="244">
        <v>165</v>
      </c>
      <c r="O161" s="301">
        <v>45366.682858796295</v>
      </c>
      <c r="P161" s="310">
        <v>160</v>
      </c>
      <c r="Q161" s="277">
        <v>0</v>
      </c>
      <c r="R161" s="287">
        <v>0</v>
      </c>
      <c r="S161" s="289">
        <v>0</v>
      </c>
      <c r="T161" s="258">
        <v>0</v>
      </c>
      <c r="U161" s="687"/>
      <c r="V161" s="457">
        <v>0</v>
      </c>
      <c r="W161" s="507">
        <f>V160*(F160/100)</f>
        <v>0</v>
      </c>
      <c r="X161" s="683"/>
      <c r="Y161" s="701">
        <f t="shared" ref="Y161" si="160">IFERROR(INT($Y$1/(F160/100)),"")</f>
        <v>230</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8"/>
      <c r="V162" s="327"/>
      <c r="W162" s="508">
        <f t="shared" ref="W162" si="161">(V162*X162)</f>
        <v>0</v>
      </c>
      <c r="X162" s="681"/>
      <c r="Y162" s="702">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7"/>
      <c r="V163" s="326">
        <v>0</v>
      </c>
      <c r="W163" s="509">
        <f>V162*(F162/100)</f>
        <v>0</v>
      </c>
      <c r="X163" s="683"/>
      <c r="Y163" s="703" t="str">
        <f t="shared" ref="Y163" si="163">IFERROR(INT($AA$1/(F162/100)),"")</f>
        <v/>
      </c>
      <c r="Z163" s="332" t="str">
        <f>IFERROR(IF(C163&lt;&gt;"",$Y$1/(D161/100)*(C163/100),""),"")</f>
        <v/>
      </c>
      <c r="AA163" s="401" t="str">
        <f>IFERROR($AA$1/(D163/100)*(C161/100),"")</f>
        <v/>
      </c>
      <c r="AB163" s="38"/>
    </row>
    <row r="164" spans="1:28" ht="12.75" customHeight="1">
      <c r="A164" s="415" t="s">
        <v>567</v>
      </c>
      <c r="B164" s="261">
        <v>1161</v>
      </c>
      <c r="C164" s="335">
        <v>43.05</v>
      </c>
      <c r="D164" s="270">
        <v>43.7</v>
      </c>
      <c r="E164" s="261">
        <v>291</v>
      </c>
      <c r="F164" s="596">
        <v>43.7</v>
      </c>
      <c r="G164" s="347">
        <v>-6.3E-3</v>
      </c>
      <c r="H164" s="251">
        <v>43.98</v>
      </c>
      <c r="I164" s="238">
        <v>44</v>
      </c>
      <c r="J164" s="238">
        <v>42.997</v>
      </c>
      <c r="K164" s="275">
        <v>43.98</v>
      </c>
      <c r="L164" s="260">
        <v>1484</v>
      </c>
      <c r="M164" s="242">
        <v>3426</v>
      </c>
      <c r="N164" s="260">
        <v>12</v>
      </c>
      <c r="O164" s="302">
        <v>45366.687708333331</v>
      </c>
      <c r="P164" s="311">
        <v>163</v>
      </c>
      <c r="Q164" s="278">
        <v>0</v>
      </c>
      <c r="R164" s="288">
        <v>0</v>
      </c>
      <c r="S164" s="291">
        <v>0</v>
      </c>
      <c r="T164" s="257">
        <v>0</v>
      </c>
      <c r="U164" s="688"/>
      <c r="V164" s="455">
        <v>0</v>
      </c>
      <c r="W164" s="510">
        <f t="shared" ref="W164" si="164">(V164*X164)</f>
        <v>0</v>
      </c>
      <c r="X164" s="684"/>
      <c r="Y164" s="704">
        <f t="shared" ref="Y164" si="165">IF(D164&lt;&gt;0,($C165*(1-$V$1))-$D164,0)</f>
        <v>-0.70000000000000284</v>
      </c>
      <c r="Z164" s="331">
        <f>IFERROR(IF(C164&lt;&gt;"",$Y$1/(D160/100)*(C164/100),""),"")</f>
        <v>99.210289231772691</v>
      </c>
      <c r="AA164" s="400">
        <f>IFERROR($Z$1/(D164/100)*(C160/100),"")</f>
        <v>100228.83295194506</v>
      </c>
      <c r="AB164" s="38"/>
    </row>
    <row r="165" spans="1:28" ht="12.75" customHeight="1">
      <c r="A165" s="448" t="s">
        <v>277</v>
      </c>
      <c r="B165" s="449">
        <v>92</v>
      </c>
      <c r="C165" s="433">
        <v>43</v>
      </c>
      <c r="D165" s="478">
        <v>43.55</v>
      </c>
      <c r="E165" s="443">
        <v>3120</v>
      </c>
      <c r="F165" s="595">
        <v>43.55</v>
      </c>
      <c r="G165" s="450">
        <v>2.4700000000000003E-2</v>
      </c>
      <c r="H165" s="436">
        <v>42.4</v>
      </c>
      <c r="I165" s="437">
        <v>44.3</v>
      </c>
      <c r="J165" s="437">
        <v>42</v>
      </c>
      <c r="K165" s="453">
        <v>42.5</v>
      </c>
      <c r="L165" s="427">
        <v>17734</v>
      </c>
      <c r="M165" s="439">
        <v>41402</v>
      </c>
      <c r="N165" s="427">
        <v>60</v>
      </c>
      <c r="O165" s="428">
        <v>45366.680486111109</v>
      </c>
      <c r="P165" s="310">
        <v>164</v>
      </c>
      <c r="Q165" s="429">
        <v>0</v>
      </c>
      <c r="R165" s="451">
        <v>0</v>
      </c>
      <c r="S165" s="431">
        <v>0</v>
      </c>
      <c r="T165" s="442">
        <v>0</v>
      </c>
      <c r="U165" s="687"/>
      <c r="V165" s="456">
        <v>0</v>
      </c>
      <c r="W165" s="513">
        <f>V164*(F164/100)</f>
        <v>0</v>
      </c>
      <c r="X165" s="682"/>
      <c r="Y165" s="705">
        <f t="shared" ref="Y165" si="166">IFERROR(INT($Z$1/(F164/100)),"")</f>
        <v>228</v>
      </c>
      <c r="Z165" s="445">
        <f>IFERROR(IF(C165&lt;&gt;"",$Y$1/(D161/100)*(C165/100),""),"")</f>
        <v>98.297605782186551</v>
      </c>
      <c r="AA165" s="452">
        <f>IFERROR($Z$1/(D165/100)*(C161/100),"")</f>
        <v>100114.81056257176</v>
      </c>
      <c r="AB165" s="38"/>
    </row>
    <row r="166" spans="1:28" ht="12.75" customHeight="1">
      <c r="A166" s="285" t="s">
        <v>565</v>
      </c>
      <c r="B166" s="261">
        <v>453</v>
      </c>
      <c r="C166" s="335">
        <v>43800</v>
      </c>
      <c r="D166" s="270">
        <v>44375</v>
      </c>
      <c r="E166" s="261">
        <v>728</v>
      </c>
      <c r="F166" s="292">
        <v>44375</v>
      </c>
      <c r="G166" s="344">
        <v>2.7300000000000001E-2</v>
      </c>
      <c r="H166" s="247">
        <v>43600</v>
      </c>
      <c r="I166" s="239">
        <v>45000</v>
      </c>
      <c r="J166" s="239">
        <v>42700</v>
      </c>
      <c r="K166" s="274">
        <v>43195</v>
      </c>
      <c r="L166" s="266">
        <v>6419782</v>
      </c>
      <c r="M166" s="243">
        <v>14515</v>
      </c>
      <c r="N166" s="266">
        <v>64</v>
      </c>
      <c r="O166" s="300">
        <v>45366.687662037039</v>
      </c>
      <c r="P166" s="311">
        <v>165</v>
      </c>
      <c r="Q166" s="279">
        <v>0</v>
      </c>
      <c r="R166" s="286">
        <v>0</v>
      </c>
      <c r="S166" s="290">
        <v>0</v>
      </c>
      <c r="T166" s="259">
        <v>0</v>
      </c>
      <c r="U166" s="688"/>
      <c r="V166" s="458"/>
      <c r="W166" s="512">
        <f t="shared" ref="W166" si="167">(V166*X166)</f>
        <v>0</v>
      </c>
      <c r="X166" s="681">
        <v>435.95</v>
      </c>
      <c r="Y166" s="503">
        <f t="shared" ref="Y166" si="168">IF(D166&lt;&gt;0,($C167*(1-$V$1))-$D166,0)</f>
        <v>-775</v>
      </c>
      <c r="Z166" s="477"/>
      <c r="AA166" s="349"/>
    </row>
    <row r="167" spans="1:28" ht="12.75" customHeight="1">
      <c r="A167" s="284" t="s">
        <v>189</v>
      </c>
      <c r="B167" s="249">
        <v>901</v>
      </c>
      <c r="C167" s="248">
        <v>43600</v>
      </c>
      <c r="D167" s="479">
        <v>44735</v>
      </c>
      <c r="E167" s="480">
        <v>855</v>
      </c>
      <c r="F167" s="250">
        <v>44735</v>
      </c>
      <c r="G167" s="346">
        <v>2.8300000000000002E-2</v>
      </c>
      <c r="H167" s="246">
        <v>43000</v>
      </c>
      <c r="I167" s="237">
        <v>45685</v>
      </c>
      <c r="J167" s="237">
        <v>42700</v>
      </c>
      <c r="K167" s="272">
        <v>43500</v>
      </c>
      <c r="L167" s="244">
        <v>69248742</v>
      </c>
      <c r="M167" s="241">
        <v>156798</v>
      </c>
      <c r="N167" s="244">
        <v>165</v>
      </c>
      <c r="O167" s="301">
        <v>45366.682858796295</v>
      </c>
      <c r="P167" s="310">
        <v>166</v>
      </c>
      <c r="Q167" s="277">
        <v>0</v>
      </c>
      <c r="R167" s="287">
        <v>0</v>
      </c>
      <c r="S167" s="289">
        <v>0</v>
      </c>
      <c r="T167" s="258">
        <v>0</v>
      </c>
      <c r="U167" s="687"/>
      <c r="V167" s="457">
        <v>0</v>
      </c>
      <c r="W167" s="507">
        <f>V166*(D166/100)</f>
        <v>0</v>
      </c>
      <c r="X167" s="683"/>
      <c r="Y167" s="701">
        <f t="shared" ref="Y167" si="169">IFERROR(INT($Y$1/(F166/100)),"")</f>
        <v>230</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8"/>
      <c r="V168" s="327"/>
      <c r="W168" s="508">
        <f t="shared" ref="W168" si="170">(V168*X168)</f>
        <v>0</v>
      </c>
      <c r="X168" s="681"/>
      <c r="Y168" s="702">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7"/>
      <c r="V169" s="326">
        <v>0</v>
      </c>
      <c r="W169" s="509">
        <f>V168*(F168/100)</f>
        <v>0</v>
      </c>
      <c r="X169" s="683"/>
      <c r="Y169" s="703" t="str">
        <f t="shared" ref="Y169" si="172">IFERROR(INT($AA$1/(F168/100)),"")</f>
        <v/>
      </c>
      <c r="Z169" s="332" t="str">
        <f>IFERROR(IF(C169&lt;&gt;"",$Y$1/(D167/100)*(C169/100),""),"")</f>
        <v/>
      </c>
      <c r="AA169" s="401" t="str">
        <f>IFERROR($AA$1/(D169/100)*(C167/100),"")</f>
        <v/>
      </c>
    </row>
    <row r="170" spans="1:28" ht="12.75" customHeight="1">
      <c r="A170" s="415" t="s">
        <v>567</v>
      </c>
      <c r="B170" s="261">
        <v>1161</v>
      </c>
      <c r="C170" s="335">
        <v>43.05</v>
      </c>
      <c r="D170" s="270">
        <v>43.7</v>
      </c>
      <c r="E170" s="261">
        <v>291</v>
      </c>
      <c r="F170" s="596">
        <v>43.7</v>
      </c>
      <c r="G170" s="347">
        <v>-6.3E-3</v>
      </c>
      <c r="H170" s="251">
        <v>43.98</v>
      </c>
      <c r="I170" s="238">
        <v>44</v>
      </c>
      <c r="J170" s="238">
        <v>42.997</v>
      </c>
      <c r="K170" s="275">
        <v>43.98</v>
      </c>
      <c r="L170" s="260">
        <v>1484</v>
      </c>
      <c r="M170" s="242">
        <v>3426</v>
      </c>
      <c r="N170" s="260">
        <v>12</v>
      </c>
      <c r="O170" s="302">
        <v>45366.687708333331</v>
      </c>
      <c r="P170" s="311">
        <v>169</v>
      </c>
      <c r="Q170" s="278">
        <v>0</v>
      </c>
      <c r="R170" s="288">
        <v>0</v>
      </c>
      <c r="S170" s="291">
        <v>0</v>
      </c>
      <c r="T170" s="257">
        <v>0</v>
      </c>
      <c r="U170" s="688"/>
      <c r="V170" s="455"/>
      <c r="W170" s="510">
        <f t="shared" ref="W170" si="173">(V170*X170)</f>
        <v>0</v>
      </c>
      <c r="X170" s="684">
        <v>0.42751</v>
      </c>
      <c r="Y170" s="704">
        <f t="shared" ref="Y170" si="174">IF(D170&lt;&gt;0,($C171*(1-$V$1))-$D170,0)</f>
        <v>-0.70000000000000284</v>
      </c>
      <c r="Z170" s="331">
        <f>IFERROR(IF(C170&lt;&gt;"",$Y$1/(D166/100)*(C170/100),""),"")</f>
        <v>99.210289231772691</v>
      </c>
      <c r="AA170" s="400">
        <f>IFERROR($Z$1/(D170/100)*(C166/100),"")</f>
        <v>100228.83295194506</v>
      </c>
    </row>
    <row r="171" spans="1:28" ht="12.75" customHeight="1">
      <c r="A171" s="448" t="s">
        <v>277</v>
      </c>
      <c r="B171" s="449">
        <v>92</v>
      </c>
      <c r="C171" s="433">
        <v>43</v>
      </c>
      <c r="D171" s="478">
        <v>43.55</v>
      </c>
      <c r="E171" s="443">
        <v>3120</v>
      </c>
      <c r="F171" s="595">
        <v>43.55</v>
      </c>
      <c r="G171" s="450">
        <v>2.4700000000000003E-2</v>
      </c>
      <c r="H171" s="436">
        <v>42.4</v>
      </c>
      <c r="I171" s="437">
        <v>44.3</v>
      </c>
      <c r="J171" s="437">
        <v>42</v>
      </c>
      <c r="K171" s="453">
        <v>42.5</v>
      </c>
      <c r="L171" s="427">
        <v>17734</v>
      </c>
      <c r="M171" s="439">
        <v>41402</v>
      </c>
      <c r="N171" s="427">
        <v>60</v>
      </c>
      <c r="O171" s="428">
        <v>45366.680486111109</v>
      </c>
      <c r="P171" s="310">
        <v>170</v>
      </c>
      <c r="Q171" s="429">
        <v>0</v>
      </c>
      <c r="R171" s="451">
        <v>0</v>
      </c>
      <c r="S171" s="431">
        <v>0</v>
      </c>
      <c r="T171" s="442">
        <v>0</v>
      </c>
      <c r="U171" s="687"/>
      <c r="V171" s="456">
        <v>0</v>
      </c>
      <c r="W171" s="513">
        <f>V170*(D170/100)</f>
        <v>0</v>
      </c>
      <c r="X171" s="682"/>
      <c r="Y171" s="705">
        <f t="shared" ref="Y171" si="175">IFERROR(INT($Z$1/(F170/100)),"")</f>
        <v>228</v>
      </c>
      <c r="Z171" s="445">
        <f>IFERROR(IF(C171&lt;&gt;"",$Y$1/(D167/100)*(C171/100),""),"")</f>
        <v>98.297605782186551</v>
      </c>
      <c r="AA171" s="452">
        <f>IFERROR($Z$1/(D171/100)*(C167/100),"")</f>
        <v>100114.81056257176</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1841" priority="8895">
      <formula>V60&lt;&gt;0</formula>
    </cfRule>
  </conditionalFormatting>
  <conditionalFormatting sqref="A61">
    <cfRule type="expression" dxfId="1840" priority="8894">
      <formula>V61&lt;&gt;0</formula>
    </cfRule>
  </conditionalFormatting>
  <conditionalFormatting sqref="A62">
    <cfRule type="expression" dxfId="1839" priority="8893">
      <formula>V62&lt;&gt;0</formula>
    </cfRule>
  </conditionalFormatting>
  <conditionalFormatting sqref="A63">
    <cfRule type="expression" dxfId="1838" priority="8892">
      <formula>V63&lt;&gt;0</formula>
    </cfRule>
  </conditionalFormatting>
  <conditionalFormatting sqref="A64:A65">
    <cfRule type="expression" dxfId="1837" priority="8682">
      <formula>V64&lt;&gt;0</formula>
    </cfRule>
  </conditionalFormatting>
  <conditionalFormatting sqref="A66:A67">
    <cfRule type="expression" dxfId="1836" priority="13838">
      <formula>V66&lt;&gt;0</formula>
    </cfRule>
  </conditionalFormatting>
  <conditionalFormatting sqref="A68:A69">
    <cfRule type="expression" dxfId="1835" priority="13837">
      <formula>V68&lt;&gt;0</formula>
    </cfRule>
  </conditionalFormatting>
  <conditionalFormatting sqref="B64">
    <cfRule type="cellIs" dxfId="1834" priority="14526" operator="greaterThan">
      <formula>E64</formula>
    </cfRule>
  </conditionalFormatting>
  <conditionalFormatting sqref="G70:G159 G60:G63 G2:G29">
    <cfRule type="cellIs" dxfId="1833" priority="13099" operator="lessThan">
      <formula>0</formula>
    </cfRule>
  </conditionalFormatting>
  <conditionalFormatting sqref="Q60:T159">
    <cfRule type="cellIs" dxfId="1832" priority="12608" operator="equal">
      <formula>0</formula>
    </cfRule>
  </conditionalFormatting>
  <conditionalFormatting sqref="V60:V81 V2:V41">
    <cfRule type="cellIs" dxfId="1831" priority="13101" operator="lessThan">
      <formula>0</formula>
    </cfRule>
    <cfRule type="cellIs" dxfId="1830" priority="13102" operator="equal">
      <formula>0</formula>
    </cfRule>
  </conditionalFormatting>
  <conditionalFormatting sqref="Y66 Y68">
    <cfRule type="cellIs" dxfId="1829" priority="8704" operator="lessThanOrEqual">
      <formula>0</formula>
    </cfRule>
  </conditionalFormatting>
  <conditionalFormatting sqref="Z30:Z34 W62:X63 Z37:Z41">
    <cfRule type="cellIs" dxfId="1828" priority="13351" operator="equal">
      <formula>0</formula>
    </cfRule>
  </conditionalFormatting>
  <conditionalFormatting sqref="W65">
    <cfRule type="cellIs" dxfId="1827" priority="8658" operator="equal">
      <formula>0</formula>
    </cfRule>
  </conditionalFormatting>
  <conditionalFormatting sqref="W64">
    <cfRule type="cellIs" dxfId="1826" priority="3768" operator="equal">
      <formula>0</formula>
    </cfRule>
    <cfRule type="cellIs" dxfId="1825" priority="3770" operator="lessThan">
      <formula>W65</formula>
    </cfRule>
    <cfRule type="cellIs" dxfId="1824" priority="8657" operator="lessThan">
      <formula>0</formula>
    </cfRule>
  </conditionalFormatting>
  <conditionalFormatting sqref="W67">
    <cfRule type="cellIs" dxfId="1823" priority="8656" operator="equal">
      <formula>0</formula>
    </cfRule>
  </conditionalFormatting>
  <conditionalFormatting sqref="W66">
    <cfRule type="cellIs" dxfId="1822" priority="3766" operator="equal">
      <formula>0</formula>
    </cfRule>
    <cfRule type="cellIs" dxfId="1821" priority="3767" operator="lessThan">
      <formula>W67</formula>
    </cfRule>
    <cfRule type="cellIs" dxfId="1820" priority="8655" operator="lessThan">
      <formula>0</formula>
    </cfRule>
  </conditionalFormatting>
  <conditionalFormatting sqref="W68">
    <cfRule type="cellIs" dxfId="1819" priority="3765" operator="equal">
      <formula>0</formula>
    </cfRule>
    <cfRule type="cellIs" dxfId="1818" priority="3771" operator="lessThan">
      <formula>W69</formula>
    </cfRule>
  </conditionalFormatting>
  <conditionalFormatting sqref="Z2 Z6 Z10 Z14 Z18">
    <cfRule type="cellIs" dxfId="1817" priority="8325" operator="equal">
      <formula>0</formula>
    </cfRule>
  </conditionalFormatting>
  <conditionalFormatting sqref="Z3 Z7 Z11 Z15 Z19">
    <cfRule type="cellIs" dxfId="1816" priority="8324" operator="equal">
      <formula>0</formula>
    </cfRule>
  </conditionalFormatting>
  <conditionalFormatting sqref="Z4 Z8 Z12 Z16 Z20">
    <cfRule type="cellIs" dxfId="1815" priority="8323" operator="equal">
      <formula>0</formula>
    </cfRule>
  </conditionalFormatting>
  <conditionalFormatting sqref="Z5 Z9 Z13 Z17 Z21">
    <cfRule type="cellIs" dxfId="1814" priority="8322" operator="equal">
      <formula>0</formula>
    </cfRule>
  </conditionalFormatting>
  <conditionalFormatting sqref="A70:A71">
    <cfRule type="expression" dxfId="1813" priority="8275">
      <formula>V70&lt;&gt;0</formula>
    </cfRule>
  </conditionalFormatting>
  <conditionalFormatting sqref="A72:A73">
    <cfRule type="expression" dxfId="1812" priority="8277">
      <formula>V72&lt;&gt;0</formula>
    </cfRule>
  </conditionalFormatting>
  <conditionalFormatting sqref="A76:A77">
    <cfRule type="expression" dxfId="1811" priority="8272">
      <formula>V76&lt;&gt;0</formula>
    </cfRule>
  </conditionalFormatting>
  <conditionalFormatting sqref="A78:A79">
    <cfRule type="expression" dxfId="1810" priority="8274">
      <formula>V78&lt;&gt;0</formula>
    </cfRule>
  </conditionalFormatting>
  <conditionalFormatting sqref="A82:A83">
    <cfRule type="expression" dxfId="1809" priority="8269">
      <formula>V82&lt;&gt;0</formula>
    </cfRule>
  </conditionalFormatting>
  <conditionalFormatting sqref="A84:A85">
    <cfRule type="expression" dxfId="1808" priority="8271">
      <formula>V84&lt;&gt;0</formula>
    </cfRule>
  </conditionalFormatting>
  <conditionalFormatting sqref="A88:A89">
    <cfRule type="expression" dxfId="1807" priority="8266">
      <formula>V88&lt;&gt;0</formula>
    </cfRule>
  </conditionalFormatting>
  <conditionalFormatting sqref="A90:A91">
    <cfRule type="expression" dxfId="1806" priority="8268">
      <formula>V90&lt;&gt;0</formula>
    </cfRule>
  </conditionalFormatting>
  <conditionalFormatting sqref="A94:A95">
    <cfRule type="expression" dxfId="1805" priority="8263">
      <formula>V94&lt;&gt;0</formula>
    </cfRule>
  </conditionalFormatting>
  <conditionalFormatting sqref="A96:A97">
    <cfRule type="expression" dxfId="1804" priority="8265">
      <formula>V96&lt;&gt;0</formula>
    </cfRule>
  </conditionalFormatting>
  <conditionalFormatting sqref="A100:A101">
    <cfRule type="expression" dxfId="1803" priority="8260">
      <formula>V100&lt;&gt;0</formula>
    </cfRule>
  </conditionalFormatting>
  <conditionalFormatting sqref="A102:A103">
    <cfRule type="expression" dxfId="1802" priority="8262">
      <formula>V102&lt;&gt;0</formula>
    </cfRule>
  </conditionalFormatting>
  <conditionalFormatting sqref="A106:A107">
    <cfRule type="expression" dxfId="1801" priority="8257">
      <formula>V106&lt;&gt;0</formula>
    </cfRule>
  </conditionalFormatting>
  <conditionalFormatting sqref="A108:A109">
    <cfRule type="expression" dxfId="1800" priority="8259">
      <formula>V108&lt;&gt;0</formula>
    </cfRule>
  </conditionalFormatting>
  <conditionalFormatting sqref="A112:A113">
    <cfRule type="expression" dxfId="1799" priority="8254">
      <formula>V112&lt;&gt;0</formula>
    </cfRule>
  </conditionalFormatting>
  <conditionalFormatting sqref="A114:A115">
    <cfRule type="expression" dxfId="1798" priority="8256">
      <formula>V114&lt;&gt;0</formula>
    </cfRule>
  </conditionalFormatting>
  <conditionalFormatting sqref="A118:A119">
    <cfRule type="expression" dxfId="1797" priority="8251">
      <formula>V118&lt;&gt;0</formula>
    </cfRule>
  </conditionalFormatting>
  <conditionalFormatting sqref="A120:A121">
    <cfRule type="expression" dxfId="1796" priority="8253">
      <formula>V120&lt;&gt;0</formula>
    </cfRule>
  </conditionalFormatting>
  <conditionalFormatting sqref="A124:A125">
    <cfRule type="expression" dxfId="1795" priority="8248">
      <formula>V124&lt;&gt;0</formula>
    </cfRule>
  </conditionalFormatting>
  <conditionalFormatting sqref="A126:A127">
    <cfRule type="expression" dxfId="1794" priority="8250">
      <formula>V126&lt;&gt;0</formula>
    </cfRule>
  </conditionalFormatting>
  <conditionalFormatting sqref="A130:A131">
    <cfRule type="expression" dxfId="1793" priority="8245">
      <formula>V130&lt;&gt;0</formula>
    </cfRule>
  </conditionalFormatting>
  <conditionalFormatting sqref="A132:A133">
    <cfRule type="expression" dxfId="1792" priority="8247">
      <formula>V132&lt;&gt;0</formula>
    </cfRule>
  </conditionalFormatting>
  <conditionalFormatting sqref="A136:A137">
    <cfRule type="expression" dxfId="1791" priority="8242">
      <formula>V136&lt;&gt;0</formula>
    </cfRule>
  </conditionalFormatting>
  <conditionalFormatting sqref="A138:A139">
    <cfRule type="expression" dxfId="1790" priority="8244">
      <formula>V138&lt;&gt;0</formula>
    </cfRule>
  </conditionalFormatting>
  <conditionalFormatting sqref="A142:A143">
    <cfRule type="expression" dxfId="1789" priority="8239">
      <formula>V142&lt;&gt;0</formula>
    </cfRule>
  </conditionalFormatting>
  <conditionalFormatting sqref="A144:A145">
    <cfRule type="expression" dxfId="1788" priority="8241">
      <formula>V144&lt;&gt;0</formula>
    </cfRule>
  </conditionalFormatting>
  <conditionalFormatting sqref="A148:A149">
    <cfRule type="expression" dxfId="1787" priority="8236">
      <formula>V148&lt;&gt;0</formula>
    </cfRule>
  </conditionalFormatting>
  <conditionalFormatting sqref="A150:A151">
    <cfRule type="expression" dxfId="1786" priority="8238">
      <formula>V150&lt;&gt;0</formula>
    </cfRule>
  </conditionalFormatting>
  <conditionalFormatting sqref="A154:A155">
    <cfRule type="expression" dxfId="1785" priority="8233">
      <formula>V154&lt;&gt;0</formula>
    </cfRule>
  </conditionalFormatting>
  <conditionalFormatting sqref="A156:A157">
    <cfRule type="expression" dxfId="1784" priority="8235">
      <formula>V156&lt;&gt;0</formula>
    </cfRule>
  </conditionalFormatting>
  <conditionalFormatting sqref="G64:G69">
    <cfRule type="cellIs" dxfId="1783" priority="7457" operator="lessThan">
      <formula>0</formula>
    </cfRule>
  </conditionalFormatting>
  <conditionalFormatting sqref="G18">
    <cfRule type="cellIs" dxfId="1782" priority="7456" operator="equal">
      <formula>0</formula>
    </cfRule>
  </conditionalFormatting>
  <conditionalFormatting sqref="G19">
    <cfRule type="cellIs" dxfId="1781" priority="7455" operator="equal">
      <formula>0</formula>
    </cfRule>
  </conditionalFormatting>
  <conditionalFormatting sqref="G20">
    <cfRule type="cellIs" dxfId="1780" priority="7454" operator="equal">
      <formula>0</formula>
    </cfRule>
  </conditionalFormatting>
  <conditionalFormatting sqref="G21">
    <cfRule type="cellIs" dxfId="1779" priority="7453" operator="equal">
      <formula>0</formula>
    </cfRule>
  </conditionalFormatting>
  <conditionalFormatting sqref="G22">
    <cfRule type="cellIs" dxfId="1778" priority="7452" operator="equal">
      <formula>0</formula>
    </cfRule>
  </conditionalFormatting>
  <conditionalFormatting sqref="G23">
    <cfRule type="cellIs" dxfId="1777" priority="7451" operator="equal">
      <formula>0</formula>
    </cfRule>
  </conditionalFormatting>
  <conditionalFormatting sqref="G24">
    <cfRule type="cellIs" dxfId="1776" priority="7450" operator="equal">
      <formula>0</formula>
    </cfRule>
  </conditionalFormatting>
  <conditionalFormatting sqref="G25">
    <cfRule type="cellIs" dxfId="1775" priority="7449" operator="equal">
      <formula>0</formula>
    </cfRule>
  </conditionalFormatting>
  <conditionalFormatting sqref="G2">
    <cfRule type="cellIs" dxfId="1774" priority="7448" operator="equal">
      <formula>0</formula>
    </cfRule>
  </conditionalFormatting>
  <conditionalFormatting sqref="G3">
    <cfRule type="cellIs" dxfId="1773" priority="7447" operator="equal">
      <formula>0</formula>
    </cfRule>
  </conditionalFormatting>
  <conditionalFormatting sqref="G4">
    <cfRule type="cellIs" dxfId="1772" priority="7446" operator="equal">
      <formula>0</formula>
    </cfRule>
  </conditionalFormatting>
  <conditionalFormatting sqref="G5">
    <cfRule type="cellIs" dxfId="1771" priority="7445" operator="equal">
      <formula>0</formula>
    </cfRule>
  </conditionalFormatting>
  <conditionalFormatting sqref="G6">
    <cfRule type="cellIs" dxfId="1770" priority="7444" operator="equal">
      <formula>0</formula>
    </cfRule>
  </conditionalFormatting>
  <conditionalFormatting sqref="G7">
    <cfRule type="cellIs" dxfId="1769" priority="7443" operator="equal">
      <formula>0</formula>
    </cfRule>
  </conditionalFormatting>
  <conditionalFormatting sqref="G8">
    <cfRule type="cellIs" dxfId="1768" priority="7442" operator="equal">
      <formula>0</formula>
    </cfRule>
  </conditionalFormatting>
  <conditionalFormatting sqref="G9">
    <cfRule type="cellIs" dxfId="1767" priority="7441" operator="equal">
      <formula>0</formula>
    </cfRule>
  </conditionalFormatting>
  <conditionalFormatting sqref="G10">
    <cfRule type="cellIs" dxfId="1766" priority="7440" operator="equal">
      <formula>0</formula>
    </cfRule>
  </conditionalFormatting>
  <conditionalFormatting sqref="G11">
    <cfRule type="cellIs" dxfId="1765" priority="7439" operator="equal">
      <formula>0</formula>
    </cfRule>
  </conditionalFormatting>
  <conditionalFormatting sqref="G12">
    <cfRule type="cellIs" dxfId="1764" priority="7438" operator="equal">
      <formula>0</formula>
    </cfRule>
  </conditionalFormatting>
  <conditionalFormatting sqref="G13">
    <cfRule type="cellIs" dxfId="1763" priority="7437" operator="equal">
      <formula>0</formula>
    </cfRule>
  </conditionalFormatting>
  <conditionalFormatting sqref="G14 G26">
    <cfRule type="cellIs" dxfId="1762" priority="7436" operator="equal">
      <formula>0</formula>
    </cfRule>
  </conditionalFormatting>
  <conditionalFormatting sqref="G15 G27">
    <cfRule type="cellIs" dxfId="1761" priority="7435" operator="equal">
      <formula>0</formula>
    </cfRule>
  </conditionalFormatting>
  <conditionalFormatting sqref="G16 G28">
    <cfRule type="cellIs" dxfId="1760" priority="7434" operator="equal">
      <formula>0</formula>
    </cfRule>
  </conditionalFormatting>
  <conditionalFormatting sqref="G17:G25 G29">
    <cfRule type="cellIs" dxfId="1759" priority="7433" operator="equal">
      <formula>0</formula>
    </cfRule>
  </conditionalFormatting>
  <conditionalFormatting sqref="Y5 Y17 Y21">
    <cfRule type="cellIs" dxfId="1758" priority="7376" operator="equal">
      <formula>0</formula>
    </cfRule>
    <cfRule type="cellIs" dxfId="1757" priority="7379" operator="greaterThan">
      <formula>Y2</formula>
    </cfRule>
  </conditionalFormatting>
  <conditionalFormatting sqref="Y3">
    <cfRule type="cellIs" dxfId="1756" priority="7378" operator="equal">
      <formula>0</formula>
    </cfRule>
  </conditionalFormatting>
  <conditionalFormatting sqref="Y4">
    <cfRule type="cellIs" dxfId="1755" priority="7377" operator="equal">
      <formula>0</formula>
    </cfRule>
  </conditionalFormatting>
  <conditionalFormatting sqref="Y9">
    <cfRule type="cellIs" dxfId="1754" priority="7370" operator="equal">
      <formula>0</formula>
    </cfRule>
    <cfRule type="cellIs" dxfId="1753" priority="7373" operator="greaterThan">
      <formula>Y6</formula>
    </cfRule>
  </conditionalFormatting>
  <conditionalFormatting sqref="Y7">
    <cfRule type="cellIs" dxfId="1752" priority="7372" operator="equal">
      <formula>0</formula>
    </cfRule>
  </conditionalFormatting>
  <conditionalFormatting sqref="Y8">
    <cfRule type="cellIs" dxfId="1751" priority="7371" operator="equal">
      <formula>0</formula>
    </cfRule>
  </conditionalFormatting>
  <conditionalFormatting sqref="Y13">
    <cfRule type="cellIs" dxfId="1750" priority="7364" operator="equal">
      <formula>0</formula>
    </cfRule>
    <cfRule type="cellIs" dxfId="1749" priority="7367" operator="greaterThan">
      <formula>Y10</formula>
    </cfRule>
  </conditionalFormatting>
  <conditionalFormatting sqref="Y11 Y15 Y19">
    <cfRule type="cellIs" dxfId="1748" priority="7366" operator="equal">
      <formula>0</formula>
    </cfRule>
  </conditionalFormatting>
  <conditionalFormatting sqref="Y12 Y16 Y20">
    <cfRule type="cellIs" dxfId="1747" priority="7365" operator="equal">
      <formula>0</formula>
    </cfRule>
  </conditionalFormatting>
  <conditionalFormatting sqref="Y5 Y9 Y13 Y17 Y21">
    <cfRule type="expression" dxfId="1746" priority="16519">
      <formula>IF($Y5&gt;$Y2,AND(MID($A5,5,1)="D"))</formula>
    </cfRule>
    <cfRule type="expression" dxfId="1745" priority="16520">
      <formula>IF($Y5&gt;$Y2,AND(MID($A5,5,1)="C"))</formula>
    </cfRule>
  </conditionalFormatting>
  <conditionalFormatting sqref="AA2:AA3 AA6:AA7 AA10:AA11 AA14 AA18">
    <cfRule type="expression" dxfId="1744" priority="16527">
      <formula>IF($Y5&gt;$Y2,AND(MID($A2,5,1)="D"))</formula>
    </cfRule>
    <cfRule type="expression" dxfId="1743" priority="16528">
      <formula>IF($Y5&gt;$Y2,AND(MID($A2,5,1)="C"))</formula>
    </cfRule>
    <cfRule type="cellIs" dxfId="1742" priority="16529" operator="equal">
      <formula>0</formula>
    </cfRule>
  </conditionalFormatting>
  <conditionalFormatting sqref="AA4:AA5 AA8:AA9 AA12:AA13 AA16 AA20">
    <cfRule type="expression" dxfId="1741" priority="16539">
      <formula>IF($Y5&gt;$Y2,AND(MID($A5,5,1)="D"))</formula>
    </cfRule>
    <cfRule type="expression" dxfId="1740" priority="16540">
      <formula>IF($Y5&gt;$Y2,AND(MID($A5,5,1)="C"))</formula>
    </cfRule>
    <cfRule type="cellIs" dxfId="1739" priority="16541" operator="equal">
      <formula>0</formula>
    </cfRule>
  </conditionalFormatting>
  <conditionalFormatting sqref="Z26:AA26 Z28:AA28 Z22:AA22 Z24:AA24">
    <cfRule type="expression" dxfId="1738" priority="16551">
      <formula>IF($AA22&gt;$Y23,AND(MID($A22,5,1)=" "))</formula>
    </cfRule>
    <cfRule type="expression" dxfId="1737" priority="16552">
      <formula>IF($AA22&gt;$Y23,AND(MID($A22,5,1)="C"))</formula>
    </cfRule>
    <cfRule type="expression" dxfId="1736" priority="16553">
      <formula>IF($AA22&gt;$Y23,AND(MID($A22,5,1)="D"))</formula>
    </cfRule>
  </conditionalFormatting>
  <conditionalFormatting sqref="Z27:AA27 Z29:AA29 Z23:AA23 Z25:AA25">
    <cfRule type="expression" dxfId="1735" priority="16557">
      <formula>IF($AA23&gt;$Y22,AND(MID($A23,5,1)=" "))</formula>
    </cfRule>
    <cfRule type="expression" dxfId="1734" priority="16558">
      <formula>IF($AA23&gt;$Y22,AND(MID($A23,5,1)="C"))</formula>
    </cfRule>
    <cfRule type="expression" dxfId="1733" priority="16559">
      <formula>IF($AA23&gt;$Y22,AND(MID($A23,5,1)="D"))</formula>
    </cfRule>
  </conditionalFormatting>
  <conditionalFormatting sqref="B2 B6 B10 B14">
    <cfRule type="expression" dxfId="1732" priority="16563">
      <formula>IF($Y5&gt;$Y2,AND(MID($A2,5,1)=" "))</formula>
    </cfRule>
    <cfRule type="expression" dxfId="1731" priority="16564">
      <formula>IF($Y5&gt;$Y2,AND(MID($A2,5,1)="C"))</formula>
    </cfRule>
    <cfRule type="expression" dxfId="1730" priority="16565">
      <formula>IF($Y5&gt;$Y2,AND(MID($A2,5,1)="D"))</formula>
    </cfRule>
  </conditionalFormatting>
  <conditionalFormatting sqref="E3 E7 E11 E15">
    <cfRule type="expression" dxfId="1729" priority="16578">
      <formula>IF($Y5&gt;$Y2,AND(MID($A3,5,1)=" "))</formula>
    </cfRule>
    <cfRule type="expression" dxfId="1728" priority="16579">
      <formula>IF($Y5&gt;$Y2,AND(MID($A3,5,1)="C"))</formula>
    </cfRule>
    <cfRule type="expression" dxfId="1727" priority="16580">
      <formula>IF($Y5&gt;$Y2,AND(MID($A3,5,1)="D"))</formula>
    </cfRule>
  </conditionalFormatting>
  <conditionalFormatting sqref="B4 B8 B12 B16">
    <cfRule type="expression" dxfId="1726" priority="16593">
      <formula>IF($Y5&gt;$Y2,AND(MID($A4,5,1)=" "))</formula>
    </cfRule>
    <cfRule type="expression" dxfId="1725" priority="16594">
      <formula>IF($Y5&gt;$Y2,AND(MID($A4,5,1)="C"))</formula>
    </cfRule>
    <cfRule type="expression" dxfId="1724" priority="16595">
      <formula>IF($Y5&gt;$Y2,AND(MID($A4,5,1)="D"))</formula>
    </cfRule>
  </conditionalFormatting>
  <conditionalFormatting sqref="E5 E9 E13 E17">
    <cfRule type="expression" dxfId="1723" priority="16608">
      <formula>IF($Y5&gt;$Y2,AND(MID($A5,5,1)=" "))</formula>
    </cfRule>
    <cfRule type="expression" dxfId="1722" priority="16609">
      <formula>IF($Y5&gt;$Y2,AND(MID($A5,5,1)="C"))</formula>
    </cfRule>
    <cfRule type="expression" dxfId="1721" priority="16610">
      <formula>IF($Y5&gt;$Y2,AND(MID($A5,5,1)="D"))</formula>
    </cfRule>
  </conditionalFormatting>
  <conditionalFormatting sqref="C2 C6 C10 C14">
    <cfRule type="expression" dxfId="1720" priority="16623">
      <formula>IF($Y5&gt;$Y2,AND(MID($A2,5,1)=" "))</formula>
    </cfRule>
    <cfRule type="expression" dxfId="1719" priority="16624">
      <formula>IF($Y5&gt;$Y2,AND(MID($A2,5,1)="C"))</formula>
    </cfRule>
    <cfRule type="expression" dxfId="1718" priority="16625">
      <formula>IF($Y5&gt;$Y2,AND(MID($A2,5,1)="D"))</formula>
    </cfRule>
  </conditionalFormatting>
  <conditionalFormatting sqref="D3 D7 D11 D15">
    <cfRule type="expression" dxfId="1717" priority="16638">
      <formula>IF($Y5&gt;$Y2,AND(MID($A3,5,1)=" "))</formula>
    </cfRule>
    <cfRule type="expression" dxfId="1716" priority="16639">
      <formula>IF($Y5&gt;$Y2,AND(MID($A3,5,1)="C"))</formula>
    </cfRule>
    <cfRule type="expression" dxfId="1715" priority="16640">
      <formula>IF($Y5&gt;$Y2,AND(MID($A3,5,1)="D"))</formula>
    </cfRule>
  </conditionalFormatting>
  <conditionalFormatting sqref="D5 D9 D13 D17">
    <cfRule type="expression" dxfId="1714" priority="16653">
      <formula>IF($Y5&gt;$Y2,AND(MID($A5,5,1)=" "))</formula>
    </cfRule>
    <cfRule type="expression" dxfId="1713" priority="16654">
      <formula>IF($Y5&gt;$Y2,AND(MID($A5,5,1)="C"))</formula>
    </cfRule>
    <cfRule type="expression" dxfId="1712" priority="16655">
      <formula>IF($Y5&gt;$Y2,AND(MID($A5,5,1)="D"))</formula>
    </cfRule>
  </conditionalFormatting>
  <conditionalFormatting sqref="C4 C8 C12 C16">
    <cfRule type="expression" dxfId="1711" priority="16668">
      <formula>IF($Y5&gt;$Y2,AND(MID($A4,5,1)=" "))</formula>
    </cfRule>
    <cfRule type="expression" dxfId="1710" priority="16669">
      <formula>IF($Y5&gt;$Y2,AND(MID($A4,5,1)="C"))</formula>
    </cfRule>
    <cfRule type="expression" dxfId="1709" priority="16670">
      <formula>IF($Y5&gt;$Y2,AND(MID($A4,5,1)="D"))</formula>
    </cfRule>
  </conditionalFormatting>
  <conditionalFormatting sqref="A6 A2">
    <cfRule type="expression" dxfId="1708" priority="16683">
      <formula>$V10&lt;&gt;0</formula>
    </cfRule>
  </conditionalFormatting>
  <conditionalFormatting sqref="A9 A5">
    <cfRule type="expression" dxfId="1707" priority="16703">
      <formula>$V13&lt;&gt;0</formula>
    </cfRule>
  </conditionalFormatting>
  <conditionalFormatting sqref="A7 A3">
    <cfRule type="expression" dxfId="1706" priority="16723">
      <formula>$V11&lt;&gt;0</formula>
    </cfRule>
    <cfRule type="expression" dxfId="1705" priority="16724">
      <formula>IF($Y5&gt;$Y2,AND(MID($A3,5,1)=" "))</formula>
    </cfRule>
    <cfRule type="expression" dxfId="1704" priority="16725">
      <formula>IF($Y5&gt;$Y2,AND(MID($A3,5,1)="C"))</formula>
    </cfRule>
    <cfRule type="expression" dxfId="1703" priority="16726">
      <formula>IF($Y5&gt;$Y2,AND(MID($A3,5,1)="D"))</formula>
    </cfRule>
  </conditionalFormatting>
  <conditionalFormatting sqref="A8 A4">
    <cfRule type="expression" dxfId="1702" priority="16743">
      <formula>$V12&lt;&gt;0</formula>
    </cfRule>
    <cfRule type="expression" dxfId="1701" priority="16744">
      <formula>IF($Y5&gt;$Y2,AND(MID($A4,5,1)=" "))</formula>
    </cfRule>
    <cfRule type="expression" dxfId="1700" priority="16745">
      <formula>IF($Y5&gt;$Y2,AND(MID($A4,5,1)="C"))</formula>
    </cfRule>
    <cfRule type="expression" dxfId="1699" priority="16746">
      <formula>IF($Y5&gt;$Y2,AND(MID($A4,5,1)="D"))</formula>
    </cfRule>
  </conditionalFormatting>
  <conditionalFormatting sqref="G160:G171">
    <cfRule type="cellIs" dxfId="1698" priority="6524" operator="lessThan">
      <formula>0</formula>
    </cfRule>
  </conditionalFormatting>
  <conditionalFormatting sqref="Q160:T171">
    <cfRule type="cellIs" dxfId="1697" priority="6521" operator="equal">
      <formula>0</formula>
    </cfRule>
  </conditionalFormatting>
  <conditionalFormatting sqref="A160:A161 A166:A167">
    <cfRule type="expression" dxfId="1696" priority="6516">
      <formula>V160&lt;&gt;0</formula>
    </cfRule>
  </conditionalFormatting>
  <conditionalFormatting sqref="A162:A163 A168:A169">
    <cfRule type="expression" dxfId="1695" priority="6518">
      <formula>V162&lt;&gt;0</formula>
    </cfRule>
  </conditionalFormatting>
  <conditionalFormatting sqref="Z66">
    <cfRule type="cellIs" dxfId="1694" priority="6498" operator="equal">
      <formula>0</formula>
    </cfRule>
  </conditionalFormatting>
  <conditionalFormatting sqref="AA66">
    <cfRule type="cellIs" dxfId="1693" priority="6497" operator="equal">
      <formula>0</formula>
    </cfRule>
  </conditionalFormatting>
  <conditionalFormatting sqref="Z67 Z69">
    <cfRule type="cellIs" dxfId="1692" priority="6495" operator="equal">
      <formula>0</formula>
    </cfRule>
  </conditionalFormatting>
  <conditionalFormatting sqref="AA67:AA69">
    <cfRule type="cellIs" dxfId="1691" priority="6494" operator="equal">
      <formula>0</formula>
    </cfRule>
  </conditionalFormatting>
  <conditionalFormatting sqref="Z72">
    <cfRule type="cellIs" dxfId="1690" priority="6493" operator="equal">
      <formula>0</formula>
    </cfRule>
  </conditionalFormatting>
  <conditionalFormatting sqref="AA72">
    <cfRule type="cellIs" dxfId="1689" priority="6492" operator="equal">
      <formula>0</formula>
    </cfRule>
  </conditionalFormatting>
  <conditionalFormatting sqref="Z73:Z75">
    <cfRule type="cellIs" dxfId="1688" priority="6490" operator="equal">
      <formula>0</formula>
    </cfRule>
  </conditionalFormatting>
  <conditionalFormatting sqref="AA73:AA75">
    <cfRule type="cellIs" dxfId="1687" priority="6489" operator="equal">
      <formula>0</formula>
    </cfRule>
  </conditionalFormatting>
  <conditionalFormatting sqref="Z78">
    <cfRule type="cellIs" dxfId="1686" priority="6488" operator="equal">
      <formula>0</formula>
    </cfRule>
  </conditionalFormatting>
  <conditionalFormatting sqref="AA78">
    <cfRule type="cellIs" dxfId="1685" priority="6487" operator="equal">
      <formula>0</formula>
    </cfRule>
  </conditionalFormatting>
  <conditionalFormatting sqref="Z79:Z81">
    <cfRule type="cellIs" dxfId="1684" priority="6485" operator="equal">
      <formula>0</formula>
    </cfRule>
  </conditionalFormatting>
  <conditionalFormatting sqref="AA79:AA81">
    <cfRule type="cellIs" dxfId="1683" priority="6484" operator="equal">
      <formula>0</formula>
    </cfRule>
  </conditionalFormatting>
  <conditionalFormatting sqref="Z84">
    <cfRule type="cellIs" dxfId="1682" priority="6483" operator="equal">
      <formula>0</formula>
    </cfRule>
  </conditionalFormatting>
  <conditionalFormatting sqref="AA84">
    <cfRule type="cellIs" dxfId="1681" priority="6482" operator="equal">
      <formula>0</formula>
    </cfRule>
  </conditionalFormatting>
  <conditionalFormatting sqref="Z85:Z87">
    <cfRule type="cellIs" dxfId="1680" priority="6480" operator="equal">
      <formula>0</formula>
    </cfRule>
  </conditionalFormatting>
  <conditionalFormatting sqref="AA85:AA87">
    <cfRule type="cellIs" dxfId="1679" priority="6479" operator="equal">
      <formula>0</formula>
    </cfRule>
  </conditionalFormatting>
  <conditionalFormatting sqref="Z90">
    <cfRule type="cellIs" dxfId="1678" priority="6478" operator="equal">
      <formula>0</formula>
    </cfRule>
  </conditionalFormatting>
  <conditionalFormatting sqref="AA90">
    <cfRule type="cellIs" dxfId="1677" priority="6477" operator="equal">
      <formula>0</formula>
    </cfRule>
  </conditionalFormatting>
  <conditionalFormatting sqref="Z91:Z93">
    <cfRule type="cellIs" dxfId="1676" priority="6475" operator="equal">
      <formula>0</formula>
    </cfRule>
  </conditionalFormatting>
  <conditionalFormatting sqref="AA91:AA93">
    <cfRule type="cellIs" dxfId="1675" priority="6474" operator="equal">
      <formula>0</formula>
    </cfRule>
  </conditionalFormatting>
  <conditionalFormatting sqref="Z96">
    <cfRule type="cellIs" dxfId="1674" priority="6473" operator="equal">
      <formula>0</formula>
    </cfRule>
  </conditionalFormatting>
  <conditionalFormatting sqref="AA96">
    <cfRule type="cellIs" dxfId="1673" priority="6472" operator="equal">
      <formula>0</formula>
    </cfRule>
  </conditionalFormatting>
  <conditionalFormatting sqref="Z97:Z99">
    <cfRule type="cellIs" dxfId="1672" priority="6470" operator="equal">
      <formula>0</formula>
    </cfRule>
  </conditionalFormatting>
  <conditionalFormatting sqref="AA97:AA99">
    <cfRule type="cellIs" dxfId="1671" priority="6469" operator="equal">
      <formula>0</formula>
    </cfRule>
  </conditionalFormatting>
  <conditionalFormatting sqref="Z102">
    <cfRule type="cellIs" dxfId="1670" priority="6468" operator="equal">
      <formula>0</formula>
    </cfRule>
  </conditionalFormatting>
  <conditionalFormatting sqref="AA102">
    <cfRule type="cellIs" dxfId="1669" priority="6467" operator="equal">
      <formula>0</formula>
    </cfRule>
  </conditionalFormatting>
  <conditionalFormatting sqref="Z103:Z105">
    <cfRule type="cellIs" dxfId="1668" priority="6465" operator="equal">
      <formula>0</formula>
    </cfRule>
  </conditionalFormatting>
  <conditionalFormatting sqref="AA103:AA105">
    <cfRule type="cellIs" dxfId="1667" priority="6464" operator="equal">
      <formula>0</formula>
    </cfRule>
  </conditionalFormatting>
  <conditionalFormatting sqref="Z108">
    <cfRule type="cellIs" dxfId="1666" priority="6463" operator="equal">
      <formula>0</formula>
    </cfRule>
  </conditionalFormatting>
  <conditionalFormatting sqref="AA108">
    <cfRule type="cellIs" dxfId="1665" priority="6462" operator="equal">
      <formula>0</formula>
    </cfRule>
  </conditionalFormatting>
  <conditionalFormatting sqref="Z109:Z111">
    <cfRule type="cellIs" dxfId="1664" priority="6460" operator="equal">
      <formula>0</formula>
    </cfRule>
  </conditionalFormatting>
  <conditionalFormatting sqref="AA109:AA111">
    <cfRule type="cellIs" dxfId="1663" priority="6459" operator="equal">
      <formula>0</formula>
    </cfRule>
  </conditionalFormatting>
  <conditionalFormatting sqref="Z114">
    <cfRule type="cellIs" dxfId="1662" priority="6458" operator="equal">
      <formula>0</formula>
    </cfRule>
  </conditionalFormatting>
  <conditionalFormatting sqref="AA114">
    <cfRule type="cellIs" dxfId="1661" priority="6457" operator="equal">
      <formula>0</formula>
    </cfRule>
  </conditionalFormatting>
  <conditionalFormatting sqref="Z138">
    <cfRule type="cellIs" dxfId="1660" priority="6438" operator="equal">
      <formula>0</formula>
    </cfRule>
  </conditionalFormatting>
  <conditionalFormatting sqref="Z115:Z117">
    <cfRule type="cellIs" dxfId="1659" priority="6455" operator="equal">
      <formula>0</formula>
    </cfRule>
  </conditionalFormatting>
  <conditionalFormatting sqref="AA115:AA117">
    <cfRule type="cellIs" dxfId="1658" priority="6454" operator="equal">
      <formula>0</formula>
    </cfRule>
  </conditionalFormatting>
  <conditionalFormatting sqref="Z120">
    <cfRule type="cellIs" dxfId="1657" priority="6453" operator="equal">
      <formula>0</formula>
    </cfRule>
  </conditionalFormatting>
  <conditionalFormatting sqref="AA120">
    <cfRule type="cellIs" dxfId="1656" priority="6452" operator="equal">
      <formula>0</formula>
    </cfRule>
  </conditionalFormatting>
  <conditionalFormatting sqref="Z139:Z141">
    <cfRule type="cellIs" dxfId="1655" priority="6435" operator="equal">
      <formula>0</formula>
    </cfRule>
  </conditionalFormatting>
  <conditionalFormatting sqref="Z121:Z123">
    <cfRule type="cellIs" dxfId="1654" priority="6450" operator="equal">
      <formula>0</formula>
    </cfRule>
  </conditionalFormatting>
  <conditionalFormatting sqref="AA121:AA123">
    <cfRule type="cellIs" dxfId="1653" priority="6449" operator="equal">
      <formula>0</formula>
    </cfRule>
  </conditionalFormatting>
  <conditionalFormatting sqref="Z126">
    <cfRule type="cellIs" dxfId="1652" priority="6448" operator="equal">
      <formula>0</formula>
    </cfRule>
  </conditionalFormatting>
  <conditionalFormatting sqref="AA126">
    <cfRule type="cellIs" dxfId="1651" priority="6447" operator="equal">
      <formula>0</formula>
    </cfRule>
  </conditionalFormatting>
  <conditionalFormatting sqref="AA144">
    <cfRule type="cellIs" dxfId="1650" priority="6432" operator="equal">
      <formula>0</formula>
    </cfRule>
  </conditionalFormatting>
  <conditionalFormatting sqref="Z127:Z129">
    <cfRule type="cellIs" dxfId="1649" priority="6445" operator="equal">
      <formula>0</formula>
    </cfRule>
  </conditionalFormatting>
  <conditionalFormatting sqref="AA127:AA129">
    <cfRule type="cellIs" dxfId="1648" priority="6444" operator="equal">
      <formula>0</formula>
    </cfRule>
  </conditionalFormatting>
  <conditionalFormatting sqref="Z132">
    <cfRule type="cellIs" dxfId="1647" priority="6443" operator="equal">
      <formula>0</formula>
    </cfRule>
  </conditionalFormatting>
  <conditionalFormatting sqref="AA132">
    <cfRule type="cellIs" dxfId="1646" priority="6442" operator="equal">
      <formula>0</formula>
    </cfRule>
  </conditionalFormatting>
  <conditionalFormatting sqref="AA145:AA147">
    <cfRule type="cellIs" dxfId="1645" priority="6429" operator="equal">
      <formula>0</formula>
    </cfRule>
  </conditionalFormatting>
  <conditionalFormatting sqref="Z133:Z135">
    <cfRule type="cellIs" dxfId="1644" priority="6440" operator="equal">
      <formula>0</formula>
    </cfRule>
  </conditionalFormatting>
  <conditionalFormatting sqref="AA133:AA135">
    <cfRule type="cellIs" dxfId="1643" priority="6439" operator="equal">
      <formula>0</formula>
    </cfRule>
  </conditionalFormatting>
  <conditionalFormatting sqref="AA138">
    <cfRule type="cellIs" dxfId="1642" priority="6437" operator="equal">
      <formula>0</formula>
    </cfRule>
  </conditionalFormatting>
  <conditionalFormatting sqref="AA139:AA141">
    <cfRule type="cellIs" dxfId="1641" priority="6434" operator="equal">
      <formula>0</formula>
    </cfRule>
  </conditionalFormatting>
  <conditionalFormatting sqref="Z144">
    <cfRule type="cellIs" dxfId="1640" priority="6433" operator="equal">
      <formula>0</formula>
    </cfRule>
  </conditionalFormatting>
  <conditionalFormatting sqref="Z156">
    <cfRule type="cellIs" dxfId="1639" priority="6423" operator="equal">
      <formula>0</formula>
    </cfRule>
  </conditionalFormatting>
  <conditionalFormatting sqref="Z145:Z147">
    <cfRule type="cellIs" dxfId="1638" priority="6430" operator="equal">
      <formula>0</formula>
    </cfRule>
  </conditionalFormatting>
  <conditionalFormatting sqref="Z150">
    <cfRule type="cellIs" dxfId="1637" priority="6428" operator="equal">
      <formula>0</formula>
    </cfRule>
  </conditionalFormatting>
  <conditionalFormatting sqref="AA150">
    <cfRule type="cellIs" dxfId="1636" priority="6427" operator="equal">
      <formula>0</formula>
    </cfRule>
  </conditionalFormatting>
  <conditionalFormatting sqref="Z157:Z159">
    <cfRule type="cellIs" dxfId="1635" priority="6420" operator="equal">
      <formula>0</formula>
    </cfRule>
  </conditionalFormatting>
  <conditionalFormatting sqref="Z151:Z153">
    <cfRule type="cellIs" dxfId="1634" priority="6425" operator="equal">
      <formula>0</formula>
    </cfRule>
  </conditionalFormatting>
  <conditionalFormatting sqref="AA151:AA153">
    <cfRule type="cellIs" dxfId="1633" priority="6424" operator="equal">
      <formula>0</formula>
    </cfRule>
  </conditionalFormatting>
  <conditionalFormatting sqref="AA156">
    <cfRule type="cellIs" dxfId="1632" priority="6422" operator="equal">
      <formula>0</formula>
    </cfRule>
  </conditionalFormatting>
  <conditionalFormatting sqref="AA162 AA168">
    <cfRule type="cellIs" dxfId="1631" priority="6417" operator="equal">
      <formula>0</formula>
    </cfRule>
  </conditionalFormatting>
  <conditionalFormatting sqref="AA157:AA159">
    <cfRule type="cellIs" dxfId="1630" priority="6419" operator="equal">
      <formula>0</formula>
    </cfRule>
  </conditionalFormatting>
  <conditionalFormatting sqref="Z162 Z168">
    <cfRule type="cellIs" dxfId="1629" priority="6418" operator="equal">
      <formula>0</formula>
    </cfRule>
  </conditionalFormatting>
  <conditionalFormatting sqref="AA163:AA165 AA169:AA171">
    <cfRule type="cellIs" dxfId="1628" priority="6414" operator="equal">
      <formula>0</formula>
    </cfRule>
  </conditionalFormatting>
  <conditionalFormatting sqref="Z163:Z165 Z169:Z171">
    <cfRule type="cellIs" dxfId="1627" priority="6415" operator="equal">
      <formula>0</formula>
    </cfRule>
  </conditionalFormatting>
  <conditionalFormatting sqref="AA68 AA74 AA80 AA86 AA92 AA98 AA104 AA110 AA116 AA122 AA128 AA134 AA140 AA146 AA152 AA158 AA164 AA170">
    <cfRule type="colorScale" priority="6410">
      <colorScale>
        <cfvo type="min"/>
        <cfvo type="percentile" val="50"/>
        <cfvo type="max"/>
        <color rgb="FFF8696B"/>
        <color rgb="FFFFEB84"/>
        <color rgb="FF63BE7B"/>
      </colorScale>
    </cfRule>
  </conditionalFormatting>
  <conditionalFormatting sqref="Z68">
    <cfRule type="cellIs" dxfId="1626" priority="6408" operator="equal">
      <formula>0</formula>
    </cfRule>
  </conditionalFormatting>
  <conditionalFormatting sqref="B26:B27">
    <cfRule type="cellIs" dxfId="1625" priority="6370" operator="greaterThan">
      <formula>E26</formula>
    </cfRule>
  </conditionalFormatting>
  <conditionalFormatting sqref="E26">
    <cfRule type="cellIs" dxfId="1624" priority="6369" operator="greaterThan">
      <formula>B26</formula>
    </cfRule>
  </conditionalFormatting>
  <conditionalFormatting sqref="Y62">
    <cfRule type="cellIs" dxfId="1623" priority="6185" operator="greaterThan">
      <formula>Z62</formula>
    </cfRule>
    <cfRule type="cellIs" dxfId="1622" priority="6186" operator="lessThanOrEqual">
      <formula>0</formula>
    </cfRule>
  </conditionalFormatting>
  <conditionalFormatting sqref="A74:A75">
    <cfRule type="expression" dxfId="1621" priority="6183">
      <formula>V74&lt;&gt;0</formula>
    </cfRule>
  </conditionalFormatting>
  <conditionalFormatting sqref="A80:A81">
    <cfRule type="expression" dxfId="1620" priority="6182">
      <formula>V80&lt;&gt;0</formula>
    </cfRule>
  </conditionalFormatting>
  <conditionalFormatting sqref="A86:A87">
    <cfRule type="expression" dxfId="1619" priority="6181">
      <formula>V86&lt;&gt;0</formula>
    </cfRule>
  </conditionalFormatting>
  <conditionalFormatting sqref="A92:A93">
    <cfRule type="expression" dxfId="1618" priority="6180">
      <formula>V92&lt;&gt;0</formula>
    </cfRule>
  </conditionalFormatting>
  <conditionalFormatting sqref="A98:A99">
    <cfRule type="expression" dxfId="1617" priority="6179">
      <formula>V98&lt;&gt;0</formula>
    </cfRule>
  </conditionalFormatting>
  <conditionalFormatting sqref="A104:A105">
    <cfRule type="expression" dxfId="1616" priority="6178">
      <formula>V104&lt;&gt;0</formula>
    </cfRule>
  </conditionalFormatting>
  <conditionalFormatting sqref="A110:A111">
    <cfRule type="expression" dxfId="1615" priority="6177">
      <formula>V110&lt;&gt;0</formula>
    </cfRule>
  </conditionalFormatting>
  <conditionalFormatting sqref="A116:A117">
    <cfRule type="expression" dxfId="1614" priority="6176">
      <formula>V116&lt;&gt;0</formula>
    </cfRule>
  </conditionalFormatting>
  <conditionalFormatting sqref="A122:A123">
    <cfRule type="expression" dxfId="1613" priority="6175">
      <formula>V122&lt;&gt;0</formula>
    </cfRule>
  </conditionalFormatting>
  <conditionalFormatting sqref="A128:A129">
    <cfRule type="expression" dxfId="1612" priority="6174">
      <formula>V128&lt;&gt;0</formula>
    </cfRule>
  </conditionalFormatting>
  <conditionalFormatting sqref="A134:A135">
    <cfRule type="expression" dxfId="1611" priority="6173">
      <formula>V134&lt;&gt;0</formula>
    </cfRule>
  </conditionalFormatting>
  <conditionalFormatting sqref="A140:A141">
    <cfRule type="expression" dxfId="1610" priority="6172">
      <formula>V140&lt;&gt;0</formula>
    </cfRule>
  </conditionalFormatting>
  <conditionalFormatting sqref="A146:A147">
    <cfRule type="expression" dxfId="1609" priority="6171">
      <formula>V146&lt;&gt;0</formula>
    </cfRule>
  </conditionalFormatting>
  <conditionalFormatting sqref="A152:A153">
    <cfRule type="expression" dxfId="1608" priority="6170">
      <formula>V152&lt;&gt;0</formula>
    </cfRule>
  </conditionalFormatting>
  <conditionalFormatting sqref="A158:A159">
    <cfRule type="expression" dxfId="1607" priority="6169">
      <formula>V158&lt;&gt;0</formula>
    </cfRule>
  </conditionalFormatting>
  <conditionalFormatting sqref="A164:A165">
    <cfRule type="expression" dxfId="1606" priority="6168">
      <formula>V164&lt;&gt;0</formula>
    </cfRule>
  </conditionalFormatting>
  <conditionalFormatting sqref="A170:A171">
    <cfRule type="expression" dxfId="1605" priority="6167">
      <formula>V170&lt;&gt;0</formula>
    </cfRule>
  </conditionalFormatting>
  <conditionalFormatting sqref="W69">
    <cfRule type="cellIs" dxfId="1604" priority="3753" operator="equal">
      <formula>0</formula>
    </cfRule>
    <cfRule type="cellIs" dxfId="1603" priority="5230" operator="greaterThan">
      <formula>W68</formula>
    </cfRule>
  </conditionalFormatting>
  <conditionalFormatting sqref="A10">
    <cfRule type="expression" dxfId="1602" priority="3934">
      <formula>IF($Y13&gt;$Y10,AND(MID($A10,5,1)=" "))</formula>
    </cfRule>
    <cfRule type="expression" dxfId="1601" priority="3935">
      <formula>IF($Y13&gt;$Y10,AND(MID($A10,5,1)="C"))</formula>
    </cfRule>
    <cfRule type="expression" dxfId="1600" priority="3936">
      <formula>IF($Y13&gt;$Y10,AND(MID($A10,5,1)="D"))</formula>
    </cfRule>
  </conditionalFormatting>
  <conditionalFormatting sqref="A13">
    <cfRule type="expression" dxfId="1599" priority="3937">
      <formula>$V29&lt;&gt;0</formula>
    </cfRule>
    <cfRule type="expression" dxfId="1598" priority="3938">
      <formula>IF($Y13&gt;$Y10,AND(MID($A13,5,1)=" "))</formula>
    </cfRule>
    <cfRule type="expression" dxfId="1597" priority="3939">
      <formula>IF($Y13&gt;$Y10,AND(MID($A13,5,1)="C"))</formula>
    </cfRule>
    <cfRule type="expression" dxfId="1596" priority="3940">
      <formula>IF($Y13&gt;$Y10,AND(MID($A13,5,1)="D"))</formula>
    </cfRule>
  </conditionalFormatting>
  <conditionalFormatting sqref="A11">
    <cfRule type="expression" dxfId="1595" priority="3941">
      <formula>$V27&lt;&gt;0</formula>
    </cfRule>
    <cfRule type="expression" dxfId="1594" priority="3942">
      <formula>IF($Y13&gt;$Y10,AND(MID($A11,5,1)=" "))</formula>
    </cfRule>
    <cfRule type="expression" dxfId="1593" priority="3943">
      <formula>IF($Y13&gt;$Y10,AND(MID($A11,5,1)="C"))</formula>
    </cfRule>
    <cfRule type="expression" dxfId="1592" priority="3944">
      <formula>IF($Y13&gt;$Y10,AND(MID($A11,5,1)="D"))</formula>
    </cfRule>
  </conditionalFormatting>
  <conditionalFormatting sqref="A12">
    <cfRule type="expression" dxfId="1591" priority="3945">
      <formula>$V28&lt;&gt;0</formula>
    </cfRule>
    <cfRule type="expression" dxfId="1590" priority="3946">
      <formula>IF($Y13&gt;$Y10,AND(MID($A12,5,1)=" "))</formula>
    </cfRule>
    <cfRule type="expression" dxfId="1589" priority="3947">
      <formula>IF($Y13&gt;$Y10,AND(MID($A12,5,1)="C"))</formula>
    </cfRule>
    <cfRule type="expression" dxfId="1588" priority="3948">
      <formula>IF($Y13&gt;$Y10,AND(MID($A12,5,1)="D"))</formula>
    </cfRule>
  </conditionalFormatting>
  <conditionalFormatting sqref="Y67">
    <cfRule type="cellIs" dxfId="1587" priority="3893" operator="equal">
      <formula>0</formula>
    </cfRule>
  </conditionalFormatting>
  <conditionalFormatting sqref="Y69">
    <cfRule type="cellIs" dxfId="1586" priority="3892" operator="equal">
      <formula>0</formula>
    </cfRule>
  </conditionalFormatting>
  <conditionalFormatting sqref="W71">
    <cfRule type="cellIs" dxfId="1585" priority="3314" operator="lessThan">
      <formula>W70</formula>
    </cfRule>
    <cfRule type="cellIs" dxfId="1584" priority="3740" operator="equal">
      <formula>0</formula>
    </cfRule>
  </conditionalFormatting>
  <conditionalFormatting sqref="W70">
    <cfRule type="cellIs" dxfId="1583" priority="3315" operator="lessThan">
      <formula>W71</formula>
    </cfRule>
    <cfRule type="cellIs" dxfId="1582" priority="3733" operator="equal">
      <formula>0</formula>
    </cfRule>
    <cfRule type="cellIs" dxfId="1581" priority="3734" operator="lessThan">
      <formula>W71</formula>
    </cfRule>
    <cfRule type="cellIs" dxfId="1580" priority="3739" operator="lessThan">
      <formula>0</formula>
    </cfRule>
  </conditionalFormatting>
  <conditionalFormatting sqref="W73">
    <cfRule type="cellIs" dxfId="1579" priority="3738" operator="equal">
      <formula>0</formula>
    </cfRule>
  </conditionalFormatting>
  <conditionalFormatting sqref="W72">
    <cfRule type="cellIs" dxfId="1578" priority="3731" operator="equal">
      <formula>0</formula>
    </cfRule>
    <cfRule type="cellIs" dxfId="1577" priority="3732" operator="lessThan">
      <formula>W73</formula>
    </cfRule>
    <cfRule type="cellIs" dxfId="1576" priority="3737" operator="lessThan">
      <formula>0</formula>
    </cfRule>
  </conditionalFormatting>
  <conditionalFormatting sqref="W74">
    <cfRule type="cellIs" dxfId="1575" priority="3730" operator="equal">
      <formula>0</formula>
    </cfRule>
    <cfRule type="cellIs" dxfId="1574" priority="3735" operator="lessThan">
      <formula>W75</formula>
    </cfRule>
  </conditionalFormatting>
  <conditionalFormatting sqref="W79">
    <cfRule type="cellIs" dxfId="1573" priority="3726" operator="equal">
      <formula>0</formula>
    </cfRule>
  </conditionalFormatting>
  <conditionalFormatting sqref="W78">
    <cfRule type="cellIs" dxfId="1572" priority="3719" operator="equal">
      <formula>0</formula>
    </cfRule>
    <cfRule type="cellIs" dxfId="1571" priority="3720" operator="lessThan">
      <formula>W79</formula>
    </cfRule>
    <cfRule type="cellIs" dxfId="1570" priority="3725" operator="lessThan">
      <formula>0</formula>
    </cfRule>
  </conditionalFormatting>
  <conditionalFormatting sqref="W80">
    <cfRule type="cellIs" dxfId="1569" priority="3718" operator="equal">
      <formula>0</formula>
    </cfRule>
    <cfRule type="cellIs" dxfId="1568" priority="3723" operator="lessThan">
      <formula>W81</formula>
    </cfRule>
  </conditionalFormatting>
  <conditionalFormatting sqref="W85">
    <cfRule type="cellIs" dxfId="1567" priority="3714" operator="equal">
      <formula>0</formula>
    </cfRule>
  </conditionalFormatting>
  <conditionalFormatting sqref="W84">
    <cfRule type="cellIs" dxfId="1566" priority="3707" operator="equal">
      <formula>0</formula>
    </cfRule>
    <cfRule type="cellIs" dxfId="1565" priority="3708" operator="lessThan">
      <formula>W85</formula>
    </cfRule>
    <cfRule type="cellIs" dxfId="1564" priority="3713" operator="lessThan">
      <formula>0</formula>
    </cfRule>
  </conditionalFormatting>
  <conditionalFormatting sqref="W86">
    <cfRule type="cellIs" dxfId="1563" priority="3706" operator="equal">
      <formula>0</formula>
    </cfRule>
    <cfRule type="cellIs" dxfId="1562" priority="3711" operator="lessThan">
      <formula>W87</formula>
    </cfRule>
  </conditionalFormatting>
  <conditionalFormatting sqref="W87">
    <cfRule type="cellIs" dxfId="1561" priority="3705" operator="equal">
      <formula>0</formula>
    </cfRule>
    <cfRule type="cellIs" dxfId="1560" priority="3712" operator="greaterThan">
      <formula>W86</formula>
    </cfRule>
  </conditionalFormatting>
  <conditionalFormatting sqref="W91">
    <cfRule type="cellIs" dxfId="1559" priority="3702" operator="equal">
      <formula>0</formula>
    </cfRule>
  </conditionalFormatting>
  <conditionalFormatting sqref="W90">
    <cfRule type="cellIs" dxfId="1558" priority="3695" operator="equal">
      <formula>0</formula>
    </cfRule>
    <cfRule type="cellIs" dxfId="1557" priority="3696" operator="lessThan">
      <formula>W91</formula>
    </cfRule>
    <cfRule type="cellIs" dxfId="1556" priority="3701" operator="lessThan">
      <formula>0</formula>
    </cfRule>
  </conditionalFormatting>
  <conditionalFormatting sqref="W92">
    <cfRule type="cellIs" dxfId="1555" priority="3694" operator="equal">
      <formula>0</formula>
    </cfRule>
    <cfRule type="cellIs" dxfId="1554" priority="3699" operator="lessThan">
      <formula>W93</formula>
    </cfRule>
  </conditionalFormatting>
  <conditionalFormatting sqref="W93">
    <cfRule type="cellIs" dxfId="1553" priority="3693" operator="equal">
      <formula>0</formula>
    </cfRule>
    <cfRule type="cellIs" dxfId="1552" priority="3700" operator="greaterThan">
      <formula>W92</formula>
    </cfRule>
  </conditionalFormatting>
  <conditionalFormatting sqref="W97">
    <cfRule type="cellIs" dxfId="1551" priority="3690" operator="equal">
      <formula>0</formula>
    </cfRule>
  </conditionalFormatting>
  <conditionalFormatting sqref="W96">
    <cfRule type="cellIs" dxfId="1550" priority="3683" operator="equal">
      <formula>0</formula>
    </cfRule>
    <cfRule type="cellIs" dxfId="1549" priority="3684" operator="lessThan">
      <formula>W97</formula>
    </cfRule>
    <cfRule type="cellIs" dxfId="1548" priority="3689" operator="lessThan">
      <formula>0</formula>
    </cfRule>
  </conditionalFormatting>
  <conditionalFormatting sqref="W98">
    <cfRule type="cellIs" dxfId="1547" priority="3682" operator="equal">
      <formula>0</formula>
    </cfRule>
    <cfRule type="cellIs" dxfId="1546" priority="3687" operator="lessThan">
      <formula>W99</formula>
    </cfRule>
  </conditionalFormatting>
  <conditionalFormatting sqref="W99">
    <cfRule type="cellIs" dxfId="1545" priority="3681" operator="equal">
      <formula>0</formula>
    </cfRule>
    <cfRule type="cellIs" dxfId="1544" priority="3688" operator="greaterThan">
      <formula>W98</formula>
    </cfRule>
  </conditionalFormatting>
  <conditionalFormatting sqref="W103">
    <cfRule type="cellIs" dxfId="1543" priority="3678" operator="equal">
      <formula>0</formula>
    </cfRule>
  </conditionalFormatting>
  <conditionalFormatting sqref="W102">
    <cfRule type="cellIs" dxfId="1542" priority="3671" operator="equal">
      <formula>0</formula>
    </cfRule>
    <cfRule type="cellIs" dxfId="1541" priority="3672" operator="lessThan">
      <formula>W103</formula>
    </cfRule>
    <cfRule type="cellIs" dxfId="1540" priority="3677" operator="lessThan">
      <formula>0</formula>
    </cfRule>
  </conditionalFormatting>
  <conditionalFormatting sqref="W104">
    <cfRule type="cellIs" dxfId="1539" priority="3670" operator="equal">
      <formula>0</formula>
    </cfRule>
    <cfRule type="cellIs" dxfId="1538" priority="3675" operator="lessThan">
      <formula>W105</formula>
    </cfRule>
  </conditionalFormatting>
  <conditionalFormatting sqref="W105">
    <cfRule type="cellIs" dxfId="1537" priority="3669" operator="equal">
      <formula>0</formula>
    </cfRule>
    <cfRule type="cellIs" dxfId="1536" priority="3676" operator="greaterThan">
      <formula>W104</formula>
    </cfRule>
  </conditionalFormatting>
  <conditionalFormatting sqref="W109">
    <cfRule type="cellIs" dxfId="1535" priority="3666" operator="equal">
      <formula>0</formula>
    </cfRule>
  </conditionalFormatting>
  <conditionalFormatting sqref="W108">
    <cfRule type="cellIs" dxfId="1534" priority="3659" operator="equal">
      <formula>0</formula>
    </cfRule>
    <cfRule type="cellIs" dxfId="1533" priority="3660" operator="lessThan">
      <formula>W109</formula>
    </cfRule>
    <cfRule type="cellIs" dxfId="1532" priority="3665" operator="lessThan">
      <formula>0</formula>
    </cfRule>
  </conditionalFormatting>
  <conditionalFormatting sqref="W110">
    <cfRule type="cellIs" dxfId="1531" priority="3658" operator="equal">
      <formula>0</formula>
    </cfRule>
    <cfRule type="cellIs" dxfId="1530" priority="3663" operator="lessThan">
      <formula>W111</formula>
    </cfRule>
  </conditionalFormatting>
  <conditionalFormatting sqref="W111">
    <cfRule type="cellIs" dxfId="1529" priority="3657" operator="equal">
      <formula>0</formula>
    </cfRule>
    <cfRule type="cellIs" dxfId="1528" priority="3664" operator="greaterThan">
      <formula>W110</formula>
    </cfRule>
  </conditionalFormatting>
  <conditionalFormatting sqref="W115">
    <cfRule type="cellIs" dxfId="1527" priority="3654" operator="equal">
      <formula>0</formula>
    </cfRule>
  </conditionalFormatting>
  <conditionalFormatting sqref="W114">
    <cfRule type="cellIs" dxfId="1526" priority="3647" operator="equal">
      <formula>0</formula>
    </cfRule>
    <cfRule type="cellIs" dxfId="1525" priority="3648" operator="lessThan">
      <formula>W115</formula>
    </cfRule>
    <cfRule type="cellIs" dxfId="1524" priority="3653" operator="lessThan">
      <formula>0</formula>
    </cfRule>
  </conditionalFormatting>
  <conditionalFormatting sqref="W116">
    <cfRule type="cellIs" dxfId="1523" priority="3646" operator="equal">
      <formula>0</formula>
    </cfRule>
    <cfRule type="cellIs" dxfId="1522" priority="3651" operator="lessThan">
      <formula>W117</formula>
    </cfRule>
  </conditionalFormatting>
  <conditionalFormatting sqref="W117">
    <cfRule type="cellIs" dxfId="1521" priority="3645" operator="equal">
      <formula>0</formula>
    </cfRule>
    <cfRule type="cellIs" dxfId="1520" priority="3652" operator="greaterThan">
      <formula>W116</formula>
    </cfRule>
  </conditionalFormatting>
  <conditionalFormatting sqref="W121">
    <cfRule type="cellIs" dxfId="1519" priority="3642" operator="equal">
      <formula>0</formula>
    </cfRule>
  </conditionalFormatting>
  <conditionalFormatting sqref="W120">
    <cfRule type="cellIs" dxfId="1518" priority="3635" operator="equal">
      <formula>0</formula>
    </cfRule>
    <cfRule type="cellIs" dxfId="1517" priority="3636" operator="lessThan">
      <formula>W121</formula>
    </cfRule>
    <cfRule type="cellIs" dxfId="1516" priority="3641" operator="lessThan">
      <formula>0</formula>
    </cfRule>
  </conditionalFormatting>
  <conditionalFormatting sqref="W122">
    <cfRule type="cellIs" dxfId="1515" priority="3634" operator="equal">
      <formula>0</formula>
    </cfRule>
    <cfRule type="cellIs" dxfId="1514" priority="3639" operator="lessThan">
      <formula>W123</formula>
    </cfRule>
  </conditionalFormatting>
  <conditionalFormatting sqref="W123">
    <cfRule type="cellIs" dxfId="1513" priority="3633" operator="equal">
      <formula>0</formula>
    </cfRule>
    <cfRule type="cellIs" dxfId="1512" priority="3640" operator="greaterThan">
      <formula>W122</formula>
    </cfRule>
  </conditionalFormatting>
  <conditionalFormatting sqref="W127">
    <cfRule type="cellIs" dxfId="1511" priority="3630" operator="equal">
      <formula>0</formula>
    </cfRule>
  </conditionalFormatting>
  <conditionalFormatting sqref="W126">
    <cfRule type="cellIs" dxfId="1510" priority="3623" operator="equal">
      <formula>0</formula>
    </cfRule>
    <cfRule type="cellIs" dxfId="1509" priority="3624" operator="lessThan">
      <formula>W127</formula>
    </cfRule>
    <cfRule type="cellIs" dxfId="1508" priority="3629" operator="lessThan">
      <formula>0</formula>
    </cfRule>
  </conditionalFormatting>
  <conditionalFormatting sqref="W128">
    <cfRule type="cellIs" dxfId="1507" priority="3622" operator="equal">
      <formula>0</formula>
    </cfRule>
    <cfRule type="cellIs" dxfId="1506" priority="3627" operator="lessThan">
      <formula>W129</formula>
    </cfRule>
  </conditionalFormatting>
  <conditionalFormatting sqref="W129">
    <cfRule type="cellIs" dxfId="1505" priority="3621" operator="equal">
      <formula>0</formula>
    </cfRule>
    <cfRule type="cellIs" dxfId="1504" priority="3628" operator="greaterThan">
      <formula>W128</formula>
    </cfRule>
  </conditionalFormatting>
  <conditionalFormatting sqref="W133">
    <cfRule type="cellIs" dxfId="1503" priority="3618" operator="equal">
      <formula>0</formula>
    </cfRule>
  </conditionalFormatting>
  <conditionalFormatting sqref="W132">
    <cfRule type="cellIs" dxfId="1502" priority="3611" operator="equal">
      <formula>0</formula>
    </cfRule>
    <cfRule type="cellIs" dxfId="1501" priority="3612" operator="lessThan">
      <formula>W133</formula>
    </cfRule>
    <cfRule type="cellIs" dxfId="1500" priority="3617" operator="lessThan">
      <formula>0</formula>
    </cfRule>
  </conditionalFormatting>
  <conditionalFormatting sqref="W134">
    <cfRule type="cellIs" dxfId="1499" priority="3610" operator="equal">
      <formula>0</formula>
    </cfRule>
    <cfRule type="cellIs" dxfId="1498" priority="3615" operator="lessThan">
      <formula>W135</formula>
    </cfRule>
  </conditionalFormatting>
  <conditionalFormatting sqref="W135">
    <cfRule type="cellIs" dxfId="1497" priority="3609" operator="equal">
      <formula>0</formula>
    </cfRule>
    <cfRule type="cellIs" dxfId="1496" priority="3616" operator="greaterThan">
      <formula>W134</formula>
    </cfRule>
  </conditionalFormatting>
  <conditionalFormatting sqref="W139">
    <cfRule type="cellIs" dxfId="1495" priority="3606" operator="equal">
      <formula>0</formula>
    </cfRule>
  </conditionalFormatting>
  <conditionalFormatting sqref="W138">
    <cfRule type="cellIs" dxfId="1494" priority="3599" operator="equal">
      <formula>0</formula>
    </cfRule>
    <cfRule type="cellIs" dxfId="1493" priority="3600" operator="lessThan">
      <formula>W139</formula>
    </cfRule>
    <cfRule type="cellIs" dxfId="1492" priority="3605" operator="lessThan">
      <formula>0</formula>
    </cfRule>
  </conditionalFormatting>
  <conditionalFormatting sqref="W140">
    <cfRule type="cellIs" dxfId="1491" priority="3598" operator="equal">
      <formula>0</formula>
    </cfRule>
    <cfRule type="cellIs" dxfId="1490" priority="3603" operator="lessThan">
      <formula>W141</formula>
    </cfRule>
  </conditionalFormatting>
  <conditionalFormatting sqref="W141">
    <cfRule type="cellIs" dxfId="1489" priority="3597" operator="equal">
      <formula>0</formula>
    </cfRule>
    <cfRule type="cellIs" dxfId="1488" priority="3604" operator="greaterThan">
      <formula>W140</formula>
    </cfRule>
  </conditionalFormatting>
  <conditionalFormatting sqref="W145">
    <cfRule type="cellIs" dxfId="1487" priority="3594" operator="equal">
      <formula>0</formula>
    </cfRule>
  </conditionalFormatting>
  <conditionalFormatting sqref="W144">
    <cfRule type="cellIs" dxfId="1486" priority="3587" operator="equal">
      <formula>0</formula>
    </cfRule>
    <cfRule type="cellIs" dxfId="1485" priority="3588" operator="lessThan">
      <formula>W145</formula>
    </cfRule>
    <cfRule type="cellIs" dxfId="1484" priority="3593" operator="lessThan">
      <formula>0</formula>
    </cfRule>
  </conditionalFormatting>
  <conditionalFormatting sqref="W146">
    <cfRule type="cellIs" dxfId="1483" priority="3586" operator="equal">
      <formula>0</formula>
    </cfRule>
    <cfRule type="cellIs" dxfId="1482" priority="3591" operator="lessThan">
      <formula>W147</formula>
    </cfRule>
  </conditionalFormatting>
  <conditionalFormatting sqref="W147">
    <cfRule type="cellIs" dxfId="1481" priority="3585" operator="equal">
      <formula>0</formula>
    </cfRule>
    <cfRule type="cellIs" dxfId="1480" priority="3592" operator="greaterThan">
      <formula>W146</formula>
    </cfRule>
  </conditionalFormatting>
  <conditionalFormatting sqref="W151">
    <cfRule type="cellIs" dxfId="1479" priority="3582" operator="equal">
      <formula>0</formula>
    </cfRule>
  </conditionalFormatting>
  <conditionalFormatting sqref="W150">
    <cfRule type="cellIs" dxfId="1478" priority="3575" operator="equal">
      <formula>0</formula>
    </cfRule>
    <cfRule type="cellIs" dxfId="1477" priority="3576" operator="lessThan">
      <formula>W151</formula>
    </cfRule>
    <cfRule type="cellIs" dxfId="1476" priority="3581" operator="lessThan">
      <formula>0</formula>
    </cfRule>
  </conditionalFormatting>
  <conditionalFormatting sqref="W152">
    <cfRule type="cellIs" dxfId="1475" priority="3574" operator="equal">
      <formula>0</formula>
    </cfRule>
    <cfRule type="cellIs" dxfId="1474" priority="3579" operator="lessThan">
      <formula>W153</formula>
    </cfRule>
  </conditionalFormatting>
  <conditionalFormatting sqref="W153">
    <cfRule type="cellIs" dxfId="1473" priority="3573" operator="equal">
      <formula>0</formula>
    </cfRule>
    <cfRule type="cellIs" dxfId="1472" priority="3580" operator="greaterThan">
      <formula>W152</formula>
    </cfRule>
  </conditionalFormatting>
  <conditionalFormatting sqref="W155">
    <cfRule type="cellIs" dxfId="1471" priority="3572" operator="equal">
      <formula>0</formula>
    </cfRule>
  </conditionalFormatting>
  <conditionalFormatting sqref="W154">
    <cfRule type="cellIs" dxfId="1470" priority="3565" operator="equal">
      <formula>0</formula>
    </cfRule>
    <cfRule type="cellIs" dxfId="1469" priority="3566" operator="lessThan">
      <formula>W155</formula>
    </cfRule>
    <cfRule type="cellIs" dxfId="1468" priority="3571" operator="lessThan">
      <formula>0</formula>
    </cfRule>
  </conditionalFormatting>
  <conditionalFormatting sqref="W157">
    <cfRule type="cellIs" dxfId="1467" priority="3570" operator="equal">
      <formula>0</formula>
    </cfRule>
  </conditionalFormatting>
  <conditionalFormatting sqref="W156">
    <cfRule type="cellIs" dxfId="1466" priority="3563" operator="equal">
      <formula>0</formula>
    </cfRule>
    <cfRule type="cellIs" dxfId="1465" priority="3564" operator="lessThan">
      <formula>W157</formula>
    </cfRule>
    <cfRule type="cellIs" dxfId="1464" priority="3569" operator="lessThan">
      <formula>0</formula>
    </cfRule>
  </conditionalFormatting>
  <conditionalFormatting sqref="W158">
    <cfRule type="cellIs" dxfId="1463" priority="3562" operator="equal">
      <formula>0</formula>
    </cfRule>
    <cfRule type="cellIs" dxfId="1462" priority="3567" operator="lessThan">
      <formula>W159</formula>
    </cfRule>
  </conditionalFormatting>
  <conditionalFormatting sqref="W159">
    <cfRule type="cellIs" dxfId="1461" priority="3561" operator="equal">
      <formula>0</formula>
    </cfRule>
    <cfRule type="cellIs" dxfId="1460" priority="3568" operator="greaterThan">
      <formula>W158</formula>
    </cfRule>
  </conditionalFormatting>
  <conditionalFormatting sqref="W161">
    <cfRule type="cellIs" dxfId="1459" priority="3560" operator="equal">
      <formula>0</formula>
    </cfRule>
  </conditionalFormatting>
  <conditionalFormatting sqref="W160">
    <cfRule type="cellIs" dxfId="1458" priority="3553" operator="equal">
      <formula>0</formula>
    </cfRule>
    <cfRule type="cellIs" dxfId="1457" priority="3554" operator="lessThan">
      <formula>W161</formula>
    </cfRule>
    <cfRule type="cellIs" dxfId="1456" priority="3559" operator="lessThan">
      <formula>0</formula>
    </cfRule>
  </conditionalFormatting>
  <conditionalFormatting sqref="W163">
    <cfRule type="cellIs" dxfId="1455" priority="3558" operator="equal">
      <formula>0</formula>
    </cfRule>
  </conditionalFormatting>
  <conditionalFormatting sqref="W162">
    <cfRule type="cellIs" dxfId="1454" priority="3551" operator="equal">
      <formula>0</formula>
    </cfRule>
    <cfRule type="cellIs" dxfId="1453" priority="3552" operator="lessThan">
      <formula>W163</formula>
    </cfRule>
    <cfRule type="cellIs" dxfId="1452" priority="3557" operator="lessThan">
      <formula>0</formula>
    </cfRule>
  </conditionalFormatting>
  <conditionalFormatting sqref="W164">
    <cfRule type="cellIs" dxfId="1451" priority="3550" operator="equal">
      <formula>0</formula>
    </cfRule>
    <cfRule type="cellIs" dxfId="1450" priority="3555" operator="lessThan">
      <formula>W165</formula>
    </cfRule>
  </conditionalFormatting>
  <conditionalFormatting sqref="W165">
    <cfRule type="cellIs" dxfId="1449" priority="3549" operator="equal">
      <formula>0</formula>
    </cfRule>
    <cfRule type="cellIs" dxfId="1448" priority="3556" operator="greaterThan">
      <formula>W164</formula>
    </cfRule>
  </conditionalFormatting>
  <conditionalFormatting sqref="W167">
    <cfRule type="cellIs" dxfId="1447" priority="3548" operator="equal">
      <formula>0</formula>
    </cfRule>
  </conditionalFormatting>
  <conditionalFormatting sqref="W166">
    <cfRule type="cellIs" dxfId="1446" priority="3541" operator="equal">
      <formula>0</formula>
    </cfRule>
    <cfRule type="cellIs" dxfId="1445" priority="3542" operator="lessThan">
      <formula>W167</formula>
    </cfRule>
    <cfRule type="cellIs" dxfId="1444" priority="3547" operator="lessThan">
      <formula>0</formula>
    </cfRule>
  </conditionalFormatting>
  <conditionalFormatting sqref="W169">
    <cfRule type="cellIs" dxfId="1443" priority="3546" operator="equal">
      <formula>0</formula>
    </cfRule>
  </conditionalFormatting>
  <conditionalFormatting sqref="W168">
    <cfRule type="cellIs" dxfId="1442" priority="3539" operator="equal">
      <formula>0</formula>
    </cfRule>
    <cfRule type="cellIs" dxfId="1441" priority="3540" operator="lessThan">
      <formula>W169</formula>
    </cfRule>
    <cfRule type="cellIs" dxfId="1440" priority="3545" operator="lessThan">
      <formula>0</formula>
    </cfRule>
  </conditionalFormatting>
  <conditionalFormatting sqref="W170">
    <cfRule type="cellIs" dxfId="1439" priority="3538" operator="equal">
      <formula>0</formula>
    </cfRule>
    <cfRule type="cellIs" dxfId="1438" priority="3543" operator="lessThan">
      <formula>W171</formula>
    </cfRule>
  </conditionalFormatting>
  <conditionalFormatting sqref="W171">
    <cfRule type="cellIs" dxfId="1437" priority="3537" operator="equal">
      <formula>0</formula>
    </cfRule>
    <cfRule type="cellIs" dxfId="1436" priority="3544" operator="greaterThan">
      <formula>W170</formula>
    </cfRule>
  </conditionalFormatting>
  <conditionalFormatting sqref="Z68 Z74 Z80 Z86 Z92 Z98 Z104 Z110 Z116 Z122 Z128 Z134 Z140 Z146 Z152 Z158 Z164 Z170">
    <cfRule type="colorScale" priority="3316">
      <colorScale>
        <cfvo type="min"/>
        <cfvo type="percentile" val="50"/>
        <cfvo type="max"/>
        <color rgb="FFF8696B"/>
        <color rgb="FFFFEB84"/>
        <color rgb="FF63BE7B"/>
      </colorScale>
    </cfRule>
  </conditionalFormatting>
  <conditionalFormatting sqref="W77">
    <cfRule type="cellIs" dxfId="1435" priority="3308" operator="lessThan">
      <formula>W76</formula>
    </cfRule>
    <cfRule type="cellIs" dxfId="1434" priority="3313" operator="equal">
      <formula>0</formula>
    </cfRule>
  </conditionalFormatting>
  <conditionalFormatting sqref="W76">
    <cfRule type="cellIs" dxfId="1433" priority="3309" operator="lessThan">
      <formula>W77</formula>
    </cfRule>
    <cfRule type="cellIs" dxfId="1432" priority="3310" operator="equal">
      <formula>0</formula>
    </cfRule>
    <cfRule type="cellIs" dxfId="1431" priority="3311" operator="lessThan">
      <formula>W77</formula>
    </cfRule>
    <cfRule type="cellIs" dxfId="1430" priority="3312" operator="lessThan">
      <formula>0</formula>
    </cfRule>
  </conditionalFormatting>
  <conditionalFormatting sqref="W83">
    <cfRule type="cellIs" dxfId="1429" priority="3302" operator="lessThan">
      <formula>W82</formula>
    </cfRule>
    <cfRule type="cellIs" dxfId="1428" priority="3307" operator="equal">
      <formula>0</formula>
    </cfRule>
  </conditionalFormatting>
  <conditionalFormatting sqref="W82">
    <cfRule type="cellIs" dxfId="1427" priority="3303" operator="lessThan">
      <formula>W83</formula>
    </cfRule>
    <cfRule type="cellIs" dxfId="1426" priority="3304" operator="equal">
      <formula>0</formula>
    </cfRule>
    <cfRule type="cellIs" dxfId="1425" priority="3305" operator="lessThan">
      <formula>W83</formula>
    </cfRule>
    <cfRule type="cellIs" dxfId="1424" priority="3306" operator="lessThan">
      <formula>0</formula>
    </cfRule>
  </conditionalFormatting>
  <conditionalFormatting sqref="W89">
    <cfRule type="cellIs" dxfId="1423" priority="3296" operator="lessThan">
      <formula>W88</formula>
    </cfRule>
    <cfRule type="cellIs" dxfId="1422" priority="3301" operator="equal">
      <formula>0</formula>
    </cfRule>
  </conditionalFormatting>
  <conditionalFormatting sqref="W88">
    <cfRule type="cellIs" dxfId="1421" priority="3297" operator="lessThan">
      <formula>W89</formula>
    </cfRule>
    <cfRule type="cellIs" dxfId="1420" priority="3298" operator="equal">
      <formula>0</formula>
    </cfRule>
    <cfRule type="cellIs" dxfId="1419" priority="3299" operator="lessThan">
      <formula>W89</formula>
    </cfRule>
    <cfRule type="cellIs" dxfId="1418" priority="3300" operator="lessThan">
      <formula>0</formula>
    </cfRule>
  </conditionalFormatting>
  <conditionalFormatting sqref="W95">
    <cfRule type="cellIs" dxfId="1417" priority="3290" operator="lessThan">
      <formula>W94</formula>
    </cfRule>
    <cfRule type="cellIs" dxfId="1416" priority="3295" operator="equal">
      <formula>0</formula>
    </cfRule>
  </conditionalFormatting>
  <conditionalFormatting sqref="W94">
    <cfRule type="cellIs" dxfId="1415" priority="3291" operator="lessThan">
      <formula>W95</formula>
    </cfRule>
    <cfRule type="cellIs" dxfId="1414" priority="3292" operator="equal">
      <formula>0</formula>
    </cfRule>
    <cfRule type="cellIs" dxfId="1413" priority="3293" operator="lessThan">
      <formula>W95</formula>
    </cfRule>
    <cfRule type="cellIs" dxfId="1412" priority="3294" operator="lessThan">
      <formula>0</formula>
    </cfRule>
  </conditionalFormatting>
  <conditionalFormatting sqref="W101">
    <cfRule type="cellIs" dxfId="1411" priority="3284" operator="lessThan">
      <formula>W100</formula>
    </cfRule>
    <cfRule type="cellIs" dxfId="1410" priority="3289" operator="equal">
      <formula>0</formula>
    </cfRule>
  </conditionalFormatting>
  <conditionalFormatting sqref="W100">
    <cfRule type="cellIs" dxfId="1409" priority="3285" operator="lessThan">
      <formula>W101</formula>
    </cfRule>
    <cfRule type="cellIs" dxfId="1408" priority="3286" operator="equal">
      <formula>0</formula>
    </cfRule>
    <cfRule type="cellIs" dxfId="1407" priority="3287" operator="lessThan">
      <formula>W101</formula>
    </cfRule>
    <cfRule type="cellIs" dxfId="1406" priority="3288" operator="lessThan">
      <formula>0</formula>
    </cfRule>
  </conditionalFormatting>
  <conditionalFormatting sqref="W107">
    <cfRule type="cellIs" dxfId="1405" priority="3278" operator="lessThan">
      <formula>W106</formula>
    </cfRule>
    <cfRule type="cellIs" dxfId="1404" priority="3283" operator="equal">
      <formula>0</formula>
    </cfRule>
  </conditionalFormatting>
  <conditionalFormatting sqref="W106">
    <cfRule type="cellIs" dxfId="1403" priority="3279" operator="lessThan">
      <formula>W107</formula>
    </cfRule>
    <cfRule type="cellIs" dxfId="1402" priority="3280" operator="equal">
      <formula>0</formula>
    </cfRule>
    <cfRule type="cellIs" dxfId="1401" priority="3281" operator="lessThan">
      <formula>W107</formula>
    </cfRule>
    <cfRule type="cellIs" dxfId="1400" priority="3282" operator="lessThan">
      <formula>0</formula>
    </cfRule>
  </conditionalFormatting>
  <conditionalFormatting sqref="W113">
    <cfRule type="cellIs" dxfId="1399" priority="3272" operator="lessThan">
      <formula>W112</formula>
    </cfRule>
    <cfRule type="cellIs" dxfId="1398" priority="3277" operator="equal">
      <formula>0</formula>
    </cfRule>
  </conditionalFormatting>
  <conditionalFormatting sqref="W112">
    <cfRule type="cellIs" dxfId="1397" priority="3273" operator="lessThan">
      <formula>W113</formula>
    </cfRule>
    <cfRule type="cellIs" dxfId="1396" priority="3274" operator="equal">
      <formula>0</formula>
    </cfRule>
    <cfRule type="cellIs" dxfId="1395" priority="3275" operator="lessThan">
      <formula>W113</formula>
    </cfRule>
    <cfRule type="cellIs" dxfId="1394" priority="3276" operator="lessThan">
      <formula>0</formula>
    </cfRule>
  </conditionalFormatting>
  <conditionalFormatting sqref="W119">
    <cfRule type="cellIs" dxfId="1393" priority="3266" operator="lessThan">
      <formula>W118</formula>
    </cfRule>
    <cfRule type="cellIs" dxfId="1392" priority="3271" operator="equal">
      <formula>0</formula>
    </cfRule>
  </conditionalFormatting>
  <conditionalFormatting sqref="W118">
    <cfRule type="cellIs" dxfId="1391" priority="3267" operator="lessThan">
      <formula>W119</formula>
    </cfRule>
    <cfRule type="cellIs" dxfId="1390" priority="3268" operator="equal">
      <formula>0</formula>
    </cfRule>
    <cfRule type="cellIs" dxfId="1389" priority="3269" operator="lessThan">
      <formula>W119</formula>
    </cfRule>
    <cfRule type="cellIs" dxfId="1388" priority="3270" operator="lessThan">
      <formula>0</formula>
    </cfRule>
  </conditionalFormatting>
  <conditionalFormatting sqref="W125">
    <cfRule type="cellIs" dxfId="1387" priority="3260" operator="lessThan">
      <formula>W124</formula>
    </cfRule>
    <cfRule type="cellIs" dxfId="1386" priority="3265" operator="equal">
      <formula>0</formula>
    </cfRule>
  </conditionalFormatting>
  <conditionalFormatting sqref="W124">
    <cfRule type="cellIs" dxfId="1385" priority="3261" operator="lessThan">
      <formula>W125</formula>
    </cfRule>
    <cfRule type="cellIs" dxfId="1384" priority="3262" operator="equal">
      <formula>0</formula>
    </cfRule>
    <cfRule type="cellIs" dxfId="1383" priority="3263" operator="lessThan">
      <formula>W125</formula>
    </cfRule>
    <cfRule type="cellIs" dxfId="1382" priority="3264" operator="lessThan">
      <formula>0</formula>
    </cfRule>
  </conditionalFormatting>
  <conditionalFormatting sqref="W131">
    <cfRule type="cellIs" dxfId="1381" priority="3254" operator="lessThan">
      <formula>W130</formula>
    </cfRule>
    <cfRule type="cellIs" dxfId="1380" priority="3259" operator="equal">
      <formula>0</formula>
    </cfRule>
  </conditionalFormatting>
  <conditionalFormatting sqref="W130">
    <cfRule type="cellIs" dxfId="1379" priority="3255" operator="lessThan">
      <formula>W131</formula>
    </cfRule>
    <cfRule type="cellIs" dxfId="1378" priority="3256" operator="equal">
      <formula>0</formula>
    </cfRule>
    <cfRule type="cellIs" dxfId="1377" priority="3257" operator="lessThan">
      <formula>W131</formula>
    </cfRule>
    <cfRule type="cellIs" dxfId="1376" priority="3258" operator="lessThan">
      <formula>0</formula>
    </cfRule>
  </conditionalFormatting>
  <conditionalFormatting sqref="W137">
    <cfRule type="cellIs" dxfId="1375" priority="3248" operator="lessThan">
      <formula>W136</formula>
    </cfRule>
    <cfRule type="cellIs" dxfId="1374" priority="3253" operator="equal">
      <formula>0</formula>
    </cfRule>
  </conditionalFormatting>
  <conditionalFormatting sqref="W136">
    <cfRule type="cellIs" dxfId="1373" priority="3249" operator="lessThan">
      <formula>W137</formula>
    </cfRule>
    <cfRule type="cellIs" dxfId="1372" priority="3250" operator="equal">
      <formula>0</formula>
    </cfRule>
    <cfRule type="cellIs" dxfId="1371" priority="3251" operator="lessThan">
      <formula>W137</formula>
    </cfRule>
    <cfRule type="cellIs" dxfId="1370" priority="3252" operator="lessThan">
      <formula>0</formula>
    </cfRule>
  </conditionalFormatting>
  <conditionalFormatting sqref="W143">
    <cfRule type="cellIs" dxfId="1369" priority="3242" operator="lessThan">
      <formula>W142</formula>
    </cfRule>
    <cfRule type="cellIs" dxfId="1368" priority="3247" operator="equal">
      <formula>0</formula>
    </cfRule>
  </conditionalFormatting>
  <conditionalFormatting sqref="W142">
    <cfRule type="cellIs" dxfId="1367" priority="3243" operator="lessThan">
      <formula>W143</formula>
    </cfRule>
    <cfRule type="cellIs" dxfId="1366" priority="3244" operator="equal">
      <formula>0</formula>
    </cfRule>
    <cfRule type="cellIs" dxfId="1365" priority="3245" operator="lessThan">
      <formula>W143</formula>
    </cfRule>
    <cfRule type="cellIs" dxfId="1364" priority="3246" operator="lessThan">
      <formula>0</formula>
    </cfRule>
  </conditionalFormatting>
  <conditionalFormatting sqref="W149">
    <cfRule type="cellIs" dxfId="1363" priority="3236" operator="lessThan">
      <formula>W148</formula>
    </cfRule>
    <cfRule type="cellIs" dxfId="1362" priority="3241" operator="equal">
      <formula>0</formula>
    </cfRule>
  </conditionalFormatting>
  <conditionalFormatting sqref="W148">
    <cfRule type="cellIs" dxfId="1361" priority="3237" operator="lessThan">
      <formula>W149</formula>
    </cfRule>
    <cfRule type="cellIs" dxfId="1360" priority="3238" operator="equal">
      <formula>0</formula>
    </cfRule>
    <cfRule type="cellIs" dxfId="1359" priority="3239" operator="lessThan">
      <formula>W149</formula>
    </cfRule>
    <cfRule type="cellIs" dxfId="1358" priority="3240" operator="lessThan">
      <formula>0</formula>
    </cfRule>
  </conditionalFormatting>
  <conditionalFormatting sqref="V82:V87">
    <cfRule type="cellIs" dxfId="1357" priority="3234" operator="lessThan">
      <formula>0</formula>
    </cfRule>
    <cfRule type="cellIs" dxfId="1356" priority="3235" operator="equal">
      <formula>0</formula>
    </cfRule>
  </conditionalFormatting>
  <conditionalFormatting sqref="V88:V93">
    <cfRule type="cellIs" dxfId="1355" priority="3232" operator="lessThan">
      <formula>0</formula>
    </cfRule>
    <cfRule type="cellIs" dxfId="1354" priority="3233" operator="equal">
      <formula>0</formula>
    </cfRule>
  </conditionalFormatting>
  <conditionalFormatting sqref="V94:V99">
    <cfRule type="cellIs" dxfId="1353" priority="3230" operator="lessThan">
      <formula>0</formula>
    </cfRule>
    <cfRule type="cellIs" dxfId="1352" priority="3231" operator="equal">
      <formula>0</formula>
    </cfRule>
  </conditionalFormatting>
  <conditionalFormatting sqref="V100:V105">
    <cfRule type="cellIs" dxfId="1351" priority="3228" operator="lessThan">
      <formula>0</formula>
    </cfRule>
    <cfRule type="cellIs" dxfId="1350" priority="3229" operator="equal">
      <formula>0</formula>
    </cfRule>
  </conditionalFormatting>
  <conditionalFormatting sqref="V106:V111">
    <cfRule type="cellIs" dxfId="1349" priority="3226" operator="lessThan">
      <formula>0</formula>
    </cfRule>
    <cfRule type="cellIs" dxfId="1348" priority="3227" operator="equal">
      <formula>0</formula>
    </cfRule>
  </conditionalFormatting>
  <conditionalFormatting sqref="V112:V117">
    <cfRule type="cellIs" dxfId="1347" priority="3224" operator="lessThan">
      <formula>0</formula>
    </cfRule>
    <cfRule type="cellIs" dxfId="1346" priority="3225" operator="equal">
      <formula>0</formula>
    </cfRule>
  </conditionalFormatting>
  <conditionalFormatting sqref="V118:V123">
    <cfRule type="cellIs" dxfId="1345" priority="3222" operator="lessThan">
      <formula>0</formula>
    </cfRule>
    <cfRule type="cellIs" dxfId="1344" priority="3223" operator="equal">
      <formula>0</formula>
    </cfRule>
  </conditionalFormatting>
  <conditionalFormatting sqref="V124:V129">
    <cfRule type="cellIs" dxfId="1343" priority="3220" operator="lessThan">
      <formula>0</formula>
    </cfRule>
    <cfRule type="cellIs" dxfId="1342" priority="3221" operator="equal">
      <formula>0</formula>
    </cfRule>
  </conditionalFormatting>
  <conditionalFormatting sqref="V130:V135">
    <cfRule type="cellIs" dxfId="1341" priority="3218" operator="lessThan">
      <formula>0</formula>
    </cfRule>
    <cfRule type="cellIs" dxfId="1340" priority="3219" operator="equal">
      <formula>0</formula>
    </cfRule>
  </conditionalFormatting>
  <conditionalFormatting sqref="V136:V141">
    <cfRule type="cellIs" dxfId="1339" priority="3216" operator="lessThan">
      <formula>0</formula>
    </cfRule>
    <cfRule type="cellIs" dxfId="1338" priority="3217" operator="equal">
      <formula>0</formula>
    </cfRule>
  </conditionalFormatting>
  <conditionalFormatting sqref="V142:V147">
    <cfRule type="cellIs" dxfId="1337" priority="3214" operator="lessThan">
      <formula>0</formula>
    </cfRule>
    <cfRule type="cellIs" dxfId="1336" priority="3215" operator="equal">
      <formula>0</formula>
    </cfRule>
  </conditionalFormatting>
  <conditionalFormatting sqref="V148:V153">
    <cfRule type="cellIs" dxfId="1335" priority="3212" operator="lessThan">
      <formula>0</formula>
    </cfRule>
    <cfRule type="cellIs" dxfId="1334" priority="3213" operator="equal">
      <formula>0</formula>
    </cfRule>
  </conditionalFormatting>
  <conditionalFormatting sqref="V154:V159">
    <cfRule type="cellIs" dxfId="1333" priority="3210" operator="lessThan">
      <formula>0</formula>
    </cfRule>
    <cfRule type="cellIs" dxfId="1332" priority="3211" operator="equal">
      <formula>0</formula>
    </cfRule>
  </conditionalFormatting>
  <conditionalFormatting sqref="V160:V165">
    <cfRule type="cellIs" dxfId="1331" priority="3208" operator="lessThan">
      <formula>0</formula>
    </cfRule>
    <cfRule type="cellIs" dxfId="1330" priority="3209" operator="equal">
      <formula>0</formula>
    </cfRule>
  </conditionalFormatting>
  <conditionalFormatting sqref="V166:V171">
    <cfRule type="cellIs" dxfId="1329" priority="3206" operator="lessThan">
      <formula>0</formula>
    </cfRule>
    <cfRule type="cellIs" dxfId="1328" priority="3207" operator="equal">
      <formula>0</formula>
    </cfRule>
  </conditionalFormatting>
  <conditionalFormatting sqref="W75">
    <cfRule type="cellIs" dxfId="1327" priority="3165" operator="equal">
      <formula>0</formula>
    </cfRule>
    <cfRule type="cellIs" dxfId="1326" priority="3166" operator="greaterThan">
      <formula>W74</formula>
    </cfRule>
  </conditionalFormatting>
  <conditionalFormatting sqref="W81">
    <cfRule type="cellIs" dxfId="1325" priority="3163" operator="equal">
      <formula>0</formula>
    </cfRule>
    <cfRule type="cellIs" dxfId="1324" priority="3164" operator="greaterThan">
      <formula>W80</formula>
    </cfRule>
  </conditionalFormatting>
  <conditionalFormatting sqref="D64">
    <cfRule type="expression" dxfId="1323" priority="2925">
      <formula>E64&gt;B64</formula>
    </cfRule>
    <cfRule type="expression" dxfId="1322" priority="3143">
      <formula>V64&lt;&gt;0</formula>
    </cfRule>
  </conditionalFormatting>
  <conditionalFormatting sqref="C64">
    <cfRule type="expression" dxfId="1321" priority="2926">
      <formula>B64&gt;E64</formula>
    </cfRule>
    <cfRule type="expression" dxfId="1320" priority="3142">
      <formula>V64&lt;&gt;0</formula>
    </cfRule>
  </conditionalFormatting>
  <conditionalFormatting sqref="E64">
    <cfRule type="cellIs" dxfId="1319" priority="2880" operator="greaterThan">
      <formula>B64</formula>
    </cfRule>
  </conditionalFormatting>
  <conditionalFormatting sqref="B65">
    <cfRule type="cellIs" dxfId="1318" priority="2130" operator="greaterThan">
      <formula>E65</formula>
    </cfRule>
  </conditionalFormatting>
  <conditionalFormatting sqref="D65">
    <cfRule type="expression" dxfId="1317" priority="2126">
      <formula>E65&gt;B65</formula>
    </cfRule>
    <cfRule type="expression" dxfId="1316" priority="2129">
      <formula>V65&lt;&gt;0</formula>
    </cfRule>
  </conditionalFormatting>
  <conditionalFormatting sqref="C65">
    <cfRule type="expression" dxfId="1315" priority="2127">
      <formula>B65&gt;E65</formula>
    </cfRule>
    <cfRule type="expression" dxfId="1314" priority="2128">
      <formula>V65&lt;&gt;0</formula>
    </cfRule>
  </conditionalFormatting>
  <conditionalFormatting sqref="E65">
    <cfRule type="cellIs" dxfId="1313" priority="2125" operator="greaterThan">
      <formula>B65</formula>
    </cfRule>
  </conditionalFormatting>
  <conditionalFormatting sqref="B66">
    <cfRule type="cellIs" dxfId="1312" priority="2124" operator="greaterThan">
      <formula>E66</formula>
    </cfRule>
  </conditionalFormatting>
  <conditionalFormatting sqref="D66">
    <cfRule type="expression" dxfId="1311" priority="2120">
      <formula>E66&gt;B66</formula>
    </cfRule>
    <cfRule type="expression" dxfId="1310" priority="2123">
      <formula>V66&lt;&gt;0</formula>
    </cfRule>
  </conditionalFormatting>
  <conditionalFormatting sqref="C66">
    <cfRule type="expression" dxfId="1309" priority="2121">
      <formula>B66&gt;E66</formula>
    </cfRule>
    <cfRule type="expression" dxfId="1308" priority="2122">
      <formula>V66&lt;&gt;0</formula>
    </cfRule>
  </conditionalFormatting>
  <conditionalFormatting sqref="E66">
    <cfRule type="cellIs" dxfId="1307" priority="2119" operator="greaterThan">
      <formula>B66</formula>
    </cfRule>
  </conditionalFormatting>
  <conditionalFormatting sqref="B67">
    <cfRule type="cellIs" dxfId="1306" priority="2118" operator="greaterThan">
      <formula>E67</formula>
    </cfRule>
  </conditionalFormatting>
  <conditionalFormatting sqref="D67">
    <cfRule type="expression" dxfId="1305" priority="2114">
      <formula>E67&gt;B67</formula>
    </cfRule>
    <cfRule type="expression" dxfId="1304" priority="2117">
      <formula>V67&lt;&gt;0</formula>
    </cfRule>
  </conditionalFormatting>
  <conditionalFormatting sqref="C67">
    <cfRule type="expression" dxfId="1303" priority="2115">
      <formula>B67&gt;E67</formula>
    </cfRule>
    <cfRule type="expression" dxfId="1302" priority="2116">
      <formula>V67&lt;&gt;0</formula>
    </cfRule>
  </conditionalFormatting>
  <conditionalFormatting sqref="E67">
    <cfRule type="cellIs" dxfId="1301" priority="2113" operator="greaterThan">
      <formula>B67</formula>
    </cfRule>
  </conditionalFormatting>
  <conditionalFormatting sqref="B68">
    <cfRule type="cellIs" dxfId="1300" priority="2112" operator="greaterThan">
      <formula>E68</formula>
    </cfRule>
  </conditionalFormatting>
  <conditionalFormatting sqref="D68">
    <cfRule type="expression" dxfId="1299" priority="2108">
      <formula>E68&gt;B68</formula>
    </cfRule>
    <cfRule type="expression" dxfId="1298" priority="2111">
      <formula>V68&lt;&gt;0</formula>
    </cfRule>
  </conditionalFormatting>
  <conditionalFormatting sqref="C68">
    <cfRule type="expression" dxfId="1297" priority="2109">
      <formula>B68&gt;E68</formula>
    </cfRule>
    <cfRule type="expression" dxfId="1296" priority="2110">
      <formula>V68&lt;&gt;0</formula>
    </cfRule>
  </conditionalFormatting>
  <conditionalFormatting sqref="E68">
    <cfRule type="cellIs" dxfId="1295" priority="2107" operator="greaterThan">
      <formula>B68</formula>
    </cfRule>
  </conditionalFormatting>
  <conditionalFormatting sqref="B69">
    <cfRule type="cellIs" dxfId="1294" priority="2106" operator="greaterThan">
      <formula>E69</formula>
    </cfRule>
  </conditionalFormatting>
  <conditionalFormatting sqref="D69">
    <cfRule type="expression" dxfId="1293" priority="2102">
      <formula>E69&gt;B69</formula>
    </cfRule>
    <cfRule type="expression" dxfId="1292" priority="2105">
      <formula>V69&lt;&gt;0</formula>
    </cfRule>
  </conditionalFormatting>
  <conditionalFormatting sqref="C69">
    <cfRule type="expression" dxfId="1291" priority="2103">
      <formula>B69&gt;E69</formula>
    </cfRule>
    <cfRule type="expression" dxfId="1290" priority="2104">
      <formula>V69&lt;&gt;0</formula>
    </cfRule>
  </conditionalFormatting>
  <conditionalFormatting sqref="E69">
    <cfRule type="cellIs" dxfId="1289" priority="2101" operator="greaterThan">
      <formula>B69</formula>
    </cfRule>
  </conditionalFormatting>
  <conditionalFormatting sqref="B70">
    <cfRule type="cellIs" dxfId="1288" priority="2100" operator="greaterThan">
      <formula>E70</formula>
    </cfRule>
  </conditionalFormatting>
  <conditionalFormatting sqref="D70">
    <cfRule type="expression" dxfId="1287" priority="2096">
      <formula>E70&gt;B70</formula>
    </cfRule>
    <cfRule type="expression" dxfId="1286" priority="2099">
      <formula>V70&lt;&gt;0</formula>
    </cfRule>
  </conditionalFormatting>
  <conditionalFormatting sqref="C70">
    <cfRule type="expression" dxfId="1285" priority="2097">
      <formula>B70&gt;E70</formula>
    </cfRule>
    <cfRule type="expression" dxfId="1284" priority="2098">
      <formula>V70&lt;&gt;0</formula>
    </cfRule>
  </conditionalFormatting>
  <conditionalFormatting sqref="E70">
    <cfRule type="cellIs" dxfId="1283" priority="2095" operator="greaterThan">
      <formula>B70</formula>
    </cfRule>
  </conditionalFormatting>
  <conditionalFormatting sqref="B71">
    <cfRule type="cellIs" dxfId="1282" priority="2094" operator="greaterThan">
      <formula>E71</formula>
    </cfRule>
  </conditionalFormatting>
  <conditionalFormatting sqref="D71">
    <cfRule type="expression" dxfId="1281" priority="2090">
      <formula>E71&gt;B71</formula>
    </cfRule>
    <cfRule type="expression" dxfId="1280" priority="2093">
      <formula>V71&lt;&gt;0</formula>
    </cfRule>
  </conditionalFormatting>
  <conditionalFormatting sqref="C71">
    <cfRule type="expression" dxfId="1279" priority="2091">
      <formula>B71&gt;E71</formula>
    </cfRule>
    <cfRule type="expression" dxfId="1278" priority="2092">
      <formula>V71&lt;&gt;0</formula>
    </cfRule>
  </conditionalFormatting>
  <conditionalFormatting sqref="E71">
    <cfRule type="cellIs" dxfId="1277" priority="2089" operator="greaterThan">
      <formula>B71</formula>
    </cfRule>
  </conditionalFormatting>
  <conditionalFormatting sqref="B72">
    <cfRule type="cellIs" dxfId="1276" priority="2088" operator="greaterThan">
      <formula>E72</formula>
    </cfRule>
  </conditionalFormatting>
  <conditionalFormatting sqref="D72">
    <cfRule type="expression" dxfId="1275" priority="2084">
      <formula>E72&gt;B72</formula>
    </cfRule>
    <cfRule type="expression" dxfId="1274" priority="2087">
      <formula>V72&lt;&gt;0</formula>
    </cfRule>
  </conditionalFormatting>
  <conditionalFormatting sqref="C72">
    <cfRule type="expression" dxfId="1273" priority="2085">
      <formula>B72&gt;E72</formula>
    </cfRule>
    <cfRule type="expression" dxfId="1272" priority="2086">
      <formula>V72&lt;&gt;0</formula>
    </cfRule>
  </conditionalFormatting>
  <conditionalFormatting sqref="E72">
    <cfRule type="cellIs" dxfId="1271" priority="2083" operator="greaterThan">
      <formula>B72</formula>
    </cfRule>
  </conditionalFormatting>
  <conditionalFormatting sqref="B73">
    <cfRule type="cellIs" dxfId="1270" priority="2082" operator="greaterThan">
      <formula>E73</formula>
    </cfRule>
  </conditionalFormatting>
  <conditionalFormatting sqref="D73">
    <cfRule type="expression" dxfId="1269" priority="2078">
      <formula>E73&gt;B73</formula>
    </cfRule>
    <cfRule type="expression" dxfId="1268" priority="2081">
      <formula>V73&lt;&gt;0</formula>
    </cfRule>
  </conditionalFormatting>
  <conditionalFormatting sqref="C73">
    <cfRule type="expression" dxfId="1267" priority="2079">
      <formula>B73&gt;E73</formula>
    </cfRule>
    <cfRule type="expression" dxfId="1266" priority="2080">
      <formula>V73&lt;&gt;0</formula>
    </cfRule>
  </conditionalFormatting>
  <conditionalFormatting sqref="E73">
    <cfRule type="cellIs" dxfId="1265" priority="2077" operator="greaterThan">
      <formula>B73</formula>
    </cfRule>
  </conditionalFormatting>
  <conditionalFormatting sqref="B74">
    <cfRule type="cellIs" dxfId="1264" priority="2076" operator="greaterThan">
      <formula>E74</formula>
    </cfRule>
  </conditionalFormatting>
  <conditionalFormatting sqref="D74">
    <cfRule type="expression" dxfId="1263" priority="2072">
      <formula>E74&gt;B74</formula>
    </cfRule>
    <cfRule type="expression" dxfId="1262" priority="2075">
      <formula>V74&lt;&gt;0</formula>
    </cfRule>
  </conditionalFormatting>
  <conditionalFormatting sqref="C74">
    <cfRule type="expression" dxfId="1261" priority="2073">
      <formula>B74&gt;E74</formula>
    </cfRule>
    <cfRule type="expression" dxfId="1260" priority="2074">
      <formula>V74&lt;&gt;0</formula>
    </cfRule>
  </conditionalFormatting>
  <conditionalFormatting sqref="E74">
    <cfRule type="cellIs" dxfId="1259" priority="2071" operator="greaterThan">
      <formula>B74</formula>
    </cfRule>
  </conditionalFormatting>
  <conditionalFormatting sqref="B75">
    <cfRule type="cellIs" dxfId="1258" priority="2070" operator="greaterThan">
      <formula>E75</formula>
    </cfRule>
  </conditionalFormatting>
  <conditionalFormatting sqref="D75">
    <cfRule type="expression" dxfId="1257" priority="2066">
      <formula>E75&gt;B75</formula>
    </cfRule>
    <cfRule type="expression" dxfId="1256" priority="2069">
      <formula>V75&lt;&gt;0</formula>
    </cfRule>
  </conditionalFormatting>
  <conditionalFormatting sqref="C75">
    <cfRule type="expression" dxfId="1255" priority="2067">
      <formula>B75&gt;E75</formula>
    </cfRule>
    <cfRule type="expression" dxfId="1254" priority="2068">
      <formula>V75&lt;&gt;0</formula>
    </cfRule>
  </conditionalFormatting>
  <conditionalFormatting sqref="E75">
    <cfRule type="cellIs" dxfId="1253" priority="2065" operator="greaterThan">
      <formula>B75</formula>
    </cfRule>
  </conditionalFormatting>
  <conditionalFormatting sqref="B76">
    <cfRule type="cellIs" dxfId="1252" priority="2064" operator="greaterThan">
      <formula>E76</formula>
    </cfRule>
  </conditionalFormatting>
  <conditionalFormatting sqref="D76">
    <cfRule type="expression" dxfId="1251" priority="2060">
      <formula>E76&gt;B76</formula>
    </cfRule>
    <cfRule type="expression" dxfId="1250" priority="2063">
      <formula>V76&lt;&gt;0</formula>
    </cfRule>
  </conditionalFormatting>
  <conditionalFormatting sqref="C76">
    <cfRule type="expression" dxfId="1249" priority="2061">
      <formula>B76&gt;E76</formula>
    </cfRule>
    <cfRule type="expression" dxfId="1248" priority="2062">
      <formula>V76&lt;&gt;0</formula>
    </cfRule>
  </conditionalFormatting>
  <conditionalFormatting sqref="E76">
    <cfRule type="cellIs" dxfId="1247" priority="2059" operator="greaterThan">
      <formula>B76</formula>
    </cfRule>
  </conditionalFormatting>
  <conditionalFormatting sqref="B77">
    <cfRule type="cellIs" dxfId="1246" priority="2058" operator="greaterThan">
      <formula>E77</formula>
    </cfRule>
  </conditionalFormatting>
  <conditionalFormatting sqref="D77">
    <cfRule type="expression" dxfId="1245" priority="2054">
      <formula>E77&gt;B77</formula>
    </cfRule>
    <cfRule type="expression" dxfId="1244" priority="2057">
      <formula>V77&lt;&gt;0</formula>
    </cfRule>
  </conditionalFormatting>
  <conditionalFormatting sqref="C77">
    <cfRule type="expression" dxfId="1243" priority="2055">
      <formula>B77&gt;E77</formula>
    </cfRule>
    <cfRule type="expression" dxfId="1242" priority="2056">
      <formula>V77&lt;&gt;0</formula>
    </cfRule>
  </conditionalFormatting>
  <conditionalFormatting sqref="E77">
    <cfRule type="cellIs" dxfId="1241" priority="2053" operator="greaterThan">
      <formula>B77</formula>
    </cfRule>
  </conditionalFormatting>
  <conditionalFormatting sqref="B78">
    <cfRule type="cellIs" dxfId="1240" priority="2052" operator="greaterThan">
      <formula>E78</formula>
    </cfRule>
  </conditionalFormatting>
  <conditionalFormatting sqref="D78">
    <cfRule type="expression" dxfId="1239" priority="2048">
      <formula>E78&gt;B78</formula>
    </cfRule>
    <cfRule type="expression" dxfId="1238" priority="2051">
      <formula>V78&lt;&gt;0</formula>
    </cfRule>
  </conditionalFormatting>
  <conditionalFormatting sqref="C78">
    <cfRule type="expression" dxfId="1237" priority="2049">
      <formula>B78&gt;E78</formula>
    </cfRule>
    <cfRule type="expression" dxfId="1236" priority="2050">
      <formula>V78&lt;&gt;0</formula>
    </cfRule>
  </conditionalFormatting>
  <conditionalFormatting sqref="E78">
    <cfRule type="cellIs" dxfId="1235" priority="2047" operator="greaterThan">
      <formula>B78</formula>
    </cfRule>
  </conditionalFormatting>
  <conditionalFormatting sqref="B79">
    <cfRule type="cellIs" dxfId="1234" priority="2046" operator="greaterThan">
      <formula>E79</formula>
    </cfRule>
  </conditionalFormatting>
  <conditionalFormatting sqref="D79">
    <cfRule type="expression" dxfId="1233" priority="2042">
      <formula>E79&gt;B79</formula>
    </cfRule>
    <cfRule type="expression" dxfId="1232" priority="2045">
      <formula>V79&lt;&gt;0</formula>
    </cfRule>
  </conditionalFormatting>
  <conditionalFormatting sqref="C79">
    <cfRule type="expression" dxfId="1231" priority="2043">
      <formula>B79&gt;E79</formula>
    </cfRule>
    <cfRule type="expression" dxfId="1230" priority="2044">
      <formula>V79&lt;&gt;0</formula>
    </cfRule>
  </conditionalFormatting>
  <conditionalFormatting sqref="E79">
    <cfRule type="cellIs" dxfId="1229" priority="2041" operator="greaterThan">
      <formula>B79</formula>
    </cfRule>
  </conditionalFormatting>
  <conditionalFormatting sqref="B80">
    <cfRule type="cellIs" dxfId="1228" priority="2040" operator="greaterThan">
      <formula>E80</formula>
    </cfRule>
  </conditionalFormatting>
  <conditionalFormatting sqref="D80">
    <cfRule type="expression" dxfId="1227" priority="2036">
      <formula>E80&gt;B80</formula>
    </cfRule>
    <cfRule type="expression" dxfId="1226" priority="2039">
      <formula>V80&lt;&gt;0</formula>
    </cfRule>
  </conditionalFormatting>
  <conditionalFormatting sqref="C80">
    <cfRule type="expression" dxfId="1225" priority="2037">
      <formula>B80&gt;E80</formula>
    </cfRule>
    <cfRule type="expression" dxfId="1224" priority="2038">
      <formula>V80&lt;&gt;0</formula>
    </cfRule>
  </conditionalFormatting>
  <conditionalFormatting sqref="E80">
    <cfRule type="cellIs" dxfId="1223" priority="2035" operator="greaterThan">
      <formula>B80</formula>
    </cfRule>
  </conditionalFormatting>
  <conditionalFormatting sqref="B81">
    <cfRule type="cellIs" dxfId="1222" priority="2034" operator="greaterThan">
      <formula>E81</formula>
    </cfRule>
  </conditionalFormatting>
  <conditionalFormatting sqref="D81">
    <cfRule type="expression" dxfId="1221" priority="2030">
      <formula>E81&gt;B81</formula>
    </cfRule>
    <cfRule type="expression" dxfId="1220" priority="2033">
      <formula>V81&lt;&gt;0</formula>
    </cfRule>
  </conditionalFormatting>
  <conditionalFormatting sqref="C81">
    <cfRule type="expression" dxfId="1219" priority="2031">
      <formula>B81&gt;E81</formula>
    </cfRule>
    <cfRule type="expression" dxfId="1218" priority="2032">
      <formula>V81&lt;&gt;0</formula>
    </cfRule>
  </conditionalFormatting>
  <conditionalFormatting sqref="E81">
    <cfRule type="cellIs" dxfId="1217" priority="2029" operator="greaterThan">
      <formula>B81</formula>
    </cfRule>
  </conditionalFormatting>
  <conditionalFormatting sqref="B82">
    <cfRule type="cellIs" dxfId="1216" priority="2028" operator="greaterThan">
      <formula>E82</formula>
    </cfRule>
  </conditionalFormatting>
  <conditionalFormatting sqref="D82">
    <cfRule type="expression" dxfId="1215" priority="2024">
      <formula>E82&gt;B82</formula>
    </cfRule>
    <cfRule type="expression" dxfId="1214" priority="2027">
      <formula>V82&lt;&gt;0</formula>
    </cfRule>
  </conditionalFormatting>
  <conditionalFormatting sqref="C82">
    <cfRule type="expression" dxfId="1213" priority="2025">
      <formula>B82&gt;E82</formula>
    </cfRule>
    <cfRule type="expression" dxfId="1212" priority="2026">
      <formula>V82&lt;&gt;0</formula>
    </cfRule>
  </conditionalFormatting>
  <conditionalFormatting sqref="E82">
    <cfRule type="cellIs" dxfId="1211" priority="2023" operator="greaterThan">
      <formula>B82</formula>
    </cfRule>
  </conditionalFormatting>
  <conditionalFormatting sqref="B83">
    <cfRule type="cellIs" dxfId="1210" priority="2022" operator="greaterThan">
      <formula>E83</formula>
    </cfRule>
  </conditionalFormatting>
  <conditionalFormatting sqref="D83">
    <cfRule type="expression" dxfId="1209" priority="2018">
      <formula>E83&gt;B83</formula>
    </cfRule>
    <cfRule type="expression" dxfId="1208" priority="2021">
      <formula>V83&lt;&gt;0</formula>
    </cfRule>
  </conditionalFormatting>
  <conditionalFormatting sqref="C83">
    <cfRule type="expression" dxfId="1207" priority="2019">
      <formula>B83&gt;E83</formula>
    </cfRule>
    <cfRule type="expression" dxfId="1206" priority="2020">
      <formula>V83&lt;&gt;0</formula>
    </cfRule>
  </conditionalFormatting>
  <conditionalFormatting sqref="E83">
    <cfRule type="cellIs" dxfId="1205" priority="2017" operator="greaterThan">
      <formula>B83</formula>
    </cfRule>
  </conditionalFormatting>
  <conditionalFormatting sqref="B84">
    <cfRule type="cellIs" dxfId="1204" priority="2016" operator="greaterThan">
      <formula>E84</formula>
    </cfRule>
  </conditionalFormatting>
  <conditionalFormatting sqref="D84">
    <cfRule type="expression" dxfId="1203" priority="2012">
      <formula>E84&gt;B84</formula>
    </cfRule>
    <cfRule type="expression" dxfId="1202" priority="2015">
      <formula>V84&lt;&gt;0</formula>
    </cfRule>
  </conditionalFormatting>
  <conditionalFormatting sqref="C84">
    <cfRule type="expression" dxfId="1201" priority="2013">
      <formula>B84&gt;E84</formula>
    </cfRule>
    <cfRule type="expression" dxfId="1200" priority="2014">
      <formula>V84&lt;&gt;0</formula>
    </cfRule>
  </conditionalFormatting>
  <conditionalFormatting sqref="E84">
    <cfRule type="cellIs" dxfId="1199" priority="2011" operator="greaterThan">
      <formula>B84</formula>
    </cfRule>
  </conditionalFormatting>
  <conditionalFormatting sqref="B85">
    <cfRule type="cellIs" dxfId="1198" priority="2010" operator="greaterThan">
      <formula>E85</formula>
    </cfRule>
  </conditionalFormatting>
  <conditionalFormatting sqref="D85">
    <cfRule type="expression" dxfId="1197" priority="2006">
      <formula>E85&gt;B85</formula>
    </cfRule>
    <cfRule type="expression" dxfId="1196" priority="2009">
      <formula>V85&lt;&gt;0</formula>
    </cfRule>
  </conditionalFormatting>
  <conditionalFormatting sqref="C85">
    <cfRule type="expression" dxfId="1195" priority="2007">
      <formula>B85&gt;E85</formula>
    </cfRule>
    <cfRule type="expression" dxfId="1194" priority="2008">
      <formula>V85&lt;&gt;0</formula>
    </cfRule>
  </conditionalFormatting>
  <conditionalFormatting sqref="E85">
    <cfRule type="cellIs" dxfId="1193" priority="2005" operator="greaterThan">
      <formula>B85</formula>
    </cfRule>
  </conditionalFormatting>
  <conditionalFormatting sqref="B86">
    <cfRule type="cellIs" dxfId="1192" priority="2004" operator="greaterThan">
      <formula>E86</formula>
    </cfRule>
  </conditionalFormatting>
  <conditionalFormatting sqref="D86">
    <cfRule type="expression" dxfId="1191" priority="2000">
      <formula>E86&gt;B86</formula>
    </cfRule>
    <cfRule type="expression" dxfId="1190" priority="2003">
      <formula>V86&lt;&gt;0</formula>
    </cfRule>
  </conditionalFormatting>
  <conditionalFormatting sqref="C86">
    <cfRule type="expression" dxfId="1189" priority="2001">
      <formula>B86&gt;E86</formula>
    </cfRule>
    <cfRule type="expression" dxfId="1188" priority="2002">
      <formula>V86&lt;&gt;0</formula>
    </cfRule>
  </conditionalFormatting>
  <conditionalFormatting sqref="E86">
    <cfRule type="cellIs" dxfId="1187" priority="1999" operator="greaterThan">
      <formula>B86</formula>
    </cfRule>
  </conditionalFormatting>
  <conditionalFormatting sqref="B87">
    <cfRule type="cellIs" dxfId="1186" priority="1998" operator="greaterThan">
      <formula>E87</formula>
    </cfRule>
  </conditionalFormatting>
  <conditionalFormatting sqref="D87">
    <cfRule type="expression" dxfId="1185" priority="1994">
      <formula>E87&gt;B87</formula>
    </cfRule>
    <cfRule type="expression" dxfId="1184" priority="1997">
      <formula>V87&lt;&gt;0</formula>
    </cfRule>
  </conditionalFormatting>
  <conditionalFormatting sqref="C87">
    <cfRule type="expression" dxfId="1183" priority="1995">
      <formula>B87&gt;E87</formula>
    </cfRule>
    <cfRule type="expression" dxfId="1182" priority="1996">
      <formula>V87&lt;&gt;0</formula>
    </cfRule>
  </conditionalFormatting>
  <conditionalFormatting sqref="E87">
    <cfRule type="cellIs" dxfId="1181" priority="1993" operator="greaterThan">
      <formula>B87</formula>
    </cfRule>
  </conditionalFormatting>
  <conditionalFormatting sqref="B88">
    <cfRule type="cellIs" dxfId="1180" priority="1992" operator="greaterThan">
      <formula>E88</formula>
    </cfRule>
  </conditionalFormatting>
  <conditionalFormatting sqref="D88">
    <cfRule type="expression" dxfId="1179" priority="1988">
      <formula>E88&gt;B88</formula>
    </cfRule>
    <cfRule type="expression" dxfId="1178" priority="1991">
      <formula>V88&lt;&gt;0</formula>
    </cfRule>
  </conditionalFormatting>
  <conditionalFormatting sqref="C88">
    <cfRule type="expression" dxfId="1177" priority="1989">
      <formula>B88&gt;E88</formula>
    </cfRule>
    <cfRule type="expression" dxfId="1176" priority="1990">
      <formula>V88&lt;&gt;0</formula>
    </cfRule>
  </conditionalFormatting>
  <conditionalFormatting sqref="E88">
    <cfRule type="cellIs" dxfId="1175" priority="1987" operator="greaterThan">
      <formula>B88</formula>
    </cfRule>
  </conditionalFormatting>
  <conditionalFormatting sqref="B89">
    <cfRule type="cellIs" dxfId="1174" priority="1986" operator="greaterThan">
      <formula>E89</formula>
    </cfRule>
  </conditionalFormatting>
  <conditionalFormatting sqref="D89">
    <cfRule type="expression" dxfId="1173" priority="1982">
      <formula>E89&gt;B89</formula>
    </cfRule>
    <cfRule type="expression" dxfId="1172" priority="1985">
      <formula>V89&lt;&gt;0</formula>
    </cfRule>
  </conditionalFormatting>
  <conditionalFormatting sqref="C89">
    <cfRule type="expression" dxfId="1171" priority="1983">
      <formula>B89&gt;E89</formula>
    </cfRule>
    <cfRule type="expression" dxfId="1170" priority="1984">
      <formula>V89&lt;&gt;0</formula>
    </cfRule>
  </conditionalFormatting>
  <conditionalFormatting sqref="E89">
    <cfRule type="cellIs" dxfId="1169" priority="1981" operator="greaterThan">
      <formula>B89</formula>
    </cfRule>
  </conditionalFormatting>
  <conditionalFormatting sqref="B90">
    <cfRule type="cellIs" dxfId="1168" priority="1980" operator="greaterThan">
      <formula>E90</formula>
    </cfRule>
  </conditionalFormatting>
  <conditionalFormatting sqref="D90">
    <cfRule type="expression" dxfId="1167" priority="1976">
      <formula>E90&gt;B90</formula>
    </cfRule>
    <cfRule type="expression" dxfId="1166" priority="1979">
      <formula>V90&lt;&gt;0</formula>
    </cfRule>
  </conditionalFormatting>
  <conditionalFormatting sqref="C90">
    <cfRule type="expression" dxfId="1165" priority="1977">
      <formula>B90&gt;E90</formula>
    </cfRule>
    <cfRule type="expression" dxfId="1164" priority="1978">
      <formula>V90&lt;&gt;0</formula>
    </cfRule>
  </conditionalFormatting>
  <conditionalFormatting sqref="E90">
    <cfRule type="cellIs" dxfId="1163" priority="1975" operator="greaterThan">
      <formula>B90</formula>
    </cfRule>
  </conditionalFormatting>
  <conditionalFormatting sqref="B91">
    <cfRule type="cellIs" dxfId="1162" priority="1974" operator="greaterThan">
      <formula>E91</formula>
    </cfRule>
  </conditionalFormatting>
  <conditionalFormatting sqref="D91">
    <cfRule type="expression" dxfId="1161" priority="1970">
      <formula>E91&gt;B91</formula>
    </cfRule>
    <cfRule type="expression" dxfId="1160" priority="1973">
      <formula>V91&lt;&gt;0</formula>
    </cfRule>
  </conditionalFormatting>
  <conditionalFormatting sqref="C91">
    <cfRule type="expression" dxfId="1159" priority="1971">
      <formula>B91&gt;E91</formula>
    </cfRule>
    <cfRule type="expression" dxfId="1158" priority="1972">
      <formula>V91&lt;&gt;0</formula>
    </cfRule>
  </conditionalFormatting>
  <conditionalFormatting sqref="E91">
    <cfRule type="cellIs" dxfId="1157" priority="1969" operator="greaterThan">
      <formula>B91</formula>
    </cfRule>
  </conditionalFormatting>
  <conditionalFormatting sqref="B92">
    <cfRule type="cellIs" dxfId="1156" priority="1968" operator="greaterThan">
      <formula>E92</formula>
    </cfRule>
  </conditionalFormatting>
  <conditionalFormatting sqref="D92">
    <cfRule type="expression" dxfId="1155" priority="1964">
      <formula>E92&gt;B92</formula>
    </cfRule>
    <cfRule type="expression" dxfId="1154" priority="1967">
      <formula>V92&lt;&gt;0</formula>
    </cfRule>
  </conditionalFormatting>
  <conditionalFormatting sqref="C92">
    <cfRule type="expression" dxfId="1153" priority="1965">
      <formula>B92&gt;E92</formula>
    </cfRule>
    <cfRule type="expression" dxfId="1152" priority="1966">
      <formula>V92&lt;&gt;0</formula>
    </cfRule>
  </conditionalFormatting>
  <conditionalFormatting sqref="E92">
    <cfRule type="cellIs" dxfId="1151" priority="1963" operator="greaterThan">
      <formula>B92</formula>
    </cfRule>
  </conditionalFormatting>
  <conditionalFormatting sqref="B93">
    <cfRule type="cellIs" dxfId="1150" priority="1962" operator="greaterThan">
      <formula>E93</formula>
    </cfRule>
  </conditionalFormatting>
  <conditionalFormatting sqref="D93">
    <cfRule type="expression" dxfId="1149" priority="1958">
      <formula>E93&gt;B93</formula>
    </cfRule>
    <cfRule type="expression" dxfId="1148" priority="1961">
      <formula>V93&lt;&gt;0</formula>
    </cfRule>
  </conditionalFormatting>
  <conditionalFormatting sqref="C93">
    <cfRule type="expression" dxfId="1147" priority="1959">
      <formula>B93&gt;E93</formula>
    </cfRule>
    <cfRule type="expression" dxfId="1146" priority="1960">
      <formula>V93&lt;&gt;0</formula>
    </cfRule>
  </conditionalFormatting>
  <conditionalFormatting sqref="E93">
    <cfRule type="cellIs" dxfId="1145" priority="1957" operator="greaterThan">
      <formula>B93</formula>
    </cfRule>
  </conditionalFormatting>
  <conditionalFormatting sqref="B94">
    <cfRule type="cellIs" dxfId="1144" priority="1956" operator="greaterThan">
      <formula>E94</formula>
    </cfRule>
  </conditionalFormatting>
  <conditionalFormatting sqref="D94">
    <cfRule type="expression" dxfId="1143" priority="1952">
      <formula>E94&gt;B94</formula>
    </cfRule>
    <cfRule type="expression" dxfId="1142" priority="1955">
      <formula>V94&lt;&gt;0</formula>
    </cfRule>
  </conditionalFormatting>
  <conditionalFormatting sqref="C94">
    <cfRule type="expression" dxfId="1141" priority="1953">
      <formula>B94&gt;E94</formula>
    </cfRule>
    <cfRule type="expression" dxfId="1140" priority="1954">
      <formula>V94&lt;&gt;0</formula>
    </cfRule>
  </conditionalFormatting>
  <conditionalFormatting sqref="E94">
    <cfRule type="cellIs" dxfId="1139" priority="1951" operator="greaterThan">
      <formula>B94</formula>
    </cfRule>
  </conditionalFormatting>
  <conditionalFormatting sqref="B95">
    <cfRule type="cellIs" dxfId="1138" priority="1950" operator="greaterThan">
      <formula>E95</formula>
    </cfRule>
  </conditionalFormatting>
  <conditionalFormatting sqref="D95">
    <cfRule type="expression" dxfId="1137" priority="1946">
      <formula>E95&gt;B95</formula>
    </cfRule>
    <cfRule type="expression" dxfId="1136" priority="1949">
      <formula>V95&lt;&gt;0</formula>
    </cfRule>
  </conditionalFormatting>
  <conditionalFormatting sqref="C95">
    <cfRule type="expression" dxfId="1135" priority="1947">
      <formula>B95&gt;E95</formula>
    </cfRule>
    <cfRule type="expression" dxfId="1134" priority="1948">
      <formula>V95&lt;&gt;0</formula>
    </cfRule>
  </conditionalFormatting>
  <conditionalFormatting sqref="E95">
    <cfRule type="cellIs" dxfId="1133" priority="1945" operator="greaterThan">
      <formula>B95</formula>
    </cfRule>
  </conditionalFormatting>
  <conditionalFormatting sqref="B96">
    <cfRule type="cellIs" dxfId="1132" priority="1944" operator="greaterThan">
      <formula>E96</formula>
    </cfRule>
  </conditionalFormatting>
  <conditionalFormatting sqref="D96">
    <cfRule type="expression" dxfId="1131" priority="1940">
      <formula>E96&gt;B96</formula>
    </cfRule>
    <cfRule type="expression" dxfId="1130" priority="1943">
      <formula>V96&lt;&gt;0</formula>
    </cfRule>
  </conditionalFormatting>
  <conditionalFormatting sqref="C96">
    <cfRule type="expression" dxfId="1129" priority="1941">
      <formula>B96&gt;E96</formula>
    </cfRule>
    <cfRule type="expression" dxfId="1128" priority="1942">
      <formula>V96&lt;&gt;0</formula>
    </cfRule>
  </conditionalFormatting>
  <conditionalFormatting sqref="E96">
    <cfRule type="cellIs" dxfId="1127" priority="1939" operator="greaterThan">
      <formula>B96</formula>
    </cfRule>
  </conditionalFormatting>
  <conditionalFormatting sqref="B97">
    <cfRule type="cellIs" dxfId="1126" priority="1938" operator="greaterThan">
      <formula>E97</formula>
    </cfRule>
  </conditionalFormatting>
  <conditionalFormatting sqref="D97">
    <cfRule type="expression" dxfId="1125" priority="1934">
      <formula>E97&gt;B97</formula>
    </cfRule>
    <cfRule type="expression" dxfId="1124" priority="1937">
      <formula>V97&lt;&gt;0</formula>
    </cfRule>
  </conditionalFormatting>
  <conditionalFormatting sqref="C97">
    <cfRule type="expression" dxfId="1123" priority="1935">
      <formula>B97&gt;E97</formula>
    </cfRule>
    <cfRule type="expression" dxfId="1122" priority="1936">
      <formula>V97&lt;&gt;0</formula>
    </cfRule>
  </conditionalFormatting>
  <conditionalFormatting sqref="E97">
    <cfRule type="cellIs" dxfId="1121" priority="1933" operator="greaterThan">
      <formula>B97</formula>
    </cfRule>
  </conditionalFormatting>
  <conditionalFormatting sqref="B98">
    <cfRule type="cellIs" dxfId="1120" priority="1932" operator="greaterThan">
      <formula>E98</formula>
    </cfRule>
  </conditionalFormatting>
  <conditionalFormatting sqref="D98">
    <cfRule type="expression" dxfId="1119" priority="1928">
      <formula>E98&gt;B98</formula>
    </cfRule>
    <cfRule type="expression" dxfId="1118" priority="1931">
      <formula>V98&lt;&gt;0</formula>
    </cfRule>
  </conditionalFormatting>
  <conditionalFormatting sqref="C98">
    <cfRule type="expression" dxfId="1117" priority="1929">
      <formula>B98&gt;E98</formula>
    </cfRule>
    <cfRule type="expression" dxfId="1116" priority="1930">
      <formula>V98&lt;&gt;0</formula>
    </cfRule>
  </conditionalFormatting>
  <conditionalFormatting sqref="E98">
    <cfRule type="cellIs" dxfId="1115" priority="1927" operator="greaterThan">
      <formula>B98</formula>
    </cfRule>
  </conditionalFormatting>
  <conditionalFormatting sqref="B99">
    <cfRule type="cellIs" dxfId="1114" priority="1926" operator="greaterThan">
      <formula>E99</formula>
    </cfRule>
  </conditionalFormatting>
  <conditionalFormatting sqref="D99">
    <cfRule type="expression" dxfId="1113" priority="1922">
      <formula>E99&gt;B99</formula>
    </cfRule>
    <cfRule type="expression" dxfId="1112" priority="1925">
      <formula>V99&lt;&gt;0</formula>
    </cfRule>
  </conditionalFormatting>
  <conditionalFormatting sqref="C99">
    <cfRule type="expression" dxfId="1111" priority="1923">
      <formula>B99&gt;E99</formula>
    </cfRule>
    <cfRule type="expression" dxfId="1110" priority="1924">
      <formula>V99&lt;&gt;0</formula>
    </cfRule>
  </conditionalFormatting>
  <conditionalFormatting sqref="E99">
    <cfRule type="cellIs" dxfId="1109" priority="1921" operator="greaterThan">
      <formula>B99</formula>
    </cfRule>
  </conditionalFormatting>
  <conditionalFormatting sqref="B100">
    <cfRule type="cellIs" dxfId="1108" priority="1920" operator="greaterThan">
      <formula>E100</formula>
    </cfRule>
  </conditionalFormatting>
  <conditionalFormatting sqref="D100">
    <cfRule type="expression" dxfId="1107" priority="1916">
      <formula>E100&gt;B100</formula>
    </cfRule>
    <cfRule type="expression" dxfId="1106" priority="1919">
      <formula>V100&lt;&gt;0</formula>
    </cfRule>
  </conditionalFormatting>
  <conditionalFormatting sqref="C100">
    <cfRule type="expression" dxfId="1105" priority="1917">
      <formula>B100&gt;E100</formula>
    </cfRule>
    <cfRule type="expression" dxfId="1104" priority="1918">
      <formula>V100&lt;&gt;0</formula>
    </cfRule>
  </conditionalFormatting>
  <conditionalFormatting sqref="E100">
    <cfRule type="cellIs" dxfId="1103" priority="1915" operator="greaterThan">
      <formula>B100</formula>
    </cfRule>
  </conditionalFormatting>
  <conditionalFormatting sqref="B101">
    <cfRule type="cellIs" dxfId="1102" priority="1914" operator="greaterThan">
      <formula>E101</formula>
    </cfRule>
  </conditionalFormatting>
  <conditionalFormatting sqref="D101">
    <cfRule type="expression" dxfId="1101" priority="1910">
      <formula>E101&gt;B101</formula>
    </cfRule>
    <cfRule type="expression" dxfId="1100" priority="1913">
      <formula>V101&lt;&gt;0</formula>
    </cfRule>
  </conditionalFormatting>
  <conditionalFormatting sqref="C101">
    <cfRule type="expression" dxfId="1099" priority="1911">
      <formula>B101&gt;E101</formula>
    </cfRule>
    <cfRule type="expression" dxfId="1098" priority="1912">
      <formula>V101&lt;&gt;0</formula>
    </cfRule>
  </conditionalFormatting>
  <conditionalFormatting sqref="E101">
    <cfRule type="cellIs" dxfId="1097" priority="1909" operator="greaterThan">
      <formula>B101</formula>
    </cfRule>
  </conditionalFormatting>
  <conditionalFormatting sqref="B102">
    <cfRule type="cellIs" dxfId="1096" priority="1908" operator="greaterThan">
      <formula>E102</formula>
    </cfRule>
  </conditionalFormatting>
  <conditionalFormatting sqref="D102">
    <cfRule type="expression" dxfId="1095" priority="1904">
      <formula>E102&gt;B102</formula>
    </cfRule>
    <cfRule type="expression" dxfId="1094" priority="1907">
      <formula>V102&lt;&gt;0</formula>
    </cfRule>
  </conditionalFormatting>
  <conditionalFormatting sqref="C102">
    <cfRule type="expression" dxfId="1093" priority="1905">
      <formula>B102&gt;E102</formula>
    </cfRule>
    <cfRule type="expression" dxfId="1092" priority="1906">
      <formula>V102&lt;&gt;0</formula>
    </cfRule>
  </conditionalFormatting>
  <conditionalFormatting sqref="E102">
    <cfRule type="cellIs" dxfId="1091" priority="1903" operator="greaterThan">
      <formula>B102</formula>
    </cfRule>
  </conditionalFormatting>
  <conditionalFormatting sqref="B103">
    <cfRule type="cellIs" dxfId="1090" priority="1902" operator="greaterThan">
      <formula>E103</formula>
    </cfRule>
  </conditionalFormatting>
  <conditionalFormatting sqref="D103">
    <cfRule type="expression" dxfId="1089" priority="1898">
      <formula>E103&gt;B103</formula>
    </cfRule>
    <cfRule type="expression" dxfId="1088" priority="1901">
      <formula>V103&lt;&gt;0</formula>
    </cfRule>
  </conditionalFormatting>
  <conditionalFormatting sqref="C103">
    <cfRule type="expression" dxfId="1087" priority="1899">
      <formula>B103&gt;E103</formula>
    </cfRule>
    <cfRule type="expression" dxfId="1086" priority="1900">
      <formula>V103&lt;&gt;0</formula>
    </cfRule>
  </conditionalFormatting>
  <conditionalFormatting sqref="E103">
    <cfRule type="cellIs" dxfId="1085" priority="1897" operator="greaterThan">
      <formula>B103</formula>
    </cfRule>
  </conditionalFormatting>
  <conditionalFormatting sqref="B104">
    <cfRule type="cellIs" dxfId="1084" priority="1896" operator="greaterThan">
      <formula>E104</formula>
    </cfRule>
  </conditionalFormatting>
  <conditionalFormatting sqref="D104">
    <cfRule type="expression" dxfId="1083" priority="1892">
      <formula>E104&gt;B104</formula>
    </cfRule>
    <cfRule type="expression" dxfId="1082" priority="1895">
      <formula>V104&lt;&gt;0</formula>
    </cfRule>
  </conditionalFormatting>
  <conditionalFormatting sqref="C104">
    <cfRule type="expression" dxfId="1081" priority="1893">
      <formula>B104&gt;E104</formula>
    </cfRule>
    <cfRule type="expression" dxfId="1080" priority="1894">
      <formula>V104&lt;&gt;0</formula>
    </cfRule>
  </conditionalFormatting>
  <conditionalFormatting sqref="E104">
    <cfRule type="cellIs" dxfId="1079" priority="1891" operator="greaterThan">
      <formula>B104</formula>
    </cfRule>
  </conditionalFormatting>
  <conditionalFormatting sqref="B105">
    <cfRule type="cellIs" dxfId="1078" priority="1890" operator="greaterThan">
      <formula>E105</formula>
    </cfRule>
  </conditionalFormatting>
  <conditionalFormatting sqref="D105">
    <cfRule type="expression" dxfId="1077" priority="1886">
      <formula>E105&gt;B105</formula>
    </cfRule>
    <cfRule type="expression" dxfId="1076" priority="1889">
      <formula>V105&lt;&gt;0</formula>
    </cfRule>
  </conditionalFormatting>
  <conditionalFormatting sqref="C105">
    <cfRule type="expression" dxfId="1075" priority="1887">
      <formula>B105&gt;E105</formula>
    </cfRule>
    <cfRule type="expression" dxfId="1074" priority="1888">
      <formula>V105&lt;&gt;0</formula>
    </cfRule>
  </conditionalFormatting>
  <conditionalFormatting sqref="E105">
    <cfRule type="cellIs" dxfId="1073" priority="1885" operator="greaterThan">
      <formula>B105</formula>
    </cfRule>
  </conditionalFormatting>
  <conditionalFormatting sqref="B106">
    <cfRule type="cellIs" dxfId="1072" priority="1884" operator="greaterThan">
      <formula>E106</formula>
    </cfRule>
  </conditionalFormatting>
  <conditionalFormatting sqref="D106">
    <cfRule type="expression" dxfId="1071" priority="1880">
      <formula>E106&gt;B106</formula>
    </cfRule>
    <cfRule type="expression" dxfId="1070" priority="1883">
      <formula>V106&lt;&gt;0</formula>
    </cfRule>
  </conditionalFormatting>
  <conditionalFormatting sqref="C106">
    <cfRule type="expression" dxfId="1069" priority="1881">
      <formula>B106&gt;E106</formula>
    </cfRule>
    <cfRule type="expression" dxfId="1068" priority="1882">
      <formula>V106&lt;&gt;0</formula>
    </cfRule>
  </conditionalFormatting>
  <conditionalFormatting sqref="E106">
    <cfRule type="cellIs" dxfId="1067" priority="1879" operator="greaterThan">
      <formula>B106</formula>
    </cfRule>
  </conditionalFormatting>
  <conditionalFormatting sqref="B107">
    <cfRule type="cellIs" dxfId="1066" priority="1878" operator="greaterThan">
      <formula>E107</formula>
    </cfRule>
  </conditionalFormatting>
  <conditionalFormatting sqref="D107">
    <cfRule type="expression" dxfId="1065" priority="1874">
      <formula>E107&gt;B107</formula>
    </cfRule>
    <cfRule type="expression" dxfId="1064" priority="1877">
      <formula>V107&lt;&gt;0</formula>
    </cfRule>
  </conditionalFormatting>
  <conditionalFormatting sqref="C107">
    <cfRule type="expression" dxfId="1063" priority="1875">
      <formula>B107&gt;E107</formula>
    </cfRule>
    <cfRule type="expression" dxfId="1062" priority="1876">
      <formula>V107&lt;&gt;0</formula>
    </cfRule>
  </conditionalFormatting>
  <conditionalFormatting sqref="E107">
    <cfRule type="cellIs" dxfId="1061" priority="1873" operator="greaterThan">
      <formula>B107</formula>
    </cfRule>
  </conditionalFormatting>
  <conditionalFormatting sqref="B108">
    <cfRule type="cellIs" dxfId="1060" priority="1872" operator="greaterThan">
      <formula>E108</formula>
    </cfRule>
  </conditionalFormatting>
  <conditionalFormatting sqref="D108">
    <cfRule type="expression" dxfId="1059" priority="1868">
      <formula>E108&gt;B108</formula>
    </cfRule>
    <cfRule type="expression" dxfId="1058" priority="1871">
      <formula>V108&lt;&gt;0</formula>
    </cfRule>
  </conditionalFormatting>
  <conditionalFormatting sqref="C108">
    <cfRule type="expression" dxfId="1057" priority="1869">
      <formula>B108&gt;E108</formula>
    </cfRule>
    <cfRule type="expression" dxfId="1056" priority="1870">
      <formula>V108&lt;&gt;0</formula>
    </cfRule>
  </conditionalFormatting>
  <conditionalFormatting sqref="E108">
    <cfRule type="cellIs" dxfId="1055" priority="1867" operator="greaterThan">
      <formula>B108</formula>
    </cfRule>
  </conditionalFormatting>
  <conditionalFormatting sqref="B109">
    <cfRule type="cellIs" dxfId="1054" priority="1866" operator="greaterThan">
      <formula>E109</formula>
    </cfRule>
  </conditionalFormatting>
  <conditionalFormatting sqref="D109">
    <cfRule type="expression" dxfId="1053" priority="1862">
      <formula>E109&gt;B109</formula>
    </cfRule>
    <cfRule type="expression" dxfId="1052" priority="1865">
      <formula>V109&lt;&gt;0</formula>
    </cfRule>
  </conditionalFormatting>
  <conditionalFormatting sqref="C109">
    <cfRule type="expression" dxfId="1051" priority="1863">
      <formula>B109&gt;E109</formula>
    </cfRule>
    <cfRule type="expression" dxfId="1050" priority="1864">
      <formula>V109&lt;&gt;0</formula>
    </cfRule>
  </conditionalFormatting>
  <conditionalFormatting sqref="E109">
    <cfRule type="cellIs" dxfId="1049" priority="1861" operator="greaterThan">
      <formula>B109</formula>
    </cfRule>
  </conditionalFormatting>
  <conditionalFormatting sqref="B110">
    <cfRule type="cellIs" dxfId="1048" priority="1860" operator="greaterThan">
      <formula>E110</formula>
    </cfRule>
  </conditionalFormatting>
  <conditionalFormatting sqref="D110">
    <cfRule type="expression" dxfId="1047" priority="1856">
      <formula>E110&gt;B110</formula>
    </cfRule>
    <cfRule type="expression" dxfId="1046" priority="1859">
      <formula>V110&lt;&gt;0</formula>
    </cfRule>
  </conditionalFormatting>
  <conditionalFormatting sqref="C110">
    <cfRule type="expression" dxfId="1045" priority="1857">
      <formula>B110&gt;E110</formula>
    </cfRule>
    <cfRule type="expression" dxfId="1044" priority="1858">
      <formula>V110&lt;&gt;0</formula>
    </cfRule>
  </conditionalFormatting>
  <conditionalFormatting sqref="E110">
    <cfRule type="cellIs" dxfId="1043" priority="1855" operator="greaterThan">
      <formula>B110</formula>
    </cfRule>
  </conditionalFormatting>
  <conditionalFormatting sqref="B111">
    <cfRule type="cellIs" dxfId="1042" priority="1854" operator="greaterThan">
      <formula>E111</formula>
    </cfRule>
  </conditionalFormatting>
  <conditionalFormatting sqref="D111">
    <cfRule type="expression" dxfId="1041" priority="1850">
      <formula>E111&gt;B111</formula>
    </cfRule>
    <cfRule type="expression" dxfId="1040" priority="1853">
      <formula>V111&lt;&gt;0</formula>
    </cfRule>
  </conditionalFormatting>
  <conditionalFormatting sqref="C111">
    <cfRule type="expression" dxfId="1039" priority="1851">
      <formula>B111&gt;E111</formula>
    </cfRule>
    <cfRule type="expression" dxfId="1038" priority="1852">
      <formula>V111&lt;&gt;0</formula>
    </cfRule>
  </conditionalFormatting>
  <conditionalFormatting sqref="E111">
    <cfRule type="cellIs" dxfId="1037" priority="1849" operator="greaterThan">
      <formula>B111</formula>
    </cfRule>
  </conditionalFormatting>
  <conditionalFormatting sqref="B112">
    <cfRule type="cellIs" dxfId="1036" priority="1848" operator="greaterThan">
      <formula>E112</formula>
    </cfRule>
  </conditionalFormatting>
  <conditionalFormatting sqref="D112">
    <cfRule type="expression" dxfId="1035" priority="1844">
      <formula>E112&gt;B112</formula>
    </cfRule>
    <cfRule type="expression" dxfId="1034" priority="1847">
      <formula>V112&lt;&gt;0</formula>
    </cfRule>
  </conditionalFormatting>
  <conditionalFormatting sqref="C112">
    <cfRule type="expression" dxfId="1033" priority="1845">
      <formula>B112&gt;E112</formula>
    </cfRule>
    <cfRule type="expression" dxfId="1032" priority="1846">
      <formula>V112&lt;&gt;0</formula>
    </cfRule>
  </conditionalFormatting>
  <conditionalFormatting sqref="E112">
    <cfRule type="cellIs" dxfId="1031" priority="1843" operator="greaterThan">
      <formula>B112</formula>
    </cfRule>
  </conditionalFormatting>
  <conditionalFormatting sqref="B113">
    <cfRule type="cellIs" dxfId="1030" priority="1842" operator="greaterThan">
      <formula>E113</formula>
    </cfRule>
  </conditionalFormatting>
  <conditionalFormatting sqref="D113">
    <cfRule type="expression" dxfId="1029" priority="1838">
      <formula>E113&gt;B113</formula>
    </cfRule>
    <cfRule type="expression" dxfId="1028" priority="1841">
      <formula>V113&lt;&gt;0</formula>
    </cfRule>
  </conditionalFormatting>
  <conditionalFormatting sqref="C113">
    <cfRule type="expression" dxfId="1027" priority="1839">
      <formula>B113&gt;E113</formula>
    </cfRule>
    <cfRule type="expression" dxfId="1026" priority="1840">
      <formula>V113&lt;&gt;0</formula>
    </cfRule>
  </conditionalFormatting>
  <conditionalFormatting sqref="E113">
    <cfRule type="cellIs" dxfId="1025" priority="1837" operator="greaterThan">
      <formula>B113</formula>
    </cfRule>
  </conditionalFormatting>
  <conditionalFormatting sqref="B114">
    <cfRule type="cellIs" dxfId="1024" priority="1836" operator="greaterThan">
      <formula>E114</formula>
    </cfRule>
  </conditionalFormatting>
  <conditionalFormatting sqref="D114">
    <cfRule type="expression" dxfId="1023" priority="1832">
      <formula>E114&gt;B114</formula>
    </cfRule>
    <cfRule type="expression" dxfId="1022" priority="1835">
      <formula>V114&lt;&gt;0</formula>
    </cfRule>
  </conditionalFormatting>
  <conditionalFormatting sqref="C114">
    <cfRule type="expression" dxfId="1021" priority="1833">
      <formula>B114&gt;E114</formula>
    </cfRule>
    <cfRule type="expression" dxfId="1020" priority="1834">
      <formula>V114&lt;&gt;0</formula>
    </cfRule>
  </conditionalFormatting>
  <conditionalFormatting sqref="E114">
    <cfRule type="cellIs" dxfId="1019" priority="1831" operator="greaterThan">
      <formula>B114</formula>
    </cfRule>
  </conditionalFormatting>
  <conditionalFormatting sqref="B115">
    <cfRule type="cellIs" dxfId="1018" priority="1830" operator="greaterThan">
      <formula>E115</formula>
    </cfRule>
  </conditionalFormatting>
  <conditionalFormatting sqref="D115">
    <cfRule type="expression" dxfId="1017" priority="1826">
      <formula>E115&gt;B115</formula>
    </cfRule>
    <cfRule type="expression" dxfId="1016" priority="1829">
      <formula>V115&lt;&gt;0</formula>
    </cfRule>
  </conditionalFormatting>
  <conditionalFormatting sqref="C115">
    <cfRule type="expression" dxfId="1015" priority="1827">
      <formula>B115&gt;E115</formula>
    </cfRule>
    <cfRule type="expression" dxfId="1014" priority="1828">
      <formula>V115&lt;&gt;0</formula>
    </cfRule>
  </conditionalFormatting>
  <conditionalFormatting sqref="E115">
    <cfRule type="cellIs" dxfId="1013" priority="1825" operator="greaterThan">
      <formula>B115</formula>
    </cfRule>
  </conditionalFormatting>
  <conditionalFormatting sqref="B116">
    <cfRule type="cellIs" dxfId="1012" priority="1824" operator="greaterThan">
      <formula>E116</formula>
    </cfRule>
  </conditionalFormatting>
  <conditionalFormatting sqref="D116">
    <cfRule type="expression" dxfId="1011" priority="1820">
      <formula>E116&gt;B116</formula>
    </cfRule>
    <cfRule type="expression" dxfId="1010" priority="1823">
      <formula>V116&lt;&gt;0</formula>
    </cfRule>
  </conditionalFormatting>
  <conditionalFormatting sqref="C116">
    <cfRule type="expression" dxfId="1009" priority="1821">
      <formula>B116&gt;E116</formula>
    </cfRule>
    <cfRule type="expression" dxfId="1008" priority="1822">
      <formula>V116&lt;&gt;0</formula>
    </cfRule>
  </conditionalFormatting>
  <conditionalFormatting sqref="E116">
    <cfRule type="cellIs" dxfId="1007" priority="1819" operator="greaterThan">
      <formula>B116</formula>
    </cfRule>
  </conditionalFormatting>
  <conditionalFormatting sqref="B117">
    <cfRule type="cellIs" dxfId="1006" priority="1818" operator="greaterThan">
      <formula>E117</formula>
    </cfRule>
  </conditionalFormatting>
  <conditionalFormatting sqref="D117">
    <cfRule type="expression" dxfId="1005" priority="1814">
      <formula>E117&gt;B117</formula>
    </cfRule>
    <cfRule type="expression" dxfId="1004" priority="1817">
      <formula>V117&lt;&gt;0</formula>
    </cfRule>
  </conditionalFormatting>
  <conditionalFormatting sqref="C117">
    <cfRule type="expression" dxfId="1003" priority="1815">
      <formula>B117&gt;E117</formula>
    </cfRule>
    <cfRule type="expression" dxfId="1002" priority="1816">
      <formula>V117&lt;&gt;0</formula>
    </cfRule>
  </conditionalFormatting>
  <conditionalFormatting sqref="E117">
    <cfRule type="cellIs" dxfId="1001" priority="1813" operator="greaterThan">
      <formula>B117</formula>
    </cfRule>
  </conditionalFormatting>
  <conditionalFormatting sqref="B118">
    <cfRule type="cellIs" dxfId="1000" priority="1812" operator="greaterThan">
      <formula>E118</formula>
    </cfRule>
  </conditionalFormatting>
  <conditionalFormatting sqref="D118">
    <cfRule type="expression" dxfId="999" priority="1808">
      <formula>E118&gt;B118</formula>
    </cfRule>
    <cfRule type="expression" dxfId="998" priority="1811">
      <formula>V118&lt;&gt;0</formula>
    </cfRule>
  </conditionalFormatting>
  <conditionalFormatting sqref="C118">
    <cfRule type="expression" dxfId="997" priority="1809">
      <formula>B118&gt;E118</formula>
    </cfRule>
    <cfRule type="expression" dxfId="996" priority="1810">
      <formula>V118&lt;&gt;0</formula>
    </cfRule>
  </conditionalFormatting>
  <conditionalFormatting sqref="E118">
    <cfRule type="cellIs" dxfId="995" priority="1807" operator="greaterThan">
      <formula>B118</formula>
    </cfRule>
  </conditionalFormatting>
  <conditionalFormatting sqref="B119">
    <cfRule type="cellIs" dxfId="994" priority="1806" operator="greaterThan">
      <formula>E119</formula>
    </cfRule>
  </conditionalFormatting>
  <conditionalFormatting sqref="D119">
    <cfRule type="expression" dxfId="993" priority="1802">
      <formula>E119&gt;B119</formula>
    </cfRule>
    <cfRule type="expression" dxfId="992" priority="1805">
      <formula>V119&lt;&gt;0</formula>
    </cfRule>
  </conditionalFormatting>
  <conditionalFormatting sqref="C119">
    <cfRule type="expression" dxfId="991" priority="1803">
      <formula>B119&gt;E119</formula>
    </cfRule>
    <cfRule type="expression" dxfId="990" priority="1804">
      <formula>V119&lt;&gt;0</formula>
    </cfRule>
  </conditionalFormatting>
  <conditionalFormatting sqref="E119">
    <cfRule type="cellIs" dxfId="989" priority="1801" operator="greaterThan">
      <formula>B119</formula>
    </cfRule>
  </conditionalFormatting>
  <conditionalFormatting sqref="B120">
    <cfRule type="cellIs" dxfId="988" priority="1800" operator="greaterThan">
      <formula>E120</formula>
    </cfRule>
  </conditionalFormatting>
  <conditionalFormatting sqref="D120">
    <cfRule type="expression" dxfId="987" priority="1796">
      <formula>E120&gt;B120</formula>
    </cfRule>
    <cfRule type="expression" dxfId="986" priority="1799">
      <formula>V120&lt;&gt;0</formula>
    </cfRule>
  </conditionalFormatting>
  <conditionalFormatting sqref="C120">
    <cfRule type="expression" dxfId="985" priority="1797">
      <formula>B120&gt;E120</formula>
    </cfRule>
    <cfRule type="expression" dxfId="984" priority="1798">
      <formula>V120&lt;&gt;0</formula>
    </cfRule>
  </conditionalFormatting>
  <conditionalFormatting sqref="E120">
    <cfRule type="cellIs" dxfId="983" priority="1795" operator="greaterThan">
      <formula>B120</formula>
    </cfRule>
  </conditionalFormatting>
  <conditionalFormatting sqref="B121">
    <cfRule type="cellIs" dxfId="982" priority="1794" operator="greaterThan">
      <formula>E121</formula>
    </cfRule>
  </conditionalFormatting>
  <conditionalFormatting sqref="D121">
    <cfRule type="expression" dxfId="981" priority="1790">
      <formula>E121&gt;B121</formula>
    </cfRule>
    <cfRule type="expression" dxfId="980" priority="1793">
      <formula>V121&lt;&gt;0</formula>
    </cfRule>
  </conditionalFormatting>
  <conditionalFormatting sqref="C121">
    <cfRule type="expression" dxfId="979" priority="1791">
      <formula>B121&gt;E121</formula>
    </cfRule>
    <cfRule type="expression" dxfId="978" priority="1792">
      <formula>V121&lt;&gt;0</formula>
    </cfRule>
  </conditionalFormatting>
  <conditionalFormatting sqref="E121">
    <cfRule type="cellIs" dxfId="977" priority="1789" operator="greaterThan">
      <formula>B121</formula>
    </cfRule>
  </conditionalFormatting>
  <conditionalFormatting sqref="B122">
    <cfRule type="cellIs" dxfId="976" priority="1788" operator="greaterThan">
      <formula>E122</formula>
    </cfRule>
  </conditionalFormatting>
  <conditionalFormatting sqref="D122">
    <cfRule type="expression" dxfId="975" priority="1784">
      <formula>E122&gt;B122</formula>
    </cfRule>
    <cfRule type="expression" dxfId="974" priority="1787">
      <formula>V122&lt;&gt;0</formula>
    </cfRule>
  </conditionalFormatting>
  <conditionalFormatting sqref="C122">
    <cfRule type="expression" dxfId="973" priority="1785">
      <formula>B122&gt;E122</formula>
    </cfRule>
    <cfRule type="expression" dxfId="972" priority="1786">
      <formula>V122&lt;&gt;0</formula>
    </cfRule>
  </conditionalFormatting>
  <conditionalFormatting sqref="E122">
    <cfRule type="cellIs" dxfId="971" priority="1783" operator="greaterThan">
      <formula>B122</formula>
    </cfRule>
  </conditionalFormatting>
  <conditionalFormatting sqref="B123">
    <cfRule type="cellIs" dxfId="970" priority="1782" operator="greaterThan">
      <formula>E123</formula>
    </cfRule>
  </conditionalFormatting>
  <conditionalFormatting sqref="D123">
    <cfRule type="expression" dxfId="969" priority="1778">
      <formula>E123&gt;B123</formula>
    </cfRule>
    <cfRule type="expression" dxfId="968" priority="1781">
      <formula>V123&lt;&gt;0</formula>
    </cfRule>
  </conditionalFormatting>
  <conditionalFormatting sqref="C123">
    <cfRule type="expression" dxfId="967" priority="1779">
      <formula>B123&gt;E123</formula>
    </cfRule>
    <cfRule type="expression" dxfId="966" priority="1780">
      <formula>V123&lt;&gt;0</formula>
    </cfRule>
  </conditionalFormatting>
  <conditionalFormatting sqref="E123">
    <cfRule type="cellIs" dxfId="965" priority="1777" operator="greaterThan">
      <formula>B123</formula>
    </cfRule>
  </conditionalFormatting>
  <conditionalFormatting sqref="B124">
    <cfRule type="cellIs" dxfId="964" priority="1776" operator="greaterThan">
      <formula>E124</formula>
    </cfRule>
  </conditionalFormatting>
  <conditionalFormatting sqref="D124">
    <cfRule type="expression" dxfId="963" priority="1772">
      <formula>E124&gt;B124</formula>
    </cfRule>
    <cfRule type="expression" dxfId="962" priority="1775">
      <formula>V124&lt;&gt;0</formula>
    </cfRule>
  </conditionalFormatting>
  <conditionalFormatting sqref="C124">
    <cfRule type="expression" dxfId="961" priority="1773">
      <formula>B124&gt;E124</formula>
    </cfRule>
    <cfRule type="expression" dxfId="960" priority="1774">
      <formula>V124&lt;&gt;0</formula>
    </cfRule>
  </conditionalFormatting>
  <conditionalFormatting sqref="E124">
    <cfRule type="cellIs" dxfId="959" priority="1771" operator="greaterThan">
      <formula>B124</formula>
    </cfRule>
  </conditionalFormatting>
  <conditionalFormatting sqref="B125">
    <cfRule type="cellIs" dxfId="958" priority="1770" operator="greaterThan">
      <formula>E125</formula>
    </cfRule>
  </conditionalFormatting>
  <conditionalFormatting sqref="D125">
    <cfRule type="expression" dxfId="957" priority="1766">
      <formula>E125&gt;B125</formula>
    </cfRule>
    <cfRule type="expression" dxfId="956" priority="1769">
      <formula>V125&lt;&gt;0</formula>
    </cfRule>
  </conditionalFormatting>
  <conditionalFormatting sqref="C125">
    <cfRule type="expression" dxfId="955" priority="1767">
      <formula>B125&gt;E125</formula>
    </cfRule>
    <cfRule type="expression" dxfId="954" priority="1768">
      <formula>V125&lt;&gt;0</formula>
    </cfRule>
  </conditionalFormatting>
  <conditionalFormatting sqref="E125">
    <cfRule type="cellIs" dxfId="953" priority="1765" operator="greaterThan">
      <formula>B125</formula>
    </cfRule>
  </conditionalFormatting>
  <conditionalFormatting sqref="B126">
    <cfRule type="cellIs" dxfId="952" priority="1764" operator="greaterThan">
      <formula>E126</formula>
    </cfRule>
  </conditionalFormatting>
  <conditionalFormatting sqref="D126">
    <cfRule type="expression" dxfId="951" priority="1760">
      <formula>E126&gt;B126</formula>
    </cfRule>
    <cfRule type="expression" dxfId="950" priority="1763">
      <formula>V126&lt;&gt;0</formula>
    </cfRule>
  </conditionalFormatting>
  <conditionalFormatting sqref="C126">
    <cfRule type="expression" dxfId="949" priority="1761">
      <formula>B126&gt;E126</formula>
    </cfRule>
    <cfRule type="expression" dxfId="948" priority="1762">
      <formula>V126&lt;&gt;0</formula>
    </cfRule>
  </conditionalFormatting>
  <conditionalFormatting sqref="E126">
    <cfRule type="cellIs" dxfId="947" priority="1759" operator="greaterThan">
      <formula>B126</formula>
    </cfRule>
  </conditionalFormatting>
  <conditionalFormatting sqref="B127">
    <cfRule type="cellIs" dxfId="946" priority="1758" operator="greaterThan">
      <formula>E127</formula>
    </cfRule>
  </conditionalFormatting>
  <conditionalFormatting sqref="D127">
    <cfRule type="expression" dxfId="945" priority="1754">
      <formula>E127&gt;B127</formula>
    </cfRule>
    <cfRule type="expression" dxfId="944" priority="1757">
      <formula>V127&lt;&gt;0</formula>
    </cfRule>
  </conditionalFormatting>
  <conditionalFormatting sqref="C127">
    <cfRule type="expression" dxfId="943" priority="1755">
      <formula>B127&gt;E127</formula>
    </cfRule>
    <cfRule type="expression" dxfId="942" priority="1756">
      <formula>V127&lt;&gt;0</formula>
    </cfRule>
  </conditionalFormatting>
  <conditionalFormatting sqref="E127">
    <cfRule type="cellIs" dxfId="941" priority="1753" operator="greaterThan">
      <formula>B127</formula>
    </cfRule>
  </conditionalFormatting>
  <conditionalFormatting sqref="B128">
    <cfRule type="cellIs" dxfId="940" priority="1752" operator="greaterThan">
      <formula>E128</formula>
    </cfRule>
  </conditionalFormatting>
  <conditionalFormatting sqref="D128">
    <cfRule type="expression" dxfId="939" priority="1748">
      <formula>E128&gt;B128</formula>
    </cfRule>
    <cfRule type="expression" dxfId="938" priority="1751">
      <formula>V128&lt;&gt;0</formula>
    </cfRule>
  </conditionalFormatting>
  <conditionalFormatting sqref="C128">
    <cfRule type="expression" dxfId="937" priority="1749">
      <formula>B128&gt;E128</formula>
    </cfRule>
    <cfRule type="expression" dxfId="936" priority="1750">
      <formula>V128&lt;&gt;0</formula>
    </cfRule>
  </conditionalFormatting>
  <conditionalFormatting sqref="E128">
    <cfRule type="cellIs" dxfId="935" priority="1747" operator="greaterThan">
      <formula>B128</formula>
    </cfRule>
  </conditionalFormatting>
  <conditionalFormatting sqref="B129">
    <cfRule type="cellIs" dxfId="934" priority="1746" operator="greaterThan">
      <formula>E129</formula>
    </cfRule>
  </conditionalFormatting>
  <conditionalFormatting sqref="D129">
    <cfRule type="expression" dxfId="933" priority="1742">
      <formula>E129&gt;B129</formula>
    </cfRule>
    <cfRule type="expression" dxfId="932" priority="1745">
      <formula>V129&lt;&gt;0</formula>
    </cfRule>
  </conditionalFormatting>
  <conditionalFormatting sqref="C129">
    <cfRule type="expression" dxfId="931" priority="1743">
      <formula>B129&gt;E129</formula>
    </cfRule>
    <cfRule type="expression" dxfId="930" priority="1744">
      <formula>V129&lt;&gt;0</formula>
    </cfRule>
  </conditionalFormatting>
  <conditionalFormatting sqref="E129">
    <cfRule type="cellIs" dxfId="929" priority="1741" operator="greaterThan">
      <formula>B129</formula>
    </cfRule>
  </conditionalFormatting>
  <conditionalFormatting sqref="B130">
    <cfRule type="cellIs" dxfId="928" priority="1740" operator="greaterThan">
      <formula>E130</formula>
    </cfRule>
  </conditionalFormatting>
  <conditionalFormatting sqref="D130">
    <cfRule type="expression" dxfId="927" priority="1736">
      <formula>E130&gt;B130</formula>
    </cfRule>
    <cfRule type="expression" dxfId="926" priority="1739">
      <formula>V130&lt;&gt;0</formula>
    </cfRule>
  </conditionalFormatting>
  <conditionalFormatting sqref="C130">
    <cfRule type="expression" dxfId="925" priority="1737">
      <formula>B130&gt;E130</formula>
    </cfRule>
    <cfRule type="expression" dxfId="924" priority="1738">
      <formula>V130&lt;&gt;0</formula>
    </cfRule>
  </conditionalFormatting>
  <conditionalFormatting sqref="E130">
    <cfRule type="cellIs" dxfId="923" priority="1735" operator="greaterThan">
      <formula>B130</formula>
    </cfRule>
  </conditionalFormatting>
  <conditionalFormatting sqref="B131">
    <cfRule type="cellIs" dxfId="922" priority="1734" operator="greaterThan">
      <formula>E131</formula>
    </cfRule>
  </conditionalFormatting>
  <conditionalFormatting sqref="D131">
    <cfRule type="expression" dxfId="921" priority="1730">
      <formula>E131&gt;B131</formula>
    </cfRule>
    <cfRule type="expression" dxfId="920" priority="1733">
      <formula>V131&lt;&gt;0</formula>
    </cfRule>
  </conditionalFormatting>
  <conditionalFormatting sqref="C131">
    <cfRule type="expression" dxfId="919" priority="1731">
      <formula>B131&gt;E131</formula>
    </cfRule>
    <cfRule type="expression" dxfId="918" priority="1732">
      <formula>V131&lt;&gt;0</formula>
    </cfRule>
  </conditionalFormatting>
  <conditionalFormatting sqref="E131">
    <cfRule type="cellIs" dxfId="917" priority="1729" operator="greaterThan">
      <formula>B131</formula>
    </cfRule>
  </conditionalFormatting>
  <conditionalFormatting sqref="B132">
    <cfRule type="cellIs" dxfId="916" priority="1728" operator="greaterThan">
      <formula>E132</formula>
    </cfRule>
  </conditionalFormatting>
  <conditionalFormatting sqref="D132">
    <cfRule type="expression" dxfId="915" priority="1724">
      <formula>E132&gt;B132</formula>
    </cfRule>
    <cfRule type="expression" dxfId="914" priority="1727">
      <formula>V132&lt;&gt;0</formula>
    </cfRule>
  </conditionalFormatting>
  <conditionalFormatting sqref="C132">
    <cfRule type="expression" dxfId="913" priority="1725">
      <formula>B132&gt;E132</formula>
    </cfRule>
    <cfRule type="expression" dxfId="912" priority="1726">
      <formula>V132&lt;&gt;0</formula>
    </cfRule>
  </conditionalFormatting>
  <conditionalFormatting sqref="E132">
    <cfRule type="cellIs" dxfId="911" priority="1723" operator="greaterThan">
      <formula>B132</formula>
    </cfRule>
  </conditionalFormatting>
  <conditionalFormatting sqref="B133">
    <cfRule type="cellIs" dxfId="910" priority="1722" operator="greaterThan">
      <formula>E133</formula>
    </cfRule>
  </conditionalFormatting>
  <conditionalFormatting sqref="D133">
    <cfRule type="expression" dxfId="909" priority="1718">
      <formula>E133&gt;B133</formula>
    </cfRule>
    <cfRule type="expression" dxfId="908" priority="1721">
      <formula>V133&lt;&gt;0</formula>
    </cfRule>
  </conditionalFormatting>
  <conditionalFormatting sqref="C133">
    <cfRule type="expression" dxfId="907" priority="1719">
      <formula>B133&gt;E133</formula>
    </cfRule>
    <cfRule type="expression" dxfId="906" priority="1720">
      <formula>V133&lt;&gt;0</formula>
    </cfRule>
  </conditionalFormatting>
  <conditionalFormatting sqref="E133">
    <cfRule type="cellIs" dxfId="905" priority="1717" operator="greaterThan">
      <formula>B133</formula>
    </cfRule>
  </conditionalFormatting>
  <conditionalFormatting sqref="B134">
    <cfRule type="cellIs" dxfId="904" priority="1716" operator="greaterThan">
      <formula>E134</formula>
    </cfRule>
  </conditionalFormatting>
  <conditionalFormatting sqref="D134">
    <cfRule type="expression" dxfId="903" priority="1712">
      <formula>E134&gt;B134</formula>
    </cfRule>
    <cfRule type="expression" dxfId="902" priority="1715">
      <formula>V134&lt;&gt;0</formula>
    </cfRule>
  </conditionalFormatting>
  <conditionalFormatting sqref="C134">
    <cfRule type="expression" dxfId="901" priority="1713">
      <formula>B134&gt;E134</formula>
    </cfRule>
    <cfRule type="expression" dxfId="900" priority="1714">
      <formula>V134&lt;&gt;0</formula>
    </cfRule>
  </conditionalFormatting>
  <conditionalFormatting sqref="E134">
    <cfRule type="cellIs" dxfId="899" priority="1711" operator="greaterThan">
      <formula>B134</formula>
    </cfRule>
  </conditionalFormatting>
  <conditionalFormatting sqref="B135">
    <cfRule type="cellIs" dxfId="898" priority="1710" operator="greaterThan">
      <formula>E135</formula>
    </cfRule>
  </conditionalFormatting>
  <conditionalFormatting sqref="D135">
    <cfRule type="expression" dxfId="897" priority="1706">
      <formula>E135&gt;B135</formula>
    </cfRule>
    <cfRule type="expression" dxfId="896" priority="1709">
      <formula>V135&lt;&gt;0</formula>
    </cfRule>
  </conditionalFormatting>
  <conditionalFormatting sqref="C135">
    <cfRule type="expression" dxfId="895" priority="1707">
      <formula>B135&gt;E135</formula>
    </cfRule>
    <cfRule type="expression" dxfId="894" priority="1708">
      <formula>V135&lt;&gt;0</formula>
    </cfRule>
  </conditionalFormatting>
  <conditionalFormatting sqref="E135">
    <cfRule type="cellIs" dxfId="893" priority="1705" operator="greaterThan">
      <formula>B135</formula>
    </cfRule>
  </conditionalFormatting>
  <conditionalFormatting sqref="B136">
    <cfRule type="cellIs" dxfId="892" priority="1704" operator="greaterThan">
      <formula>E136</formula>
    </cfRule>
  </conditionalFormatting>
  <conditionalFormatting sqref="D136">
    <cfRule type="expression" dxfId="891" priority="1700">
      <formula>E136&gt;B136</formula>
    </cfRule>
    <cfRule type="expression" dxfId="890" priority="1703">
      <formula>V136&lt;&gt;0</formula>
    </cfRule>
  </conditionalFormatting>
  <conditionalFormatting sqref="C136">
    <cfRule type="expression" dxfId="889" priority="1701">
      <formula>B136&gt;E136</formula>
    </cfRule>
    <cfRule type="expression" dxfId="888" priority="1702">
      <formula>V136&lt;&gt;0</formula>
    </cfRule>
  </conditionalFormatting>
  <conditionalFormatting sqref="E136">
    <cfRule type="cellIs" dxfId="887" priority="1699" operator="greaterThan">
      <formula>B136</formula>
    </cfRule>
  </conditionalFormatting>
  <conditionalFormatting sqref="B137">
    <cfRule type="cellIs" dxfId="886" priority="1698" operator="greaterThan">
      <formula>E137</formula>
    </cfRule>
  </conditionalFormatting>
  <conditionalFormatting sqref="D137">
    <cfRule type="expression" dxfId="885" priority="1694">
      <formula>E137&gt;B137</formula>
    </cfRule>
    <cfRule type="expression" dxfId="884" priority="1697">
      <formula>V137&lt;&gt;0</formula>
    </cfRule>
  </conditionalFormatting>
  <conditionalFormatting sqref="C137">
    <cfRule type="expression" dxfId="883" priority="1695">
      <formula>B137&gt;E137</formula>
    </cfRule>
    <cfRule type="expression" dxfId="882" priority="1696">
      <formula>V137&lt;&gt;0</formula>
    </cfRule>
  </conditionalFormatting>
  <conditionalFormatting sqref="E137">
    <cfRule type="cellIs" dxfId="881" priority="1693" operator="greaterThan">
      <formula>B137</formula>
    </cfRule>
  </conditionalFormatting>
  <conditionalFormatting sqref="B138">
    <cfRule type="cellIs" dxfId="880" priority="1692" operator="greaterThan">
      <formula>E138</formula>
    </cfRule>
  </conditionalFormatting>
  <conditionalFormatting sqref="D138">
    <cfRule type="expression" dxfId="879" priority="1688">
      <formula>E138&gt;B138</formula>
    </cfRule>
    <cfRule type="expression" dxfId="878" priority="1691">
      <formula>V138&lt;&gt;0</formula>
    </cfRule>
  </conditionalFormatting>
  <conditionalFormatting sqref="C138">
    <cfRule type="expression" dxfId="877" priority="1689">
      <formula>B138&gt;E138</formula>
    </cfRule>
    <cfRule type="expression" dxfId="876" priority="1690">
      <formula>V138&lt;&gt;0</formula>
    </cfRule>
  </conditionalFormatting>
  <conditionalFormatting sqref="E138">
    <cfRule type="cellIs" dxfId="875" priority="1687" operator="greaterThan">
      <formula>B138</formula>
    </cfRule>
  </conditionalFormatting>
  <conditionalFormatting sqref="B139">
    <cfRule type="cellIs" dxfId="874" priority="1686" operator="greaterThan">
      <formula>E139</formula>
    </cfRule>
  </conditionalFormatting>
  <conditionalFormatting sqref="D139">
    <cfRule type="expression" dxfId="873" priority="1682">
      <formula>E139&gt;B139</formula>
    </cfRule>
    <cfRule type="expression" dxfId="872" priority="1685">
      <formula>V139&lt;&gt;0</formula>
    </cfRule>
  </conditionalFormatting>
  <conditionalFormatting sqref="C139">
    <cfRule type="expression" dxfId="871" priority="1683">
      <formula>B139&gt;E139</formula>
    </cfRule>
    <cfRule type="expression" dxfId="870" priority="1684">
      <formula>V139&lt;&gt;0</formula>
    </cfRule>
  </conditionalFormatting>
  <conditionalFormatting sqref="E139">
    <cfRule type="cellIs" dxfId="869" priority="1681" operator="greaterThan">
      <formula>B139</formula>
    </cfRule>
  </conditionalFormatting>
  <conditionalFormatting sqref="B140">
    <cfRule type="cellIs" dxfId="868" priority="1680" operator="greaterThan">
      <formula>E140</formula>
    </cfRule>
  </conditionalFormatting>
  <conditionalFormatting sqref="D140">
    <cfRule type="expression" dxfId="867" priority="1676">
      <formula>E140&gt;B140</formula>
    </cfRule>
    <cfRule type="expression" dxfId="866" priority="1679">
      <formula>V140&lt;&gt;0</formula>
    </cfRule>
  </conditionalFormatting>
  <conditionalFormatting sqref="C140">
    <cfRule type="expression" dxfId="865" priority="1677">
      <formula>B140&gt;E140</formula>
    </cfRule>
    <cfRule type="expression" dxfId="864" priority="1678">
      <formula>V140&lt;&gt;0</formula>
    </cfRule>
  </conditionalFormatting>
  <conditionalFormatting sqref="E140">
    <cfRule type="cellIs" dxfId="863" priority="1675" operator="greaterThan">
      <formula>B140</formula>
    </cfRule>
  </conditionalFormatting>
  <conditionalFormatting sqref="B141">
    <cfRule type="cellIs" dxfId="862" priority="1674" operator="greaterThan">
      <formula>E141</formula>
    </cfRule>
  </conditionalFormatting>
  <conditionalFormatting sqref="D141">
    <cfRule type="expression" dxfId="861" priority="1670">
      <formula>E141&gt;B141</formula>
    </cfRule>
    <cfRule type="expression" dxfId="860" priority="1673">
      <formula>V141&lt;&gt;0</formula>
    </cfRule>
  </conditionalFormatting>
  <conditionalFormatting sqref="C141">
    <cfRule type="expression" dxfId="859" priority="1671">
      <formula>B141&gt;E141</formula>
    </cfRule>
    <cfRule type="expression" dxfId="858" priority="1672">
      <formula>V141&lt;&gt;0</formula>
    </cfRule>
  </conditionalFormatting>
  <conditionalFormatting sqref="E141">
    <cfRule type="cellIs" dxfId="857" priority="1669" operator="greaterThan">
      <formula>B141</formula>
    </cfRule>
  </conditionalFormatting>
  <conditionalFormatting sqref="B142">
    <cfRule type="cellIs" dxfId="856" priority="1668" operator="greaterThan">
      <formula>E142</formula>
    </cfRule>
  </conditionalFormatting>
  <conditionalFormatting sqref="D142">
    <cfRule type="expression" dxfId="855" priority="1664">
      <formula>E142&gt;B142</formula>
    </cfRule>
    <cfRule type="expression" dxfId="854" priority="1667">
      <formula>V142&lt;&gt;0</formula>
    </cfRule>
  </conditionalFormatting>
  <conditionalFormatting sqref="C142">
    <cfRule type="expression" dxfId="853" priority="1665">
      <formula>B142&gt;E142</formula>
    </cfRule>
    <cfRule type="expression" dxfId="852" priority="1666">
      <formula>V142&lt;&gt;0</formula>
    </cfRule>
  </conditionalFormatting>
  <conditionalFormatting sqref="E142">
    <cfRule type="cellIs" dxfId="851" priority="1663" operator="greaterThan">
      <formula>B142</formula>
    </cfRule>
  </conditionalFormatting>
  <conditionalFormatting sqref="B143">
    <cfRule type="cellIs" dxfId="850" priority="1662" operator="greaterThan">
      <formula>E143</formula>
    </cfRule>
  </conditionalFormatting>
  <conditionalFormatting sqref="D143">
    <cfRule type="expression" dxfId="849" priority="1658">
      <formula>E143&gt;B143</formula>
    </cfRule>
    <cfRule type="expression" dxfId="848" priority="1661">
      <formula>V143&lt;&gt;0</formula>
    </cfRule>
  </conditionalFormatting>
  <conditionalFormatting sqref="C143">
    <cfRule type="expression" dxfId="847" priority="1659">
      <formula>B143&gt;E143</formula>
    </cfRule>
    <cfRule type="expression" dxfId="846" priority="1660">
      <formula>V143&lt;&gt;0</formula>
    </cfRule>
  </conditionalFormatting>
  <conditionalFormatting sqref="E143">
    <cfRule type="cellIs" dxfId="845" priority="1657" operator="greaterThan">
      <formula>B143</formula>
    </cfRule>
  </conditionalFormatting>
  <conditionalFormatting sqref="B144">
    <cfRule type="cellIs" dxfId="844" priority="1656" operator="greaterThan">
      <formula>E144</formula>
    </cfRule>
  </conditionalFormatting>
  <conditionalFormatting sqref="D144">
    <cfRule type="expression" dxfId="843" priority="1652">
      <formula>E144&gt;B144</formula>
    </cfRule>
    <cfRule type="expression" dxfId="842" priority="1655">
      <formula>V144&lt;&gt;0</formula>
    </cfRule>
  </conditionalFormatting>
  <conditionalFormatting sqref="C144">
    <cfRule type="expression" dxfId="841" priority="1653">
      <formula>B144&gt;E144</formula>
    </cfRule>
    <cfRule type="expression" dxfId="840" priority="1654">
      <formula>V144&lt;&gt;0</formula>
    </cfRule>
  </conditionalFormatting>
  <conditionalFormatting sqref="E144">
    <cfRule type="cellIs" dxfId="839" priority="1651" operator="greaterThan">
      <formula>B144</formula>
    </cfRule>
  </conditionalFormatting>
  <conditionalFormatting sqref="B145">
    <cfRule type="cellIs" dxfId="838" priority="1650" operator="greaterThan">
      <formula>E145</formula>
    </cfRule>
  </conditionalFormatting>
  <conditionalFormatting sqref="D145">
    <cfRule type="expression" dxfId="837" priority="1646">
      <formula>E145&gt;B145</formula>
    </cfRule>
    <cfRule type="expression" dxfId="836" priority="1649">
      <formula>V145&lt;&gt;0</formula>
    </cfRule>
  </conditionalFormatting>
  <conditionalFormatting sqref="C145">
    <cfRule type="expression" dxfId="835" priority="1647">
      <formula>B145&gt;E145</formula>
    </cfRule>
    <cfRule type="expression" dxfId="834" priority="1648">
      <formula>V145&lt;&gt;0</formula>
    </cfRule>
  </conditionalFormatting>
  <conditionalFormatting sqref="E145">
    <cfRule type="cellIs" dxfId="833" priority="1645" operator="greaterThan">
      <formula>B145</formula>
    </cfRule>
  </conditionalFormatting>
  <conditionalFormatting sqref="B146">
    <cfRule type="cellIs" dxfId="832" priority="1644" operator="greaterThan">
      <formula>E146</formula>
    </cfRule>
  </conditionalFormatting>
  <conditionalFormatting sqref="D146">
    <cfRule type="expression" dxfId="831" priority="1640">
      <formula>E146&gt;B146</formula>
    </cfRule>
    <cfRule type="expression" dxfId="830" priority="1643">
      <formula>V146&lt;&gt;0</formula>
    </cfRule>
  </conditionalFormatting>
  <conditionalFormatting sqref="C146">
    <cfRule type="expression" dxfId="829" priority="1641">
      <formula>B146&gt;E146</formula>
    </cfRule>
    <cfRule type="expression" dxfId="828" priority="1642">
      <formula>V146&lt;&gt;0</formula>
    </cfRule>
  </conditionalFormatting>
  <conditionalFormatting sqref="E146">
    <cfRule type="cellIs" dxfId="827" priority="1639" operator="greaterThan">
      <formula>B146</formula>
    </cfRule>
  </conditionalFormatting>
  <conditionalFormatting sqref="B147">
    <cfRule type="cellIs" dxfId="826" priority="1638" operator="greaterThan">
      <formula>E147</formula>
    </cfRule>
  </conditionalFormatting>
  <conditionalFormatting sqref="D147">
    <cfRule type="expression" dxfId="825" priority="1634">
      <formula>E147&gt;B147</formula>
    </cfRule>
    <cfRule type="expression" dxfId="824" priority="1637">
      <formula>V147&lt;&gt;0</formula>
    </cfRule>
  </conditionalFormatting>
  <conditionalFormatting sqref="C147">
    <cfRule type="expression" dxfId="823" priority="1635">
      <formula>B147&gt;E147</formula>
    </cfRule>
    <cfRule type="expression" dxfId="822" priority="1636">
      <formula>V147&lt;&gt;0</formula>
    </cfRule>
  </conditionalFormatting>
  <conditionalFormatting sqref="E147">
    <cfRule type="cellIs" dxfId="821" priority="1633" operator="greaterThan">
      <formula>B147</formula>
    </cfRule>
  </conditionalFormatting>
  <conditionalFormatting sqref="B148">
    <cfRule type="cellIs" dxfId="820" priority="1632" operator="greaterThan">
      <formula>E148</formula>
    </cfRule>
  </conditionalFormatting>
  <conditionalFormatting sqref="D148">
    <cfRule type="expression" dxfId="819" priority="1628">
      <formula>E148&gt;B148</formula>
    </cfRule>
    <cfRule type="expression" dxfId="818" priority="1631">
      <formula>V148&lt;&gt;0</formula>
    </cfRule>
  </conditionalFormatting>
  <conditionalFormatting sqref="C148">
    <cfRule type="expression" dxfId="817" priority="1629">
      <formula>B148&gt;E148</formula>
    </cfRule>
    <cfRule type="expression" dxfId="816" priority="1630">
      <formula>V148&lt;&gt;0</formula>
    </cfRule>
  </conditionalFormatting>
  <conditionalFormatting sqref="E148">
    <cfRule type="cellIs" dxfId="815" priority="1627" operator="greaterThan">
      <formula>B148</formula>
    </cfRule>
  </conditionalFormatting>
  <conditionalFormatting sqref="B149">
    <cfRule type="cellIs" dxfId="814" priority="1626" operator="greaterThan">
      <formula>E149</formula>
    </cfRule>
  </conditionalFormatting>
  <conditionalFormatting sqref="D149">
    <cfRule type="expression" dxfId="813" priority="1622">
      <formula>E149&gt;B149</formula>
    </cfRule>
    <cfRule type="expression" dxfId="812" priority="1625">
      <formula>V149&lt;&gt;0</formula>
    </cfRule>
  </conditionalFormatting>
  <conditionalFormatting sqref="C149">
    <cfRule type="expression" dxfId="811" priority="1623">
      <formula>B149&gt;E149</formula>
    </cfRule>
    <cfRule type="expression" dxfId="810" priority="1624">
      <formula>V149&lt;&gt;0</formula>
    </cfRule>
  </conditionalFormatting>
  <conditionalFormatting sqref="E149">
    <cfRule type="cellIs" dxfId="809" priority="1621" operator="greaterThan">
      <formula>B149</formula>
    </cfRule>
  </conditionalFormatting>
  <conditionalFormatting sqref="B150">
    <cfRule type="cellIs" dxfId="808" priority="1620" operator="greaterThan">
      <formula>E150</formula>
    </cfRule>
  </conditionalFormatting>
  <conditionalFormatting sqref="D150">
    <cfRule type="expression" dxfId="807" priority="1616">
      <formula>E150&gt;B150</formula>
    </cfRule>
    <cfRule type="expression" dxfId="806" priority="1619">
      <formula>V150&lt;&gt;0</formula>
    </cfRule>
  </conditionalFormatting>
  <conditionalFormatting sqref="C150">
    <cfRule type="expression" dxfId="805" priority="1617">
      <formula>B150&gt;E150</formula>
    </cfRule>
    <cfRule type="expression" dxfId="804" priority="1618">
      <formula>V150&lt;&gt;0</formula>
    </cfRule>
  </conditionalFormatting>
  <conditionalFormatting sqref="E150">
    <cfRule type="cellIs" dxfId="803" priority="1615" operator="greaterThan">
      <formula>B150</formula>
    </cfRule>
  </conditionalFormatting>
  <conditionalFormatting sqref="B151">
    <cfRule type="cellIs" dxfId="802" priority="1614" operator="greaterThan">
      <formula>E151</formula>
    </cfRule>
  </conditionalFormatting>
  <conditionalFormatting sqref="D151">
    <cfRule type="expression" dxfId="801" priority="1610">
      <formula>E151&gt;B151</formula>
    </cfRule>
    <cfRule type="expression" dxfId="800" priority="1613">
      <formula>V151&lt;&gt;0</formula>
    </cfRule>
  </conditionalFormatting>
  <conditionalFormatting sqref="C151">
    <cfRule type="expression" dxfId="799" priority="1611">
      <formula>B151&gt;E151</formula>
    </cfRule>
    <cfRule type="expression" dxfId="798" priority="1612">
      <formula>V151&lt;&gt;0</formula>
    </cfRule>
  </conditionalFormatting>
  <conditionalFormatting sqref="E151">
    <cfRule type="cellIs" dxfId="797" priority="1609" operator="greaterThan">
      <formula>B151</formula>
    </cfRule>
  </conditionalFormatting>
  <conditionalFormatting sqref="B152">
    <cfRule type="cellIs" dxfId="796" priority="1608" operator="greaterThan">
      <formula>E152</formula>
    </cfRule>
  </conditionalFormatting>
  <conditionalFormatting sqref="D152">
    <cfRule type="expression" dxfId="795" priority="1604">
      <formula>E152&gt;B152</formula>
    </cfRule>
    <cfRule type="expression" dxfId="794" priority="1607">
      <formula>V152&lt;&gt;0</formula>
    </cfRule>
  </conditionalFormatting>
  <conditionalFormatting sqref="C152">
    <cfRule type="expression" dxfId="793" priority="1605">
      <formula>B152&gt;E152</formula>
    </cfRule>
    <cfRule type="expression" dxfId="792" priority="1606">
      <formula>V152&lt;&gt;0</formula>
    </cfRule>
  </conditionalFormatting>
  <conditionalFormatting sqref="E152">
    <cfRule type="cellIs" dxfId="791" priority="1603" operator="greaterThan">
      <formula>B152</formula>
    </cfRule>
  </conditionalFormatting>
  <conditionalFormatting sqref="B153">
    <cfRule type="cellIs" dxfId="790" priority="1602" operator="greaterThan">
      <formula>E153</formula>
    </cfRule>
  </conditionalFormatting>
  <conditionalFormatting sqref="D153">
    <cfRule type="expression" dxfId="789" priority="1598">
      <formula>E153&gt;B153</formula>
    </cfRule>
    <cfRule type="expression" dxfId="788" priority="1601">
      <formula>V153&lt;&gt;0</formula>
    </cfRule>
  </conditionalFormatting>
  <conditionalFormatting sqref="C153">
    <cfRule type="expression" dxfId="787" priority="1599">
      <formula>B153&gt;E153</formula>
    </cfRule>
    <cfRule type="expression" dxfId="786" priority="1600">
      <formula>V153&lt;&gt;0</formula>
    </cfRule>
  </conditionalFormatting>
  <conditionalFormatting sqref="E153">
    <cfRule type="cellIs" dxfId="785" priority="1597" operator="greaterThan">
      <formula>B153</formula>
    </cfRule>
  </conditionalFormatting>
  <conditionalFormatting sqref="B154">
    <cfRule type="cellIs" dxfId="784" priority="1596" operator="greaterThan">
      <formula>E154</formula>
    </cfRule>
  </conditionalFormatting>
  <conditionalFormatting sqref="D154">
    <cfRule type="expression" dxfId="783" priority="1592">
      <formula>E154&gt;B154</formula>
    </cfRule>
    <cfRule type="expression" dxfId="782" priority="1595">
      <formula>V154&lt;&gt;0</formula>
    </cfRule>
  </conditionalFormatting>
  <conditionalFormatting sqref="C154">
    <cfRule type="expression" dxfId="781" priority="1593">
      <formula>B154&gt;E154</formula>
    </cfRule>
    <cfRule type="expression" dxfId="780" priority="1594">
      <formula>V154&lt;&gt;0</formula>
    </cfRule>
  </conditionalFormatting>
  <conditionalFormatting sqref="E154">
    <cfRule type="cellIs" dxfId="779" priority="1591" operator="greaterThan">
      <formula>B154</formula>
    </cfRule>
  </conditionalFormatting>
  <conditionalFormatting sqref="B155">
    <cfRule type="cellIs" dxfId="778" priority="1590" operator="greaterThan">
      <formula>E155</formula>
    </cfRule>
  </conditionalFormatting>
  <conditionalFormatting sqref="D155">
    <cfRule type="expression" dxfId="777" priority="1586">
      <formula>E155&gt;B155</formula>
    </cfRule>
    <cfRule type="expression" dxfId="776" priority="1589">
      <formula>V155&lt;&gt;0</formula>
    </cfRule>
  </conditionalFormatting>
  <conditionalFormatting sqref="C155">
    <cfRule type="expression" dxfId="775" priority="1587">
      <formula>B155&gt;E155</formula>
    </cfRule>
    <cfRule type="expression" dxfId="774" priority="1588">
      <formula>V155&lt;&gt;0</formula>
    </cfRule>
  </conditionalFormatting>
  <conditionalFormatting sqref="E155">
    <cfRule type="cellIs" dxfId="773" priority="1585" operator="greaterThan">
      <formula>B155</formula>
    </cfRule>
  </conditionalFormatting>
  <conditionalFormatting sqref="B156">
    <cfRule type="cellIs" dxfId="772" priority="1584" operator="greaterThan">
      <formula>E156</formula>
    </cfRule>
  </conditionalFormatting>
  <conditionalFormatting sqref="D156">
    <cfRule type="expression" dxfId="771" priority="1580">
      <formula>E156&gt;B156</formula>
    </cfRule>
    <cfRule type="expression" dxfId="770" priority="1583">
      <formula>V156&lt;&gt;0</formula>
    </cfRule>
  </conditionalFormatting>
  <conditionalFormatting sqref="C156">
    <cfRule type="expression" dxfId="769" priority="1581">
      <formula>B156&gt;E156</formula>
    </cfRule>
    <cfRule type="expression" dxfId="768" priority="1582">
      <formula>V156&lt;&gt;0</formula>
    </cfRule>
  </conditionalFormatting>
  <conditionalFormatting sqref="E156">
    <cfRule type="cellIs" dxfId="767" priority="1579" operator="greaterThan">
      <formula>B156</formula>
    </cfRule>
  </conditionalFormatting>
  <conditionalFormatting sqref="B157">
    <cfRule type="cellIs" dxfId="766" priority="1578" operator="greaterThan">
      <formula>E157</formula>
    </cfRule>
  </conditionalFormatting>
  <conditionalFormatting sqref="D157">
    <cfRule type="expression" dxfId="765" priority="1574">
      <formula>E157&gt;B157</formula>
    </cfRule>
    <cfRule type="expression" dxfId="764" priority="1577">
      <formula>V157&lt;&gt;0</formula>
    </cfRule>
  </conditionalFormatting>
  <conditionalFormatting sqref="C157">
    <cfRule type="expression" dxfId="763" priority="1575">
      <formula>B157&gt;E157</formula>
    </cfRule>
    <cfRule type="expression" dxfId="762" priority="1576">
      <formula>V157&lt;&gt;0</formula>
    </cfRule>
  </conditionalFormatting>
  <conditionalFormatting sqref="E157">
    <cfRule type="cellIs" dxfId="761" priority="1573" operator="greaterThan">
      <formula>B157</formula>
    </cfRule>
  </conditionalFormatting>
  <conditionalFormatting sqref="B158">
    <cfRule type="cellIs" dxfId="760" priority="1572" operator="greaterThan">
      <formula>E158</formula>
    </cfRule>
  </conditionalFormatting>
  <conditionalFormatting sqref="D158">
    <cfRule type="expression" dxfId="759" priority="1568">
      <formula>E158&gt;B158</formula>
    </cfRule>
    <cfRule type="expression" dxfId="758" priority="1571">
      <formula>V158&lt;&gt;0</formula>
    </cfRule>
  </conditionalFormatting>
  <conditionalFormatting sqref="C158">
    <cfRule type="expression" dxfId="757" priority="1569">
      <formula>B158&gt;E158</formula>
    </cfRule>
    <cfRule type="expression" dxfId="756" priority="1570">
      <formula>V158&lt;&gt;0</formula>
    </cfRule>
  </conditionalFormatting>
  <conditionalFormatting sqref="E158">
    <cfRule type="cellIs" dxfId="755" priority="1567" operator="greaterThan">
      <formula>B158</formula>
    </cfRule>
  </conditionalFormatting>
  <conditionalFormatting sqref="B159">
    <cfRule type="cellIs" dxfId="754" priority="1566" operator="greaterThan">
      <formula>E159</formula>
    </cfRule>
  </conditionalFormatting>
  <conditionalFormatting sqref="D159">
    <cfRule type="expression" dxfId="753" priority="1562">
      <formula>E159&gt;B159</formula>
    </cfRule>
    <cfRule type="expression" dxfId="752" priority="1565">
      <formula>V159&lt;&gt;0</formula>
    </cfRule>
  </conditionalFormatting>
  <conditionalFormatting sqref="C159">
    <cfRule type="expression" dxfId="751" priority="1563">
      <formula>B159&gt;E159</formula>
    </cfRule>
    <cfRule type="expression" dxfId="750" priority="1564">
      <formula>V159&lt;&gt;0</formula>
    </cfRule>
  </conditionalFormatting>
  <conditionalFormatting sqref="E159">
    <cfRule type="cellIs" dxfId="749" priority="1561" operator="greaterThan">
      <formula>B159</formula>
    </cfRule>
  </conditionalFormatting>
  <conditionalFormatting sqref="B160">
    <cfRule type="cellIs" dxfId="748" priority="1560" operator="greaterThan">
      <formula>E160</formula>
    </cfRule>
  </conditionalFormatting>
  <conditionalFormatting sqref="D160">
    <cfRule type="expression" dxfId="747" priority="1556">
      <formula>E160&gt;B160</formula>
    </cfRule>
    <cfRule type="expression" dxfId="746" priority="1559">
      <formula>V160&lt;&gt;0</formula>
    </cfRule>
  </conditionalFormatting>
  <conditionalFormatting sqref="C160">
    <cfRule type="expression" dxfId="745" priority="1557">
      <formula>B160&gt;E160</formula>
    </cfRule>
    <cfRule type="expression" dxfId="744" priority="1558">
      <formula>V160&lt;&gt;0</formula>
    </cfRule>
  </conditionalFormatting>
  <conditionalFormatting sqref="E160">
    <cfRule type="cellIs" dxfId="743" priority="1555" operator="greaterThan">
      <formula>B160</formula>
    </cfRule>
  </conditionalFormatting>
  <conditionalFormatting sqref="B161">
    <cfRule type="cellIs" dxfId="742" priority="1554" operator="greaterThan">
      <formula>E161</formula>
    </cfRule>
  </conditionalFormatting>
  <conditionalFormatting sqref="D161">
    <cfRule type="expression" dxfId="741" priority="1550">
      <formula>E161&gt;B161</formula>
    </cfRule>
    <cfRule type="expression" dxfId="740" priority="1553">
      <formula>V161&lt;&gt;0</formula>
    </cfRule>
  </conditionalFormatting>
  <conditionalFormatting sqref="C161">
    <cfRule type="expression" dxfId="739" priority="1551">
      <formula>B161&gt;E161</formula>
    </cfRule>
    <cfRule type="expression" dxfId="738" priority="1552">
      <formula>V161&lt;&gt;0</formula>
    </cfRule>
  </conditionalFormatting>
  <conditionalFormatting sqref="E161">
    <cfRule type="cellIs" dxfId="737" priority="1549" operator="greaterThan">
      <formula>B161</formula>
    </cfRule>
  </conditionalFormatting>
  <conditionalFormatting sqref="B162">
    <cfRule type="cellIs" dxfId="736" priority="1548" operator="greaterThan">
      <formula>E162</formula>
    </cfRule>
  </conditionalFormatting>
  <conditionalFormatting sqref="D162">
    <cfRule type="expression" dxfId="735" priority="1544">
      <formula>E162&gt;B162</formula>
    </cfRule>
    <cfRule type="expression" dxfId="734" priority="1547">
      <formula>V162&lt;&gt;0</formula>
    </cfRule>
  </conditionalFormatting>
  <conditionalFormatting sqref="C162">
    <cfRule type="expression" dxfId="733" priority="1545">
      <formula>B162&gt;E162</formula>
    </cfRule>
    <cfRule type="expression" dxfId="732" priority="1546">
      <formula>V162&lt;&gt;0</formula>
    </cfRule>
  </conditionalFormatting>
  <conditionalFormatting sqref="E162">
    <cfRule type="cellIs" dxfId="731" priority="1543" operator="greaterThan">
      <formula>B162</formula>
    </cfRule>
  </conditionalFormatting>
  <conditionalFormatting sqref="B163">
    <cfRule type="cellIs" dxfId="730" priority="1542" operator="greaterThan">
      <formula>E163</formula>
    </cfRule>
  </conditionalFormatting>
  <conditionalFormatting sqref="D163">
    <cfRule type="expression" dxfId="729" priority="1538">
      <formula>E163&gt;B163</formula>
    </cfRule>
    <cfRule type="expression" dxfId="728" priority="1541">
      <formula>V163&lt;&gt;0</formula>
    </cfRule>
  </conditionalFormatting>
  <conditionalFormatting sqref="C163">
    <cfRule type="expression" dxfId="727" priority="1539">
      <formula>B163&gt;E163</formula>
    </cfRule>
    <cfRule type="expression" dxfId="726" priority="1540">
      <formula>V163&lt;&gt;0</formula>
    </cfRule>
  </conditionalFormatting>
  <conditionalFormatting sqref="E163">
    <cfRule type="cellIs" dxfId="725" priority="1537" operator="greaterThan">
      <formula>B163</formula>
    </cfRule>
  </conditionalFormatting>
  <conditionalFormatting sqref="B164">
    <cfRule type="cellIs" dxfId="724" priority="1536" operator="greaterThan">
      <formula>E164</formula>
    </cfRule>
  </conditionalFormatting>
  <conditionalFormatting sqref="D164">
    <cfRule type="expression" dxfId="723" priority="1532">
      <formula>E164&gt;B164</formula>
    </cfRule>
    <cfRule type="expression" dxfId="722" priority="1535">
      <formula>V164&lt;&gt;0</formula>
    </cfRule>
  </conditionalFormatting>
  <conditionalFormatting sqref="C164">
    <cfRule type="expression" dxfId="721" priority="1533">
      <formula>B164&gt;E164</formula>
    </cfRule>
    <cfRule type="expression" dxfId="720" priority="1534">
      <formula>V164&lt;&gt;0</formula>
    </cfRule>
  </conditionalFormatting>
  <conditionalFormatting sqref="E164">
    <cfRule type="cellIs" dxfId="719" priority="1531" operator="greaterThan">
      <formula>B164</formula>
    </cfRule>
  </conditionalFormatting>
  <conditionalFormatting sqref="B165">
    <cfRule type="cellIs" dxfId="718" priority="1530" operator="greaterThan">
      <formula>E165</formula>
    </cfRule>
  </conditionalFormatting>
  <conditionalFormatting sqref="D165">
    <cfRule type="expression" dxfId="717" priority="1526">
      <formula>E165&gt;B165</formula>
    </cfRule>
    <cfRule type="expression" dxfId="716" priority="1529">
      <formula>V165&lt;&gt;0</formula>
    </cfRule>
  </conditionalFormatting>
  <conditionalFormatting sqref="C165">
    <cfRule type="expression" dxfId="715" priority="1527">
      <formula>B165&gt;E165</formula>
    </cfRule>
    <cfRule type="expression" dxfId="714" priority="1528">
      <formula>V165&lt;&gt;0</formula>
    </cfRule>
  </conditionalFormatting>
  <conditionalFormatting sqref="E165">
    <cfRule type="cellIs" dxfId="713" priority="1525" operator="greaterThan">
      <formula>B165</formula>
    </cfRule>
  </conditionalFormatting>
  <conditionalFormatting sqref="B166">
    <cfRule type="cellIs" dxfId="712" priority="1524" operator="greaterThan">
      <formula>E166</formula>
    </cfRule>
  </conditionalFormatting>
  <conditionalFormatting sqref="D166">
    <cfRule type="expression" dxfId="711" priority="1520">
      <formula>E166&gt;B166</formula>
    </cfRule>
    <cfRule type="expression" dxfId="710" priority="1523">
      <formula>V166&lt;&gt;0</formula>
    </cfRule>
  </conditionalFormatting>
  <conditionalFormatting sqref="C166">
    <cfRule type="expression" dxfId="709" priority="1521">
      <formula>B166&gt;E166</formula>
    </cfRule>
    <cfRule type="expression" dxfId="708" priority="1522">
      <formula>V166&lt;&gt;0</formula>
    </cfRule>
  </conditionalFormatting>
  <conditionalFormatting sqref="E166">
    <cfRule type="cellIs" dxfId="707" priority="1519" operator="greaterThan">
      <formula>B166</formula>
    </cfRule>
  </conditionalFormatting>
  <conditionalFormatting sqref="B167">
    <cfRule type="cellIs" dxfId="706" priority="1518" operator="greaterThan">
      <formula>E167</formula>
    </cfRule>
  </conditionalFormatting>
  <conditionalFormatting sqref="D167">
    <cfRule type="expression" dxfId="705" priority="1514">
      <formula>E167&gt;B167</formula>
    </cfRule>
    <cfRule type="expression" dxfId="704" priority="1517">
      <formula>V167&lt;&gt;0</formula>
    </cfRule>
  </conditionalFormatting>
  <conditionalFormatting sqref="C167">
    <cfRule type="expression" dxfId="703" priority="1515">
      <formula>B167&gt;E167</formula>
    </cfRule>
    <cfRule type="expression" dxfId="702" priority="1516">
      <formula>V167&lt;&gt;0</formula>
    </cfRule>
  </conditionalFormatting>
  <conditionalFormatting sqref="E167">
    <cfRule type="cellIs" dxfId="701" priority="1513" operator="greaterThan">
      <formula>B167</formula>
    </cfRule>
  </conditionalFormatting>
  <conditionalFormatting sqref="B168">
    <cfRule type="cellIs" dxfId="700" priority="1512" operator="greaterThan">
      <formula>E168</formula>
    </cfRule>
  </conditionalFormatting>
  <conditionalFormatting sqref="D168">
    <cfRule type="expression" dxfId="699" priority="1508">
      <formula>E168&gt;B168</formula>
    </cfRule>
    <cfRule type="expression" dxfId="698" priority="1511">
      <formula>V168&lt;&gt;0</formula>
    </cfRule>
  </conditionalFormatting>
  <conditionalFormatting sqref="C168">
    <cfRule type="expression" dxfId="697" priority="1509">
      <formula>B168&gt;E168</formula>
    </cfRule>
    <cfRule type="expression" dxfId="696" priority="1510">
      <formula>V168&lt;&gt;0</formula>
    </cfRule>
  </conditionalFormatting>
  <conditionalFormatting sqref="E168">
    <cfRule type="cellIs" dxfId="695" priority="1507" operator="greaterThan">
      <formula>B168</formula>
    </cfRule>
  </conditionalFormatting>
  <conditionalFormatting sqref="B169">
    <cfRule type="cellIs" dxfId="694" priority="1506" operator="greaterThan">
      <formula>E169</formula>
    </cfRule>
  </conditionalFormatting>
  <conditionalFormatting sqref="D169">
    <cfRule type="expression" dxfId="693" priority="1502">
      <formula>E169&gt;B169</formula>
    </cfRule>
    <cfRule type="expression" dxfId="692" priority="1505">
      <formula>V169&lt;&gt;0</formula>
    </cfRule>
  </conditionalFormatting>
  <conditionalFormatting sqref="C169">
    <cfRule type="expression" dxfId="691" priority="1503">
      <formula>B169&gt;E169</formula>
    </cfRule>
    <cfRule type="expression" dxfId="690" priority="1504">
      <formula>V169&lt;&gt;0</formula>
    </cfRule>
  </conditionalFormatting>
  <conditionalFormatting sqref="E169">
    <cfRule type="cellIs" dxfId="689" priority="1501" operator="greaterThan">
      <formula>B169</formula>
    </cfRule>
  </conditionalFormatting>
  <conditionalFormatting sqref="B170">
    <cfRule type="cellIs" dxfId="688" priority="1500" operator="greaterThan">
      <formula>E170</formula>
    </cfRule>
  </conditionalFormatting>
  <conditionalFormatting sqref="D170">
    <cfRule type="expression" dxfId="687" priority="1496">
      <formula>E170&gt;B170</formula>
    </cfRule>
    <cfRule type="expression" dxfId="686" priority="1499">
      <formula>V170&lt;&gt;0</formula>
    </cfRule>
  </conditionalFormatting>
  <conditionalFormatting sqref="C170">
    <cfRule type="expression" dxfId="685" priority="1497">
      <formula>B170&gt;E170</formula>
    </cfRule>
    <cfRule type="expression" dxfId="684" priority="1498">
      <formula>V170&lt;&gt;0</formula>
    </cfRule>
  </conditionalFormatting>
  <conditionalFormatting sqref="E170">
    <cfRule type="cellIs" dxfId="683" priority="1495" operator="greaterThan">
      <formula>B170</formula>
    </cfRule>
  </conditionalFormatting>
  <conditionalFormatting sqref="B171">
    <cfRule type="cellIs" dxfId="682" priority="1494" operator="greaterThan">
      <formula>E171</formula>
    </cfRule>
  </conditionalFormatting>
  <conditionalFormatting sqref="D171">
    <cfRule type="expression" dxfId="681" priority="1490">
      <formula>E171&gt;B171</formula>
    </cfRule>
    <cfRule type="expression" dxfId="680" priority="1493">
      <formula>V171&lt;&gt;0</formula>
    </cfRule>
  </conditionalFormatting>
  <conditionalFormatting sqref="C171">
    <cfRule type="expression" dxfId="679" priority="1491">
      <formula>B171&gt;E171</formula>
    </cfRule>
    <cfRule type="expression" dxfId="678" priority="1492">
      <formula>V171&lt;&gt;0</formula>
    </cfRule>
  </conditionalFormatting>
  <conditionalFormatting sqref="E171">
    <cfRule type="cellIs" dxfId="677" priority="1489" operator="greaterThan">
      <formula>B171</formula>
    </cfRule>
  </conditionalFormatting>
  <conditionalFormatting sqref="V45:V56">
    <cfRule type="cellIs" dxfId="676" priority="1484" operator="lessThan">
      <formula>0</formula>
    </cfRule>
    <cfRule type="cellIs" dxfId="675" priority="1485" operator="equal">
      <formula>0</formula>
    </cfRule>
  </conditionalFormatting>
  <conditionalFormatting sqref="Y45:Z51 Y53:Z56">
    <cfRule type="cellIs" dxfId="674" priority="1486" operator="equal">
      <formula>0</formula>
    </cfRule>
  </conditionalFormatting>
  <conditionalFormatting sqref="A30">
    <cfRule type="expression" dxfId="673" priority="1467">
      <formula>V30&lt;&gt;0</formula>
    </cfRule>
  </conditionalFormatting>
  <conditionalFormatting sqref="G30">
    <cfRule type="cellIs" dxfId="672" priority="1465" operator="lessThan">
      <formula>0</formula>
    </cfRule>
  </conditionalFormatting>
  <conditionalFormatting sqref="D30">
    <cfRule type="expression" dxfId="671" priority="1463">
      <formula>E30&gt;B30</formula>
    </cfRule>
  </conditionalFormatting>
  <conditionalFormatting sqref="C30">
    <cfRule type="expression" dxfId="670" priority="1462">
      <formula>B30&gt;E30</formula>
    </cfRule>
  </conditionalFormatting>
  <conditionalFormatting sqref="G31">
    <cfRule type="cellIs" dxfId="669" priority="1456" operator="lessThan">
      <formula>0</formula>
    </cfRule>
  </conditionalFormatting>
  <conditionalFormatting sqref="G32">
    <cfRule type="cellIs" dxfId="668" priority="1400" operator="lessThan">
      <formula>0</formula>
    </cfRule>
  </conditionalFormatting>
  <conditionalFormatting sqref="G33">
    <cfRule type="cellIs" dxfId="667" priority="1394" operator="lessThan">
      <formula>0</formula>
    </cfRule>
  </conditionalFormatting>
  <conditionalFormatting sqref="G34 G36 G38 G40 G45 G47 G49 G51 G53 G55">
    <cfRule type="cellIs" dxfId="666" priority="1386" operator="lessThan">
      <formula>0</formula>
    </cfRule>
  </conditionalFormatting>
  <conditionalFormatting sqref="G35 G37 G39 G41 G46 G48 G50 G52 G54 G56">
    <cfRule type="cellIs" dxfId="665" priority="1380" operator="lessThan">
      <formula>0</formula>
    </cfRule>
  </conditionalFormatting>
  <conditionalFormatting sqref="A45">
    <cfRule type="expression" dxfId="664" priority="1359">
      <formula>V45&lt;&gt;0</formula>
    </cfRule>
  </conditionalFormatting>
  <conditionalFormatting sqref="B60">
    <cfRule type="cellIs" dxfId="663" priority="1352" operator="greaterThan">
      <formula>E60</formula>
    </cfRule>
  </conditionalFormatting>
  <conditionalFormatting sqref="D60">
    <cfRule type="expression" dxfId="662" priority="1348">
      <formula>E60&gt;B60</formula>
    </cfRule>
    <cfRule type="expression" dxfId="661" priority="1351">
      <formula>V60&lt;&gt;0</formula>
    </cfRule>
  </conditionalFormatting>
  <conditionalFormatting sqref="C60">
    <cfRule type="expression" dxfId="660" priority="1349">
      <formula>B60&gt;E60</formula>
    </cfRule>
    <cfRule type="expression" dxfId="659" priority="1350">
      <formula>V60&lt;&gt;0</formula>
    </cfRule>
  </conditionalFormatting>
  <conditionalFormatting sqref="E60">
    <cfRule type="cellIs" dxfId="658" priority="1347" operator="greaterThan">
      <formula>B60</formula>
    </cfRule>
  </conditionalFormatting>
  <conditionalFormatting sqref="B61">
    <cfRule type="cellIs" dxfId="657" priority="1346" operator="greaterThan">
      <formula>E61</formula>
    </cfRule>
  </conditionalFormatting>
  <conditionalFormatting sqref="D61">
    <cfRule type="expression" dxfId="656" priority="1342">
      <formula>E61&gt;B61</formula>
    </cfRule>
    <cfRule type="expression" dxfId="655" priority="1345">
      <formula>V61&lt;&gt;0</formula>
    </cfRule>
  </conditionalFormatting>
  <conditionalFormatting sqref="C61">
    <cfRule type="expression" dxfId="654" priority="1343">
      <formula>B61&gt;E61</formula>
    </cfRule>
    <cfRule type="expression" dxfId="653" priority="1344">
      <formula>V61&lt;&gt;0</formula>
    </cfRule>
  </conditionalFormatting>
  <conditionalFormatting sqref="E61">
    <cfRule type="cellIs" dxfId="652" priority="1341" operator="greaterThan">
      <formula>B61</formula>
    </cfRule>
  </conditionalFormatting>
  <conditionalFormatting sqref="D31">
    <cfRule type="expression" dxfId="651" priority="1256">
      <formula>E31&gt;B31</formula>
    </cfRule>
  </conditionalFormatting>
  <conditionalFormatting sqref="C31">
    <cfRule type="expression" dxfId="650" priority="1255">
      <formula>B31&gt;E31</formula>
    </cfRule>
  </conditionalFormatting>
  <conditionalFormatting sqref="D32 D34 D36 D38 D40 D45 D47 D49 D51 D53 D55">
    <cfRule type="expression" dxfId="649" priority="1254">
      <formula>E32&gt;B32</formula>
    </cfRule>
  </conditionalFormatting>
  <conditionalFormatting sqref="C32 C34 C36 C38 C40 C45 C47 C49 C51 C53 C55">
    <cfRule type="expression" dxfId="648" priority="1253">
      <formula>B32&gt;E32</formula>
    </cfRule>
  </conditionalFormatting>
  <conditionalFormatting sqref="D33 D35 D37 D39 D41 D46 D48 D50 D52 D54 D56">
    <cfRule type="expression" dxfId="647" priority="1252">
      <formula>E33&gt;B33</formula>
    </cfRule>
  </conditionalFormatting>
  <conditionalFormatting sqref="C33 C35 C37 C39 C41 C46 C48 C50 C52 C54 C56">
    <cfRule type="expression" dxfId="646" priority="1251">
      <formula>B33&gt;E33</formula>
    </cfRule>
  </conditionalFormatting>
  <conditionalFormatting sqref="A46">
    <cfRule type="expression" dxfId="645" priority="1250">
      <formula>V46&lt;&gt;0</formula>
    </cfRule>
  </conditionalFormatting>
  <conditionalFormatting sqref="A47 A49 A51 A53 A55">
    <cfRule type="expression" dxfId="644" priority="1249">
      <formula>V47&lt;&gt;0</formula>
    </cfRule>
  </conditionalFormatting>
  <conditionalFormatting sqref="A48 A50 A52 A54 A56">
    <cfRule type="expression" dxfId="643" priority="1248">
      <formula>V48&lt;&gt;0</formula>
    </cfRule>
  </conditionalFormatting>
  <conditionalFormatting sqref="A31">
    <cfRule type="expression" dxfId="642" priority="1247">
      <formula>V31&lt;&gt;0</formula>
    </cfRule>
  </conditionalFormatting>
  <conditionalFormatting sqref="A32 A34 A36 A38 A40">
    <cfRule type="expression" dxfId="641" priority="1246">
      <formula>V32&lt;&gt;0</formula>
    </cfRule>
  </conditionalFormatting>
  <conditionalFormatting sqref="A33 A35 A37 A39 A41">
    <cfRule type="expression" dxfId="640" priority="1245">
      <formula>X33&lt;&gt;0</formula>
    </cfRule>
  </conditionalFormatting>
  <conditionalFormatting sqref="Y30:Y34 Y37:Y41">
    <cfRule type="cellIs" dxfId="639" priority="1208" operator="equal">
      <formula>0</formula>
    </cfRule>
  </conditionalFormatting>
  <conditionalFormatting sqref="AA15 AA19">
    <cfRule type="expression" dxfId="638" priority="16751">
      <formula>IF($Y26&gt;$Y15,AND(MID($A15,5,1)="D"))</formula>
    </cfRule>
    <cfRule type="expression" dxfId="637" priority="16752">
      <formula>IF($Y26&gt;$Y15,AND(MID($A15,5,1)="C"))</formula>
    </cfRule>
    <cfRule type="cellIs" dxfId="636" priority="16753" operator="equal">
      <formula>0</formula>
    </cfRule>
  </conditionalFormatting>
  <conditionalFormatting sqref="AA17 AA21">
    <cfRule type="expression" dxfId="635" priority="16757">
      <formula>IF($Y26&gt;$Y15,AND(MID($A26,5,1)="D"))</formula>
    </cfRule>
    <cfRule type="expression" dxfId="634" priority="16758">
      <formula>IF($Y26&gt;$Y15,AND(MID($A26,5,1)="C"))</formula>
    </cfRule>
    <cfRule type="cellIs" dxfId="633" priority="16759" operator="equal">
      <formula>0</formula>
    </cfRule>
  </conditionalFormatting>
  <conditionalFormatting sqref="W22:W29">
    <cfRule type="cellIs" dxfId="632" priority="1161" operator="equal">
      <formula>0</formula>
    </cfRule>
  </conditionalFormatting>
  <conditionalFormatting sqref="W27 W23">
    <cfRule type="cellIs" dxfId="631" priority="975" operator="equal">
      <formula>"STOP"</formula>
    </cfRule>
    <cfRule type="cellIs" dxfId="630" priority="976" operator="equal">
      <formula>"TRAILING"</formula>
    </cfRule>
  </conditionalFormatting>
  <conditionalFormatting sqref="X60">
    <cfRule type="cellIs" dxfId="629" priority="1096" operator="equal">
      <formula>0</formula>
    </cfRule>
    <cfRule type="expression" dxfId="628" priority="1097">
      <formula>F60*100&lt;X60</formula>
    </cfRule>
    <cfRule type="expression" dxfId="627" priority="1098">
      <formula>X60&lt;F60*100</formula>
    </cfRule>
  </conditionalFormatting>
  <conditionalFormatting sqref="X61">
    <cfRule type="cellIs" dxfId="626" priority="1093" operator="equal">
      <formula>0</formula>
    </cfRule>
    <cfRule type="expression" dxfId="625" priority="1094">
      <formula>F61*100&lt;X61</formula>
    </cfRule>
    <cfRule type="expression" dxfId="624" priority="1095">
      <formula>X61&lt;F61*100</formula>
    </cfRule>
  </conditionalFormatting>
  <conditionalFormatting sqref="W60:W61">
    <cfRule type="cellIs" dxfId="623" priority="1092" operator="equal">
      <formula>0</formula>
    </cfRule>
  </conditionalFormatting>
  <conditionalFormatting sqref="W60">
    <cfRule type="containsText" dxfId="622" priority="1090" operator="containsText" text="STOP">
      <formula>NOT(ISERROR(SEARCH("STOP",W60)))</formula>
    </cfRule>
    <cfRule type="containsText" dxfId="621" priority="1091" operator="containsText" text="TRAILING">
      <formula>NOT(ISERROR(SEARCH("TRAILING",W60)))</formula>
    </cfRule>
  </conditionalFormatting>
  <conditionalFormatting sqref="W61">
    <cfRule type="containsText" dxfId="620" priority="1088" operator="containsText" text="STOP">
      <formula>NOT(ISERROR(SEARCH("STOP",W61)))</formula>
    </cfRule>
    <cfRule type="containsText" dxfId="619" priority="1089" operator="containsText" text="TRAILING">
      <formula>NOT(ISERROR(SEARCH("TRAILING",W61)))</formula>
    </cfRule>
  </conditionalFormatting>
  <conditionalFormatting sqref="V42:V44">
    <cfRule type="cellIs" dxfId="618" priority="1085" operator="lessThan">
      <formula>0</formula>
    </cfRule>
    <cfRule type="cellIs" dxfId="617" priority="1086" operator="equal">
      <formula>0</formula>
    </cfRule>
  </conditionalFormatting>
  <conditionalFormatting sqref="G43">
    <cfRule type="cellIs" dxfId="616" priority="1082" operator="lessThan">
      <formula>0</formula>
    </cfRule>
  </conditionalFormatting>
  <conditionalFormatting sqref="G42 G44">
    <cfRule type="cellIs" dxfId="615" priority="1080" operator="lessThan">
      <formula>0</formula>
    </cfRule>
  </conditionalFormatting>
  <conditionalFormatting sqref="D43">
    <cfRule type="expression" dxfId="614" priority="1078">
      <formula>E43&gt;B43</formula>
    </cfRule>
  </conditionalFormatting>
  <conditionalFormatting sqref="C43">
    <cfRule type="expression" dxfId="613" priority="1077">
      <formula>B43&gt;E43</formula>
    </cfRule>
  </conditionalFormatting>
  <conditionalFormatting sqref="D42 D44">
    <cfRule type="expression" dxfId="612" priority="1076">
      <formula>E42&gt;B42</formula>
    </cfRule>
  </conditionalFormatting>
  <conditionalFormatting sqref="C42 C44">
    <cfRule type="expression" dxfId="611" priority="1075">
      <formula>B42&gt;E42</formula>
    </cfRule>
  </conditionalFormatting>
  <conditionalFormatting sqref="A43">
    <cfRule type="expression" dxfId="610" priority="1074">
      <formula>V43&lt;&gt;0</formula>
    </cfRule>
  </conditionalFormatting>
  <conditionalFormatting sqref="A42 A44">
    <cfRule type="expression" dxfId="609" priority="1073">
      <formula>V42&lt;&gt;0</formula>
    </cfRule>
  </conditionalFormatting>
  <conditionalFormatting sqref="V57:V59">
    <cfRule type="cellIs" dxfId="608" priority="1056" operator="lessThan">
      <formula>0</formula>
    </cfRule>
    <cfRule type="cellIs" dxfId="607" priority="1057" operator="equal">
      <formula>0</formula>
    </cfRule>
  </conditionalFormatting>
  <conditionalFormatting sqref="Y57:Z59">
    <cfRule type="cellIs" dxfId="606" priority="1058" operator="equal">
      <formula>0</formula>
    </cfRule>
  </conditionalFormatting>
  <conditionalFormatting sqref="G58">
    <cfRule type="cellIs" dxfId="605" priority="1053" operator="lessThan">
      <formula>0</formula>
    </cfRule>
  </conditionalFormatting>
  <conditionalFormatting sqref="G57 G59">
    <cfRule type="cellIs" dxfId="604" priority="1051" operator="lessThan">
      <formula>0</formula>
    </cfRule>
  </conditionalFormatting>
  <conditionalFormatting sqref="D58">
    <cfRule type="expression" dxfId="603" priority="1049">
      <formula>E58&gt;B58</formula>
    </cfRule>
  </conditionalFormatting>
  <conditionalFormatting sqref="C58">
    <cfRule type="expression" dxfId="602" priority="1048">
      <formula>B58&gt;E58</formula>
    </cfRule>
  </conditionalFormatting>
  <conditionalFormatting sqref="D57 D59">
    <cfRule type="expression" dxfId="601" priority="1047">
      <formula>E57&gt;B57</formula>
    </cfRule>
  </conditionalFormatting>
  <conditionalFormatting sqref="C57 C59">
    <cfRule type="expression" dxfId="600" priority="1046">
      <formula>B57&gt;E57</formula>
    </cfRule>
  </conditionalFormatting>
  <conditionalFormatting sqref="A58">
    <cfRule type="expression" dxfId="599" priority="1045">
      <formula>V58&lt;&gt;0</formula>
    </cfRule>
  </conditionalFormatting>
  <conditionalFormatting sqref="A57 A59">
    <cfRule type="expression" dxfId="598" priority="1044">
      <formula>V57&lt;&gt;0</formula>
    </cfRule>
  </conditionalFormatting>
  <conditionalFormatting sqref="B45">
    <cfRule type="cellIs" dxfId="597" priority="1027" operator="greaterThan">
      <formula>E45</formula>
    </cfRule>
  </conditionalFormatting>
  <conditionalFormatting sqref="B46">
    <cfRule type="cellIs" dxfId="596" priority="1026" operator="greaterThan">
      <formula>E46</formula>
    </cfRule>
  </conditionalFormatting>
  <conditionalFormatting sqref="B47 B49 B51 B53 B55 B57 B59">
    <cfRule type="cellIs" dxfId="595" priority="1025" operator="greaterThan">
      <formula>E47</formula>
    </cfRule>
  </conditionalFormatting>
  <conditionalFormatting sqref="B48 B50 B52 B54 B56 B58">
    <cfRule type="cellIs" dxfId="594" priority="1024" operator="greaterThan">
      <formula>E48</formula>
    </cfRule>
  </conditionalFormatting>
  <conditionalFormatting sqref="E45">
    <cfRule type="cellIs" dxfId="593" priority="1023" operator="greaterThan">
      <formula>B45</formula>
    </cfRule>
  </conditionalFormatting>
  <conditionalFormatting sqref="E46">
    <cfRule type="cellIs" dxfId="592" priority="1022" operator="greaterThan">
      <formula>B46</formula>
    </cfRule>
  </conditionalFormatting>
  <conditionalFormatting sqref="E47 E49 E51 E55 E57 E59">
    <cfRule type="cellIs" dxfId="591" priority="1021" operator="greaterThan">
      <formula>B47</formula>
    </cfRule>
  </conditionalFormatting>
  <conditionalFormatting sqref="E48 E50 E52 E54 E56 E58">
    <cfRule type="cellIs" dxfId="590" priority="1020" operator="greaterThan">
      <formula>B48</formula>
    </cfRule>
  </conditionalFormatting>
  <conditionalFormatting sqref="E53">
    <cfRule type="cellIs" dxfId="589" priority="1019" operator="greaterThan">
      <formula>H53</formula>
    </cfRule>
  </conditionalFormatting>
  <conditionalFormatting sqref="B30">
    <cfRule type="cellIs" dxfId="588" priority="1018" operator="greaterThan">
      <formula>E30</formula>
    </cfRule>
  </conditionalFormatting>
  <conditionalFormatting sqref="B31">
    <cfRule type="cellIs" dxfId="587" priority="1017" operator="greaterThan">
      <formula>E31</formula>
    </cfRule>
  </conditionalFormatting>
  <conditionalFormatting sqref="B32 B34 B36 B38 B40 B42 B44">
    <cfRule type="cellIs" dxfId="586" priority="1016" operator="greaterThan">
      <formula>E32</formula>
    </cfRule>
  </conditionalFormatting>
  <conditionalFormatting sqref="B33 B35 B37 B39 B41 B43">
    <cfRule type="cellIs" dxfId="585" priority="1015" operator="greaterThan">
      <formula>E33</formula>
    </cfRule>
  </conditionalFormatting>
  <conditionalFormatting sqref="E30">
    <cfRule type="cellIs" dxfId="584" priority="1014" operator="greaterThan">
      <formula>B30</formula>
    </cfRule>
  </conditionalFormatting>
  <conditionalFormatting sqref="E31">
    <cfRule type="cellIs" dxfId="583" priority="1013" operator="greaterThan">
      <formula>B31</formula>
    </cfRule>
  </conditionalFormatting>
  <conditionalFormatting sqref="E32 E34 E36 E40 E42 E44">
    <cfRule type="cellIs" dxfId="582" priority="1012" operator="greaterThan">
      <formula>B32</formula>
    </cfRule>
  </conditionalFormatting>
  <conditionalFormatting sqref="E33 E35 E37 E39 E41 E43">
    <cfRule type="cellIs" dxfId="581" priority="1011" operator="greaterThan">
      <formula>B33</formula>
    </cfRule>
  </conditionalFormatting>
  <conditionalFormatting sqref="E38">
    <cfRule type="cellIs" dxfId="580" priority="1010" operator="greaterThan">
      <formula>H38</formula>
    </cfRule>
  </conditionalFormatting>
  <conditionalFormatting sqref="M45:M59">
    <cfRule type="dataBar" priority="1009">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8">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579" priority="999" operator="equal">
      <formula>0</formula>
    </cfRule>
    <cfRule type="expression" dxfId="578" priority="1000">
      <formula>G35*100&lt;Y35</formula>
    </cfRule>
    <cfRule type="expression" dxfId="577" priority="1001">
      <formula>Y35&lt;G35*100</formula>
    </cfRule>
  </conditionalFormatting>
  <conditionalFormatting sqref="Y44:Z44">
    <cfRule type="cellIs" dxfId="576" priority="996" operator="equal">
      <formula>0</formula>
    </cfRule>
    <cfRule type="expression" dxfId="575" priority="997">
      <formula>G44*100&lt;Y44</formula>
    </cfRule>
    <cfRule type="expression" dxfId="574" priority="998">
      <formula>Y44&lt;G44*100</formula>
    </cfRule>
  </conditionalFormatting>
  <conditionalFormatting sqref="Y36:Z36">
    <cfRule type="cellIs" dxfId="573" priority="993" operator="equal">
      <formula>0</formula>
    </cfRule>
    <cfRule type="expression" dxfId="572" priority="994">
      <formula>G36*100&lt;Y36</formula>
    </cfRule>
    <cfRule type="expression" dxfId="571" priority="995">
      <formula>Y36&lt;G36*100</formula>
    </cfRule>
  </conditionalFormatting>
  <conditionalFormatting sqref="Y52:Z52">
    <cfRule type="cellIs" dxfId="570" priority="990" operator="equal">
      <formula>0</formula>
    </cfRule>
    <cfRule type="expression" dxfId="569" priority="991">
      <formula>G52*100&lt;Y52</formula>
    </cfRule>
    <cfRule type="expression" dxfId="568" priority="992">
      <formula>Y52&lt;G52*100</formula>
    </cfRule>
  </conditionalFormatting>
  <conditionalFormatting sqref="D26">
    <cfRule type="expression" dxfId="567" priority="989">
      <formula>E26&gt;B26</formula>
    </cfRule>
  </conditionalFormatting>
  <conditionalFormatting sqref="C26">
    <cfRule type="expression" dxfId="566" priority="988">
      <formula>B26&gt;E26</formula>
    </cfRule>
  </conditionalFormatting>
  <conditionalFormatting sqref="Y43:Z43">
    <cfRule type="cellIs" dxfId="565" priority="985" operator="equal">
      <formula>0</formula>
    </cfRule>
    <cfRule type="expression" dxfId="564" priority="986">
      <formula>G43*100&lt;Y43</formula>
    </cfRule>
    <cfRule type="expression" dxfId="563" priority="987">
      <formula>Y43&lt;G43*100</formula>
    </cfRule>
  </conditionalFormatting>
  <conditionalFormatting sqref="Y42:Z42">
    <cfRule type="cellIs" dxfId="562" priority="982" operator="equal">
      <formula>0</formula>
    </cfRule>
    <cfRule type="expression" dxfId="561" priority="983">
      <formula>G42*100&lt;Y42</formula>
    </cfRule>
    <cfRule type="expression" dxfId="560" priority="984">
      <formula>Y42&lt;G42*100</formula>
    </cfRule>
  </conditionalFormatting>
  <conditionalFormatting sqref="W26 W22">
    <cfRule type="cellIs" dxfId="559" priority="969" operator="equal">
      <formula>"STOP"</formula>
    </cfRule>
    <cfRule type="cellIs" dxfId="558" priority="970" operator="equal">
      <formula>"TRAILING"</formula>
    </cfRule>
  </conditionalFormatting>
  <conditionalFormatting sqref="W29 W25">
    <cfRule type="cellIs" dxfId="557" priority="967" operator="equal">
      <formula>"STOP"</formula>
    </cfRule>
    <cfRule type="cellIs" dxfId="556" priority="968" operator="equal">
      <formula>"TRAILING"</formula>
    </cfRule>
  </conditionalFormatting>
  <conditionalFormatting sqref="W28 W24">
    <cfRule type="cellIs" dxfId="555" priority="965" operator="equal">
      <formula>"STOP"</formula>
    </cfRule>
    <cfRule type="cellIs" dxfId="554" priority="966" operator="equal">
      <formula>"TRAILING"</formula>
    </cfRule>
  </conditionalFormatting>
  <conditionalFormatting sqref="W29 W25">
    <cfRule type="cellIs" dxfId="553" priority="926" operator="equal">
      <formula>"STOP"</formula>
    </cfRule>
    <cfRule type="cellIs" dxfId="552" priority="927" operator="equal">
      <formula>"TRAILING"</formula>
    </cfRule>
  </conditionalFormatting>
  <conditionalFormatting sqref="W28 W24">
    <cfRule type="cellIs" dxfId="551" priority="924" operator="equal">
      <formula>"STOP"</formula>
    </cfRule>
    <cfRule type="cellIs" dxfId="550" priority="925" operator="equal">
      <formula>"TRAILING"</formula>
    </cfRule>
  </conditionalFormatting>
  <conditionalFormatting sqref="Q1">
    <cfRule type="cellIs" dxfId="547" priority="908" operator="equal">
      <formula>"PRC"</formula>
    </cfRule>
  </conditionalFormatting>
  <conditionalFormatting sqref="W30:W31">
    <cfRule type="cellIs" dxfId="546" priority="907" operator="equal">
      <formula>0</formula>
    </cfRule>
  </conditionalFormatting>
  <conditionalFormatting sqref="W31">
    <cfRule type="cellIs" dxfId="545" priority="905" operator="equal">
      <formula>"STOP"</formula>
    </cfRule>
    <cfRule type="cellIs" dxfId="544" priority="906" operator="equal">
      <formula>"TRAILING"</formula>
    </cfRule>
  </conditionalFormatting>
  <conditionalFormatting sqref="W30">
    <cfRule type="cellIs" dxfId="543" priority="903" operator="equal">
      <formula>"STOP"</formula>
    </cfRule>
    <cfRule type="cellIs" dxfId="542" priority="904" operator="equal">
      <formula>"TRAILING"</formula>
    </cfRule>
  </conditionalFormatting>
  <conditionalFormatting sqref="W31">
    <cfRule type="cellIs" dxfId="541" priority="901" operator="equal">
      <formula>"STOP"</formula>
    </cfRule>
    <cfRule type="cellIs" dxfId="540" priority="902" operator="equal">
      <formula>"TRAILING"</formula>
    </cfRule>
  </conditionalFormatting>
  <conditionalFormatting sqref="W30">
    <cfRule type="cellIs" dxfId="539" priority="899" operator="equal">
      <formula>"STOP"</formula>
    </cfRule>
    <cfRule type="cellIs" dxfId="538" priority="900" operator="equal">
      <formula>"TRAILING"</formula>
    </cfRule>
  </conditionalFormatting>
  <conditionalFormatting sqref="W32:W33">
    <cfRule type="cellIs" dxfId="537" priority="898" operator="equal">
      <formula>0</formula>
    </cfRule>
  </conditionalFormatting>
  <conditionalFormatting sqref="W33">
    <cfRule type="cellIs" dxfId="536" priority="896" operator="equal">
      <formula>"STOP"</formula>
    </cfRule>
    <cfRule type="cellIs" dxfId="535" priority="897" operator="equal">
      <formula>"TRAILING"</formula>
    </cfRule>
  </conditionalFormatting>
  <conditionalFormatting sqref="W32">
    <cfRule type="cellIs" dxfId="534" priority="894" operator="equal">
      <formula>"STOP"</formula>
    </cfRule>
    <cfRule type="cellIs" dxfId="533" priority="895" operator="equal">
      <formula>"TRAILING"</formula>
    </cfRule>
  </conditionalFormatting>
  <conditionalFormatting sqref="W33">
    <cfRule type="cellIs" dxfId="532" priority="892" operator="equal">
      <formula>"STOP"</formula>
    </cfRule>
    <cfRule type="cellIs" dxfId="531" priority="893" operator="equal">
      <formula>"TRAILING"</formula>
    </cfRule>
  </conditionalFormatting>
  <conditionalFormatting sqref="W32">
    <cfRule type="cellIs" dxfId="530" priority="890" operator="equal">
      <formula>"STOP"</formula>
    </cfRule>
    <cfRule type="cellIs" dxfId="529" priority="891" operator="equal">
      <formula>"TRAILING"</formula>
    </cfRule>
  </conditionalFormatting>
  <conditionalFormatting sqref="W34:W35">
    <cfRule type="cellIs" dxfId="528" priority="889" operator="equal">
      <formula>0</formula>
    </cfRule>
  </conditionalFormatting>
  <conditionalFormatting sqref="W35">
    <cfRule type="cellIs" dxfId="527" priority="887" operator="equal">
      <formula>"STOP"</formula>
    </cfRule>
    <cfRule type="cellIs" dxfId="526" priority="888" operator="equal">
      <formula>"TRAILING"</formula>
    </cfRule>
  </conditionalFormatting>
  <conditionalFormatting sqref="W34">
    <cfRule type="cellIs" dxfId="525" priority="885" operator="equal">
      <formula>"STOP"</formula>
    </cfRule>
    <cfRule type="cellIs" dxfId="524" priority="886" operator="equal">
      <formula>"TRAILING"</formula>
    </cfRule>
  </conditionalFormatting>
  <conditionalFormatting sqref="W35">
    <cfRule type="cellIs" dxfId="523" priority="883" operator="equal">
      <formula>"STOP"</formula>
    </cfRule>
    <cfRule type="cellIs" dxfId="522" priority="884" operator="equal">
      <formula>"TRAILING"</formula>
    </cfRule>
  </conditionalFormatting>
  <conditionalFormatting sqref="W34">
    <cfRule type="cellIs" dxfId="521" priority="881" operator="equal">
      <formula>"STOP"</formula>
    </cfRule>
    <cfRule type="cellIs" dxfId="520" priority="882" operator="equal">
      <formula>"TRAILING"</formula>
    </cfRule>
  </conditionalFormatting>
  <conditionalFormatting sqref="W36:W37">
    <cfRule type="cellIs" dxfId="519" priority="880" operator="equal">
      <formula>0</formula>
    </cfRule>
  </conditionalFormatting>
  <conditionalFormatting sqref="W37">
    <cfRule type="cellIs" dxfId="518" priority="878" operator="equal">
      <formula>"STOP"</formula>
    </cfRule>
    <cfRule type="cellIs" dxfId="517" priority="879" operator="equal">
      <formula>"TRAILING"</formula>
    </cfRule>
  </conditionalFormatting>
  <conditionalFormatting sqref="W36">
    <cfRule type="cellIs" dxfId="516" priority="876" operator="equal">
      <formula>"STOP"</formula>
    </cfRule>
    <cfRule type="cellIs" dxfId="515" priority="877" operator="equal">
      <formula>"TRAILING"</formula>
    </cfRule>
  </conditionalFormatting>
  <conditionalFormatting sqref="W37">
    <cfRule type="cellIs" dxfId="514" priority="874" operator="equal">
      <formula>"STOP"</formula>
    </cfRule>
    <cfRule type="cellIs" dxfId="513" priority="875" operator="equal">
      <formula>"TRAILING"</formula>
    </cfRule>
  </conditionalFormatting>
  <conditionalFormatting sqref="W36">
    <cfRule type="cellIs" dxfId="512" priority="872" operator="equal">
      <formula>"STOP"</formula>
    </cfRule>
    <cfRule type="cellIs" dxfId="511" priority="873" operator="equal">
      <formula>"TRAILING"</formula>
    </cfRule>
  </conditionalFormatting>
  <conditionalFormatting sqref="W38:W39">
    <cfRule type="cellIs" dxfId="510" priority="871" operator="equal">
      <formula>0</formula>
    </cfRule>
  </conditionalFormatting>
  <conditionalFormatting sqref="W39">
    <cfRule type="cellIs" dxfId="509" priority="869" operator="equal">
      <formula>"STOP"</formula>
    </cfRule>
    <cfRule type="cellIs" dxfId="508" priority="870" operator="equal">
      <formula>"TRAILING"</formula>
    </cfRule>
  </conditionalFormatting>
  <conditionalFormatting sqref="W38">
    <cfRule type="cellIs" dxfId="507" priority="867" operator="equal">
      <formula>"STOP"</formula>
    </cfRule>
    <cfRule type="cellIs" dxfId="506" priority="868" operator="equal">
      <formula>"TRAILING"</formula>
    </cfRule>
  </conditionalFormatting>
  <conditionalFormatting sqref="W39">
    <cfRule type="cellIs" dxfId="505" priority="865" operator="equal">
      <formula>"STOP"</formula>
    </cfRule>
    <cfRule type="cellIs" dxfId="504" priority="866" operator="equal">
      <formula>"TRAILING"</formula>
    </cfRule>
  </conditionalFormatting>
  <conditionalFormatting sqref="W38">
    <cfRule type="cellIs" dxfId="503" priority="863" operator="equal">
      <formula>"STOP"</formula>
    </cfRule>
    <cfRule type="cellIs" dxfId="502" priority="864" operator="equal">
      <formula>"TRAILING"</formula>
    </cfRule>
  </conditionalFormatting>
  <conditionalFormatting sqref="W40:W41">
    <cfRule type="cellIs" dxfId="501" priority="862" operator="equal">
      <formula>0</formula>
    </cfRule>
  </conditionalFormatting>
  <conditionalFormatting sqref="W41">
    <cfRule type="cellIs" dxfId="500" priority="860" operator="equal">
      <formula>"STOP"</formula>
    </cfRule>
    <cfRule type="cellIs" dxfId="499" priority="861" operator="equal">
      <formula>"TRAILING"</formula>
    </cfRule>
  </conditionalFormatting>
  <conditionalFormatting sqref="W40">
    <cfRule type="cellIs" dxfId="498" priority="858" operator="equal">
      <formula>"STOP"</formula>
    </cfRule>
    <cfRule type="cellIs" dxfId="497" priority="859" operator="equal">
      <formula>"TRAILING"</formula>
    </cfRule>
  </conditionalFormatting>
  <conditionalFormatting sqref="W41">
    <cfRule type="cellIs" dxfId="496" priority="856" operator="equal">
      <formula>"STOP"</formula>
    </cfRule>
    <cfRule type="cellIs" dxfId="495" priority="857" operator="equal">
      <formula>"TRAILING"</formula>
    </cfRule>
  </conditionalFormatting>
  <conditionalFormatting sqref="W40">
    <cfRule type="cellIs" dxfId="494" priority="854" operator="equal">
      <formula>"STOP"</formula>
    </cfRule>
    <cfRule type="cellIs" dxfId="493" priority="855" operator="equal">
      <formula>"TRAILING"</formula>
    </cfRule>
  </conditionalFormatting>
  <conditionalFormatting sqref="W42:W43">
    <cfRule type="cellIs" dxfId="492" priority="853" operator="equal">
      <formula>0</formula>
    </cfRule>
  </conditionalFormatting>
  <conditionalFormatting sqref="W43">
    <cfRule type="cellIs" dxfId="491" priority="851" operator="equal">
      <formula>"STOP"</formula>
    </cfRule>
    <cfRule type="cellIs" dxfId="490" priority="852" operator="equal">
      <formula>"TRAILING"</formula>
    </cfRule>
  </conditionalFormatting>
  <conditionalFormatting sqref="W42">
    <cfRule type="cellIs" dxfId="489" priority="849" operator="equal">
      <formula>"STOP"</formula>
    </cfRule>
    <cfRule type="cellIs" dxfId="488" priority="850" operator="equal">
      <formula>"TRAILING"</formula>
    </cfRule>
  </conditionalFormatting>
  <conditionalFormatting sqref="W43">
    <cfRule type="cellIs" dxfId="487" priority="847" operator="equal">
      <formula>"STOP"</formula>
    </cfRule>
    <cfRule type="cellIs" dxfId="486" priority="848" operator="equal">
      <formula>"TRAILING"</formula>
    </cfRule>
  </conditionalFormatting>
  <conditionalFormatting sqref="W42">
    <cfRule type="cellIs" dxfId="485" priority="845" operator="equal">
      <formula>"STOP"</formula>
    </cfRule>
    <cfRule type="cellIs" dxfId="484" priority="846" operator="equal">
      <formula>"TRAILING"</formula>
    </cfRule>
  </conditionalFormatting>
  <conditionalFormatting sqref="W44">
    <cfRule type="cellIs" dxfId="483" priority="844" operator="equal">
      <formula>0</formula>
    </cfRule>
  </conditionalFormatting>
  <conditionalFormatting sqref="W44">
    <cfRule type="cellIs" dxfId="482" priority="842" operator="equal">
      <formula>"STOP"</formula>
    </cfRule>
    <cfRule type="cellIs" dxfId="481" priority="843" operator="equal">
      <formula>"TRAILING"</formula>
    </cfRule>
  </conditionalFormatting>
  <conditionalFormatting sqref="W44">
    <cfRule type="cellIs" dxfId="480" priority="840" operator="equal">
      <formula>"STOP"</formula>
    </cfRule>
    <cfRule type="cellIs" dxfId="479" priority="841" operator="equal">
      <formula>"TRAILING"</formula>
    </cfRule>
  </conditionalFormatting>
  <conditionalFormatting sqref="X26 X22">
    <cfRule type="expression" dxfId="478" priority="679">
      <formula>X22*100&lt;C22</formula>
    </cfRule>
    <cfRule type="cellIs" dxfId="477" priority="680" operator="equal">
      <formula>0</formula>
    </cfRule>
  </conditionalFormatting>
  <conditionalFormatting sqref="X27 X23">
    <cfRule type="expression" dxfId="476" priority="677">
      <formula>X23*100&lt;C23</formula>
    </cfRule>
    <cfRule type="cellIs" dxfId="475" priority="678" operator="equal">
      <formula>0</formula>
    </cfRule>
  </conditionalFormatting>
  <conditionalFormatting sqref="X28 X24">
    <cfRule type="expression" dxfId="474" priority="675">
      <formula>X24*100&lt;C24</formula>
    </cfRule>
    <cfRule type="cellIs" dxfId="473" priority="676" operator="equal">
      <formula>0</formula>
    </cfRule>
  </conditionalFormatting>
  <conditionalFormatting sqref="X29 X25">
    <cfRule type="expression" dxfId="472" priority="673">
      <formula>X25*100&lt;C25</formula>
    </cfRule>
    <cfRule type="cellIs" dxfId="471" priority="674" operator="equal">
      <formula>0</formula>
    </cfRule>
  </conditionalFormatting>
  <conditionalFormatting sqref="X64">
    <cfRule type="expression" dxfId="470" priority="575">
      <formula>X64*100&lt;C64</formula>
    </cfRule>
    <cfRule type="cellIs" dxfId="469" priority="576" operator="equal">
      <formula>0</formula>
    </cfRule>
  </conditionalFormatting>
  <conditionalFormatting sqref="X65">
    <cfRule type="expression" dxfId="468" priority="573">
      <formula>X65*100&lt;C65</formula>
    </cfRule>
    <cfRule type="cellIs" dxfId="467" priority="574" operator="equal">
      <formula>0</formula>
    </cfRule>
  </conditionalFormatting>
  <conditionalFormatting sqref="X66">
    <cfRule type="expression" dxfId="466" priority="571">
      <formula>X66*100&lt;C66</formula>
    </cfRule>
    <cfRule type="cellIs" dxfId="465" priority="572" operator="equal">
      <formula>0</formula>
    </cfRule>
  </conditionalFormatting>
  <conditionalFormatting sqref="X67">
    <cfRule type="expression" dxfId="464" priority="569">
      <formula>X67*100&lt;C67</formula>
    </cfRule>
    <cfRule type="cellIs" dxfId="463" priority="570" operator="equal">
      <formula>0</formula>
    </cfRule>
  </conditionalFormatting>
  <conditionalFormatting sqref="X68">
    <cfRule type="expression" dxfId="462" priority="567">
      <formula>X68*100&lt;C68</formula>
    </cfRule>
    <cfRule type="cellIs" dxfId="461" priority="568" operator="equal">
      <formula>0</formula>
    </cfRule>
  </conditionalFormatting>
  <conditionalFormatting sqref="X69">
    <cfRule type="expression" dxfId="460" priority="565">
      <formula>X69*100&lt;C69</formula>
    </cfRule>
    <cfRule type="cellIs" dxfId="459" priority="566" operator="equal">
      <formula>0</formula>
    </cfRule>
  </conditionalFormatting>
  <conditionalFormatting sqref="X70">
    <cfRule type="expression" dxfId="458" priority="563">
      <formula>X70*100&lt;C70</formula>
    </cfRule>
    <cfRule type="cellIs" dxfId="457" priority="564" operator="equal">
      <formula>0</formula>
    </cfRule>
  </conditionalFormatting>
  <conditionalFormatting sqref="X71">
    <cfRule type="expression" dxfId="456" priority="561">
      <formula>X71*100&lt;C71</formula>
    </cfRule>
    <cfRule type="cellIs" dxfId="455" priority="562" operator="equal">
      <formula>0</formula>
    </cfRule>
  </conditionalFormatting>
  <conditionalFormatting sqref="X72">
    <cfRule type="expression" dxfId="454" priority="559">
      <formula>X72*100&lt;C72</formula>
    </cfRule>
    <cfRule type="cellIs" dxfId="453" priority="560" operator="equal">
      <formula>0</formula>
    </cfRule>
  </conditionalFormatting>
  <conditionalFormatting sqref="X73">
    <cfRule type="expression" dxfId="452" priority="557">
      <formula>X73*100&lt;C73</formula>
    </cfRule>
    <cfRule type="cellIs" dxfId="451" priority="558" operator="equal">
      <formula>0</formula>
    </cfRule>
  </conditionalFormatting>
  <conditionalFormatting sqref="X74">
    <cfRule type="expression" dxfId="450" priority="555">
      <formula>X74*100&lt;C74</formula>
    </cfRule>
    <cfRule type="cellIs" dxfId="449" priority="556" operator="equal">
      <formula>0</formula>
    </cfRule>
  </conditionalFormatting>
  <conditionalFormatting sqref="X75">
    <cfRule type="expression" dxfId="448" priority="553">
      <formula>X75*100&lt;C75</formula>
    </cfRule>
    <cfRule type="cellIs" dxfId="447" priority="554" operator="equal">
      <formula>0</formula>
    </cfRule>
  </conditionalFormatting>
  <conditionalFormatting sqref="X76">
    <cfRule type="expression" dxfId="446" priority="551">
      <formula>X76*100&lt;C76</formula>
    </cfRule>
    <cfRule type="cellIs" dxfId="445" priority="552" operator="equal">
      <formula>0</formula>
    </cfRule>
  </conditionalFormatting>
  <conditionalFormatting sqref="X77">
    <cfRule type="expression" dxfId="444" priority="549">
      <formula>X77*100&lt;C77</formula>
    </cfRule>
    <cfRule type="cellIs" dxfId="443" priority="550" operator="equal">
      <formula>0</formula>
    </cfRule>
  </conditionalFormatting>
  <conditionalFormatting sqref="X78">
    <cfRule type="expression" dxfId="442" priority="547">
      <formula>X78*100&lt;C78</formula>
    </cfRule>
    <cfRule type="cellIs" dxfId="441" priority="548" operator="equal">
      <formula>0</formula>
    </cfRule>
  </conditionalFormatting>
  <conditionalFormatting sqref="X79">
    <cfRule type="expression" dxfId="440" priority="545">
      <formula>X79*100&lt;C79</formula>
    </cfRule>
    <cfRule type="cellIs" dxfId="439" priority="546" operator="equal">
      <formula>0</formula>
    </cfRule>
  </conditionalFormatting>
  <conditionalFormatting sqref="X80">
    <cfRule type="expression" dxfId="438" priority="543">
      <formula>X80*100&lt;C80</formula>
    </cfRule>
    <cfRule type="cellIs" dxfId="437" priority="544" operator="equal">
      <formula>0</formula>
    </cfRule>
  </conditionalFormatting>
  <conditionalFormatting sqref="X81">
    <cfRule type="expression" dxfId="436" priority="541">
      <formula>X81*100&lt;C81</formula>
    </cfRule>
    <cfRule type="cellIs" dxfId="435" priority="542" operator="equal">
      <formula>0</formula>
    </cfRule>
  </conditionalFormatting>
  <conditionalFormatting sqref="X82">
    <cfRule type="expression" dxfId="434" priority="539">
      <formula>X82*100&lt;C82</formula>
    </cfRule>
    <cfRule type="cellIs" dxfId="433" priority="540" operator="equal">
      <formula>0</formula>
    </cfRule>
  </conditionalFormatting>
  <conditionalFormatting sqref="X83">
    <cfRule type="expression" dxfId="432" priority="537">
      <formula>X83*100&lt;C83</formula>
    </cfRule>
    <cfRule type="cellIs" dxfId="431" priority="538" operator="equal">
      <formula>0</formula>
    </cfRule>
  </conditionalFormatting>
  <conditionalFormatting sqref="X84">
    <cfRule type="expression" dxfId="430" priority="535">
      <formula>X84*100&lt;C84</formula>
    </cfRule>
    <cfRule type="cellIs" dxfId="429" priority="536" operator="equal">
      <formula>0</formula>
    </cfRule>
  </conditionalFormatting>
  <conditionalFormatting sqref="X85">
    <cfRule type="expression" dxfId="428" priority="533">
      <formula>X85*100&lt;C85</formula>
    </cfRule>
    <cfRule type="cellIs" dxfId="427" priority="534" operator="equal">
      <formula>0</formula>
    </cfRule>
  </conditionalFormatting>
  <conditionalFormatting sqref="X86">
    <cfRule type="expression" dxfId="426" priority="531">
      <formula>X86*100&lt;C86</formula>
    </cfRule>
    <cfRule type="cellIs" dxfId="425" priority="532" operator="equal">
      <formula>0</formula>
    </cfRule>
  </conditionalFormatting>
  <conditionalFormatting sqref="X87">
    <cfRule type="expression" dxfId="424" priority="529">
      <formula>X87*100&lt;C87</formula>
    </cfRule>
    <cfRule type="cellIs" dxfId="423" priority="530" operator="equal">
      <formula>0</formula>
    </cfRule>
  </conditionalFormatting>
  <conditionalFormatting sqref="X88">
    <cfRule type="expression" dxfId="422" priority="527">
      <formula>X88*100&lt;C88</formula>
    </cfRule>
    <cfRule type="cellIs" dxfId="421" priority="528" operator="equal">
      <formula>0</formula>
    </cfRule>
  </conditionalFormatting>
  <conditionalFormatting sqref="X89">
    <cfRule type="expression" dxfId="420" priority="525">
      <formula>X89*100&lt;C89</formula>
    </cfRule>
    <cfRule type="cellIs" dxfId="419" priority="526" operator="equal">
      <formula>0</formula>
    </cfRule>
  </conditionalFormatting>
  <conditionalFormatting sqref="X90">
    <cfRule type="expression" dxfId="418" priority="523">
      <formula>X90*100&lt;C90</formula>
    </cfRule>
    <cfRule type="cellIs" dxfId="417" priority="524" operator="equal">
      <formula>0</formula>
    </cfRule>
  </conditionalFormatting>
  <conditionalFormatting sqref="X91">
    <cfRule type="expression" dxfId="416" priority="521">
      <formula>X91*100&lt;C91</formula>
    </cfRule>
    <cfRule type="cellIs" dxfId="415" priority="522" operator="equal">
      <formula>0</formula>
    </cfRule>
  </conditionalFormatting>
  <conditionalFormatting sqref="X92">
    <cfRule type="expression" dxfId="414" priority="519">
      <formula>X92*100&lt;C92</formula>
    </cfRule>
    <cfRule type="cellIs" dxfId="413" priority="520" operator="equal">
      <formula>0</formula>
    </cfRule>
  </conditionalFormatting>
  <conditionalFormatting sqref="X93">
    <cfRule type="expression" dxfId="412" priority="517">
      <formula>X93*100&lt;C93</formula>
    </cfRule>
    <cfRule type="cellIs" dxfId="411" priority="518" operator="equal">
      <formula>0</formula>
    </cfRule>
  </conditionalFormatting>
  <conditionalFormatting sqref="X94">
    <cfRule type="expression" dxfId="410" priority="515">
      <formula>X94*100&lt;C94</formula>
    </cfRule>
    <cfRule type="cellIs" dxfId="409" priority="516" operator="equal">
      <formula>0</formula>
    </cfRule>
  </conditionalFormatting>
  <conditionalFormatting sqref="X95">
    <cfRule type="expression" dxfId="408" priority="513">
      <formula>X95*100&lt;C95</formula>
    </cfRule>
    <cfRule type="cellIs" dxfId="407" priority="514" operator="equal">
      <formula>0</formula>
    </cfRule>
  </conditionalFormatting>
  <conditionalFormatting sqref="X96">
    <cfRule type="expression" dxfId="406" priority="511">
      <formula>X96*100&lt;C96</formula>
    </cfRule>
    <cfRule type="cellIs" dxfId="405" priority="512" operator="equal">
      <formula>0</formula>
    </cfRule>
  </conditionalFormatting>
  <conditionalFormatting sqref="X97">
    <cfRule type="expression" dxfId="404" priority="509">
      <formula>X97*100&lt;C97</formula>
    </cfRule>
    <cfRule type="cellIs" dxfId="403" priority="510" operator="equal">
      <formula>0</formula>
    </cfRule>
  </conditionalFormatting>
  <conditionalFormatting sqref="X98">
    <cfRule type="expression" dxfId="402" priority="507">
      <formula>X98*100&lt;C98</formula>
    </cfRule>
    <cfRule type="cellIs" dxfId="401" priority="508" operator="equal">
      <formula>0</formula>
    </cfRule>
  </conditionalFormatting>
  <conditionalFormatting sqref="X99">
    <cfRule type="expression" dxfId="400" priority="505">
      <formula>X99*100&lt;C99</formula>
    </cfRule>
    <cfRule type="cellIs" dxfId="399" priority="506" operator="equal">
      <formula>0</formula>
    </cfRule>
  </conditionalFormatting>
  <conditionalFormatting sqref="X100">
    <cfRule type="expression" dxfId="398" priority="503">
      <formula>X100*100&lt;C100</formula>
    </cfRule>
    <cfRule type="cellIs" dxfId="397" priority="504" operator="equal">
      <formula>0</formula>
    </cfRule>
  </conditionalFormatting>
  <conditionalFormatting sqref="X101">
    <cfRule type="expression" dxfId="396" priority="501">
      <formula>X101*100&lt;C101</formula>
    </cfRule>
    <cfRule type="cellIs" dxfId="395" priority="502" operator="equal">
      <formula>0</formula>
    </cfRule>
  </conditionalFormatting>
  <conditionalFormatting sqref="X102">
    <cfRule type="expression" dxfId="394" priority="499">
      <formula>X102*100&lt;C102</formula>
    </cfRule>
    <cfRule type="cellIs" dxfId="393" priority="500" operator="equal">
      <formula>0</formula>
    </cfRule>
  </conditionalFormatting>
  <conditionalFormatting sqref="X103">
    <cfRule type="expression" dxfId="392" priority="497">
      <formula>X103*100&lt;C103</formula>
    </cfRule>
    <cfRule type="cellIs" dxfId="391" priority="498" operator="equal">
      <formula>0</formula>
    </cfRule>
  </conditionalFormatting>
  <conditionalFormatting sqref="X104">
    <cfRule type="expression" dxfId="390" priority="495">
      <formula>X104*100&lt;C104</formula>
    </cfRule>
    <cfRule type="cellIs" dxfId="389" priority="496" operator="equal">
      <formula>0</formula>
    </cfRule>
  </conditionalFormatting>
  <conditionalFormatting sqref="X105">
    <cfRule type="expression" dxfId="388" priority="493">
      <formula>X105*100&lt;C105</formula>
    </cfRule>
    <cfRule type="cellIs" dxfId="387" priority="494" operator="equal">
      <formula>0</formula>
    </cfRule>
  </conditionalFormatting>
  <conditionalFormatting sqref="X106">
    <cfRule type="expression" dxfId="386" priority="491">
      <formula>X106*100&lt;C106</formula>
    </cfRule>
    <cfRule type="cellIs" dxfId="385" priority="492" operator="equal">
      <formula>0</formula>
    </cfRule>
  </conditionalFormatting>
  <conditionalFormatting sqref="X107">
    <cfRule type="expression" dxfId="384" priority="489">
      <formula>X107*100&lt;C107</formula>
    </cfRule>
    <cfRule type="cellIs" dxfId="383" priority="490" operator="equal">
      <formula>0</formula>
    </cfRule>
  </conditionalFormatting>
  <conditionalFormatting sqref="X108">
    <cfRule type="expression" dxfId="382" priority="487">
      <formula>X108*100&lt;C108</formula>
    </cfRule>
    <cfRule type="cellIs" dxfId="381" priority="488" operator="equal">
      <formula>0</formula>
    </cfRule>
  </conditionalFormatting>
  <conditionalFormatting sqref="X109">
    <cfRule type="expression" dxfId="380" priority="485">
      <formula>X109*100&lt;C109</formula>
    </cfRule>
    <cfRule type="cellIs" dxfId="379" priority="486" operator="equal">
      <formula>0</formula>
    </cfRule>
  </conditionalFormatting>
  <conditionalFormatting sqref="X110">
    <cfRule type="expression" dxfId="378" priority="483">
      <formula>X110*100&lt;C110</formula>
    </cfRule>
    <cfRule type="cellIs" dxfId="377" priority="484" operator="equal">
      <formula>0</formula>
    </cfRule>
  </conditionalFormatting>
  <conditionalFormatting sqref="X111">
    <cfRule type="expression" dxfId="376" priority="481">
      <formula>X111*100&lt;C111</formula>
    </cfRule>
    <cfRule type="cellIs" dxfId="375" priority="482" operator="equal">
      <formula>0</formula>
    </cfRule>
  </conditionalFormatting>
  <conditionalFormatting sqref="X112">
    <cfRule type="expression" dxfId="374" priority="479">
      <formula>X112*100&lt;C112</formula>
    </cfRule>
    <cfRule type="cellIs" dxfId="373" priority="480" operator="equal">
      <formula>0</formula>
    </cfRule>
  </conditionalFormatting>
  <conditionalFormatting sqref="X113">
    <cfRule type="expression" dxfId="372" priority="477">
      <formula>X113*100&lt;C113</formula>
    </cfRule>
    <cfRule type="cellIs" dxfId="371" priority="478" operator="equal">
      <formula>0</formula>
    </cfRule>
  </conditionalFormatting>
  <conditionalFormatting sqref="X114">
    <cfRule type="expression" dxfId="370" priority="475">
      <formula>X114*100&lt;C114</formula>
    </cfRule>
    <cfRule type="cellIs" dxfId="369" priority="476" operator="equal">
      <formula>0</formula>
    </cfRule>
  </conditionalFormatting>
  <conditionalFormatting sqref="X115">
    <cfRule type="expression" dxfId="368" priority="473">
      <formula>X115*100&lt;C115</formula>
    </cfRule>
    <cfRule type="cellIs" dxfId="367" priority="474" operator="equal">
      <formula>0</formula>
    </cfRule>
  </conditionalFormatting>
  <conditionalFormatting sqref="X116">
    <cfRule type="expression" dxfId="366" priority="471">
      <formula>X116*100&lt;C116</formula>
    </cfRule>
    <cfRule type="cellIs" dxfId="365" priority="472" operator="equal">
      <formula>0</formula>
    </cfRule>
  </conditionalFormatting>
  <conditionalFormatting sqref="X117">
    <cfRule type="expression" dxfId="364" priority="469">
      <formula>X117*100&lt;C117</formula>
    </cfRule>
    <cfRule type="cellIs" dxfId="363" priority="470" operator="equal">
      <formula>0</formula>
    </cfRule>
  </conditionalFormatting>
  <conditionalFormatting sqref="X118">
    <cfRule type="expression" dxfId="362" priority="467">
      <formula>X118*100&lt;C118</formula>
    </cfRule>
    <cfRule type="cellIs" dxfId="361" priority="468" operator="equal">
      <formula>0</formula>
    </cfRule>
  </conditionalFormatting>
  <conditionalFormatting sqref="X119">
    <cfRule type="expression" dxfId="360" priority="465">
      <formula>X119*100&lt;C119</formula>
    </cfRule>
    <cfRule type="cellIs" dxfId="359" priority="466" operator="equal">
      <formula>0</formula>
    </cfRule>
  </conditionalFormatting>
  <conditionalFormatting sqref="X120">
    <cfRule type="expression" dxfId="358" priority="463">
      <formula>X120*100&lt;C120</formula>
    </cfRule>
    <cfRule type="cellIs" dxfId="357" priority="464" operator="equal">
      <formula>0</formula>
    </cfRule>
  </conditionalFormatting>
  <conditionalFormatting sqref="X121">
    <cfRule type="expression" dxfId="356" priority="461">
      <formula>X121*100&lt;C121</formula>
    </cfRule>
    <cfRule type="cellIs" dxfId="355" priority="462" operator="equal">
      <formula>0</formula>
    </cfRule>
  </conditionalFormatting>
  <conditionalFormatting sqref="X122">
    <cfRule type="expression" dxfId="354" priority="459">
      <formula>X122*100&lt;C122</formula>
    </cfRule>
    <cfRule type="cellIs" dxfId="353" priority="460" operator="equal">
      <formula>0</formula>
    </cfRule>
  </conditionalFormatting>
  <conditionalFormatting sqref="X123">
    <cfRule type="expression" dxfId="352" priority="457">
      <formula>X123*100&lt;C123</formula>
    </cfRule>
    <cfRule type="cellIs" dxfId="351" priority="458" operator="equal">
      <formula>0</formula>
    </cfRule>
  </conditionalFormatting>
  <conditionalFormatting sqref="X124">
    <cfRule type="expression" dxfId="350" priority="455">
      <formula>X124*100&lt;C124</formula>
    </cfRule>
    <cfRule type="cellIs" dxfId="349" priority="456" operator="equal">
      <formula>0</formula>
    </cfRule>
  </conditionalFormatting>
  <conditionalFormatting sqref="X125">
    <cfRule type="expression" dxfId="348" priority="453">
      <formula>X125*100&lt;C125</formula>
    </cfRule>
    <cfRule type="cellIs" dxfId="347" priority="454" operator="equal">
      <formula>0</formula>
    </cfRule>
  </conditionalFormatting>
  <conditionalFormatting sqref="X126">
    <cfRule type="expression" dxfId="346" priority="451">
      <formula>X126*100&lt;C126</formula>
    </cfRule>
    <cfRule type="cellIs" dxfId="345" priority="452" operator="equal">
      <formula>0</formula>
    </cfRule>
  </conditionalFormatting>
  <conditionalFormatting sqref="X127">
    <cfRule type="expression" dxfId="344" priority="449">
      <formula>X127*100&lt;C127</formula>
    </cfRule>
    <cfRule type="cellIs" dxfId="343" priority="450" operator="equal">
      <formula>0</formula>
    </cfRule>
  </conditionalFormatting>
  <conditionalFormatting sqref="X128">
    <cfRule type="expression" dxfId="342" priority="447">
      <formula>X128*100&lt;C128</formula>
    </cfRule>
    <cfRule type="cellIs" dxfId="341" priority="448" operator="equal">
      <formula>0</formula>
    </cfRule>
  </conditionalFormatting>
  <conditionalFormatting sqref="X129">
    <cfRule type="expression" dxfId="340" priority="445">
      <formula>X129*100&lt;C129</formula>
    </cfRule>
    <cfRule type="cellIs" dxfId="339" priority="446" operator="equal">
      <formula>0</formula>
    </cfRule>
  </conditionalFormatting>
  <conditionalFormatting sqref="X130">
    <cfRule type="expression" dxfId="338" priority="443">
      <formula>X130*100&lt;C130</formula>
    </cfRule>
    <cfRule type="cellIs" dxfId="337" priority="444" operator="equal">
      <formula>0</formula>
    </cfRule>
  </conditionalFormatting>
  <conditionalFormatting sqref="X131">
    <cfRule type="expression" dxfId="336" priority="441">
      <formula>X131*100&lt;C131</formula>
    </cfRule>
    <cfRule type="cellIs" dxfId="335" priority="442" operator="equal">
      <formula>0</formula>
    </cfRule>
  </conditionalFormatting>
  <conditionalFormatting sqref="X132">
    <cfRule type="expression" dxfId="334" priority="439">
      <formula>X132*100&lt;C132</formula>
    </cfRule>
    <cfRule type="cellIs" dxfId="333" priority="440" operator="equal">
      <formula>0</formula>
    </cfRule>
  </conditionalFormatting>
  <conditionalFormatting sqref="X133">
    <cfRule type="expression" dxfId="332" priority="437">
      <formula>X133*100&lt;C133</formula>
    </cfRule>
    <cfRule type="cellIs" dxfId="331" priority="438" operator="equal">
      <formula>0</formula>
    </cfRule>
  </conditionalFormatting>
  <conditionalFormatting sqref="X134">
    <cfRule type="expression" dxfId="330" priority="435">
      <formula>X134*100&lt;C134</formula>
    </cfRule>
    <cfRule type="cellIs" dxfId="329" priority="436" operator="equal">
      <formula>0</formula>
    </cfRule>
  </conditionalFormatting>
  <conditionalFormatting sqref="X135">
    <cfRule type="expression" dxfId="328" priority="433">
      <formula>X135*100&lt;C135</formula>
    </cfRule>
    <cfRule type="cellIs" dxfId="327" priority="434" operator="equal">
      <formula>0</formula>
    </cfRule>
  </conditionalFormatting>
  <conditionalFormatting sqref="X136">
    <cfRule type="expression" dxfId="326" priority="431">
      <formula>X136*100&lt;C136</formula>
    </cfRule>
    <cfRule type="cellIs" dxfId="325" priority="432" operator="equal">
      <formula>0</formula>
    </cfRule>
  </conditionalFormatting>
  <conditionalFormatting sqref="X137">
    <cfRule type="expression" dxfId="324" priority="429">
      <formula>X137*100&lt;C137</formula>
    </cfRule>
    <cfRule type="cellIs" dxfId="323" priority="430" operator="equal">
      <formula>0</formula>
    </cfRule>
  </conditionalFormatting>
  <conditionalFormatting sqref="X138">
    <cfRule type="expression" dxfId="322" priority="427">
      <formula>X138*100&lt;C138</formula>
    </cfRule>
    <cfRule type="cellIs" dxfId="321" priority="428" operator="equal">
      <formula>0</formula>
    </cfRule>
  </conditionalFormatting>
  <conditionalFormatting sqref="X139">
    <cfRule type="expression" dxfId="320" priority="425">
      <formula>X139*100&lt;C139</formula>
    </cfRule>
    <cfRule type="cellIs" dxfId="319" priority="426" operator="equal">
      <formula>0</formula>
    </cfRule>
  </conditionalFormatting>
  <conditionalFormatting sqref="X140">
    <cfRule type="expression" dxfId="318" priority="423">
      <formula>X140*100&lt;C140</formula>
    </cfRule>
    <cfRule type="cellIs" dxfId="317" priority="424" operator="equal">
      <formula>0</formula>
    </cfRule>
  </conditionalFormatting>
  <conditionalFormatting sqref="X141">
    <cfRule type="expression" dxfId="316" priority="421">
      <formula>X141*100&lt;C141</formula>
    </cfRule>
    <cfRule type="cellIs" dxfId="315" priority="422" operator="equal">
      <formula>0</formula>
    </cfRule>
  </conditionalFormatting>
  <conditionalFormatting sqref="X142">
    <cfRule type="expression" dxfId="314" priority="419">
      <formula>X142*100&lt;C142</formula>
    </cfRule>
    <cfRule type="cellIs" dxfId="313" priority="420" operator="equal">
      <formula>0</formula>
    </cfRule>
  </conditionalFormatting>
  <conditionalFormatting sqref="X143">
    <cfRule type="expression" dxfId="312" priority="417">
      <formula>X143*100&lt;C143</formula>
    </cfRule>
    <cfRule type="cellIs" dxfId="311" priority="418" operator="equal">
      <formula>0</formula>
    </cfRule>
  </conditionalFormatting>
  <conditionalFormatting sqref="X144">
    <cfRule type="expression" dxfId="310" priority="415">
      <formula>X144*100&lt;C144</formula>
    </cfRule>
    <cfRule type="cellIs" dxfId="309" priority="416" operator="equal">
      <formula>0</formula>
    </cfRule>
  </conditionalFormatting>
  <conditionalFormatting sqref="X145">
    <cfRule type="expression" dxfId="308" priority="413">
      <formula>X145*100&lt;C145</formula>
    </cfRule>
    <cfRule type="cellIs" dxfId="307" priority="414" operator="equal">
      <formula>0</formula>
    </cfRule>
  </conditionalFormatting>
  <conditionalFormatting sqref="X146">
    <cfRule type="expression" dxfId="306" priority="411">
      <formula>X146*100&lt;C146</formula>
    </cfRule>
    <cfRule type="cellIs" dxfId="305" priority="412" operator="equal">
      <formula>0</formula>
    </cfRule>
  </conditionalFormatting>
  <conditionalFormatting sqref="X147">
    <cfRule type="expression" dxfId="304" priority="409">
      <formula>X147*100&lt;C147</formula>
    </cfRule>
    <cfRule type="cellIs" dxfId="303" priority="410" operator="equal">
      <formula>0</formula>
    </cfRule>
  </conditionalFormatting>
  <conditionalFormatting sqref="X148">
    <cfRule type="expression" dxfId="302" priority="407">
      <formula>X148*100&lt;C148</formula>
    </cfRule>
    <cfRule type="cellIs" dxfId="301" priority="408" operator="equal">
      <formula>0</formula>
    </cfRule>
  </conditionalFormatting>
  <conditionalFormatting sqref="X149">
    <cfRule type="expression" dxfId="300" priority="405">
      <formula>X149*100&lt;C149</formula>
    </cfRule>
    <cfRule type="cellIs" dxfId="299" priority="406" operator="equal">
      <formula>0</formula>
    </cfRule>
  </conditionalFormatting>
  <conditionalFormatting sqref="X150">
    <cfRule type="expression" dxfId="298" priority="403">
      <formula>X150*100&lt;C150</formula>
    </cfRule>
    <cfRule type="cellIs" dxfId="297" priority="404" operator="equal">
      <formula>0</formula>
    </cfRule>
  </conditionalFormatting>
  <conditionalFormatting sqref="X151">
    <cfRule type="expression" dxfId="296" priority="401">
      <formula>X151*100&lt;C151</formula>
    </cfRule>
    <cfRule type="cellIs" dxfId="295" priority="402" operator="equal">
      <formula>0</formula>
    </cfRule>
  </conditionalFormatting>
  <conditionalFormatting sqref="X152">
    <cfRule type="expression" dxfId="294" priority="399">
      <formula>X152*100&lt;C152</formula>
    </cfRule>
    <cfRule type="cellIs" dxfId="293" priority="400" operator="equal">
      <formula>0</formula>
    </cfRule>
  </conditionalFormatting>
  <conditionalFormatting sqref="X153">
    <cfRule type="expression" dxfId="292" priority="397">
      <formula>X153*100&lt;C153</formula>
    </cfRule>
    <cfRule type="cellIs" dxfId="291" priority="398" operator="equal">
      <formula>0</formula>
    </cfRule>
  </conditionalFormatting>
  <conditionalFormatting sqref="X154">
    <cfRule type="expression" dxfId="290" priority="395">
      <formula>X154*100&lt;C154</formula>
    </cfRule>
    <cfRule type="cellIs" dxfId="289" priority="396" operator="equal">
      <formula>0</formula>
    </cfRule>
  </conditionalFormatting>
  <conditionalFormatting sqref="X155">
    <cfRule type="expression" dxfId="288" priority="393">
      <formula>X155*100&lt;C155</formula>
    </cfRule>
    <cfRule type="cellIs" dxfId="287" priority="394" operator="equal">
      <formula>0</formula>
    </cfRule>
  </conditionalFormatting>
  <conditionalFormatting sqref="X156">
    <cfRule type="expression" dxfId="286" priority="391">
      <formula>X156*100&lt;C156</formula>
    </cfRule>
    <cfRule type="cellIs" dxfId="285" priority="392" operator="equal">
      <formula>0</formula>
    </cfRule>
  </conditionalFormatting>
  <conditionalFormatting sqref="X157">
    <cfRule type="expression" dxfId="284" priority="389">
      <formula>X157*100&lt;C157</formula>
    </cfRule>
    <cfRule type="cellIs" dxfId="283" priority="390" operator="equal">
      <formula>0</formula>
    </cfRule>
  </conditionalFormatting>
  <conditionalFormatting sqref="X158">
    <cfRule type="expression" dxfId="282" priority="387">
      <formula>X158*100&lt;C158</formula>
    </cfRule>
    <cfRule type="cellIs" dxfId="281" priority="388" operator="equal">
      <formula>0</formula>
    </cfRule>
  </conditionalFormatting>
  <conditionalFormatting sqref="X159">
    <cfRule type="expression" dxfId="280" priority="385">
      <formula>X159*100&lt;C159</formula>
    </cfRule>
    <cfRule type="cellIs" dxfId="279" priority="386" operator="equal">
      <formula>0</formula>
    </cfRule>
  </conditionalFormatting>
  <conditionalFormatting sqref="X160">
    <cfRule type="expression" dxfId="278" priority="383">
      <formula>X160*100&lt;C160</formula>
    </cfRule>
    <cfRule type="cellIs" dxfId="277" priority="384" operator="equal">
      <formula>0</formula>
    </cfRule>
  </conditionalFormatting>
  <conditionalFormatting sqref="X161">
    <cfRule type="expression" dxfId="276" priority="381">
      <formula>X161*100&lt;C161</formula>
    </cfRule>
    <cfRule type="cellIs" dxfId="275" priority="382" operator="equal">
      <formula>0</formula>
    </cfRule>
  </conditionalFormatting>
  <conditionalFormatting sqref="X162">
    <cfRule type="expression" dxfId="274" priority="379">
      <formula>X162*100&lt;C162</formula>
    </cfRule>
    <cfRule type="cellIs" dxfId="273" priority="380" operator="equal">
      <formula>0</formula>
    </cfRule>
  </conditionalFormatting>
  <conditionalFormatting sqref="X163">
    <cfRule type="expression" dxfId="272" priority="377">
      <formula>X163*100&lt;C163</formula>
    </cfRule>
    <cfRule type="cellIs" dxfId="271" priority="378" operator="equal">
      <formula>0</formula>
    </cfRule>
  </conditionalFormatting>
  <conditionalFormatting sqref="X164">
    <cfRule type="expression" dxfId="270" priority="375">
      <formula>X164*100&lt;C164</formula>
    </cfRule>
    <cfRule type="cellIs" dxfId="269" priority="376" operator="equal">
      <formula>0</formula>
    </cfRule>
  </conditionalFormatting>
  <conditionalFormatting sqref="X165">
    <cfRule type="expression" dxfId="268" priority="373">
      <formula>X165*100&lt;C165</formula>
    </cfRule>
    <cfRule type="cellIs" dxfId="267" priority="374" operator="equal">
      <formula>0</formula>
    </cfRule>
  </conditionalFormatting>
  <conditionalFormatting sqref="X166">
    <cfRule type="expression" dxfId="266" priority="371">
      <formula>X166*100&lt;C166</formula>
    </cfRule>
    <cfRule type="cellIs" dxfId="265" priority="372" operator="equal">
      <formula>0</formula>
    </cfRule>
  </conditionalFormatting>
  <conditionalFormatting sqref="X167">
    <cfRule type="expression" dxfId="264" priority="369">
      <formula>X167*100&lt;C167</formula>
    </cfRule>
    <cfRule type="cellIs" dxfId="263" priority="370" operator="equal">
      <formula>0</formula>
    </cfRule>
  </conditionalFormatting>
  <conditionalFormatting sqref="X168">
    <cfRule type="expression" dxfId="262" priority="367">
      <formula>X168*100&lt;C168</formula>
    </cfRule>
    <cfRule type="cellIs" dxfId="261" priority="368" operator="equal">
      <formula>0</formula>
    </cfRule>
  </conditionalFormatting>
  <conditionalFormatting sqref="X169">
    <cfRule type="expression" dxfId="260" priority="365">
      <formula>X169*100&lt;C169</formula>
    </cfRule>
    <cfRule type="cellIs" dxfId="259" priority="366" operator="equal">
      <formula>0</formula>
    </cfRule>
  </conditionalFormatting>
  <conditionalFormatting sqref="X170">
    <cfRule type="expression" dxfId="258" priority="363">
      <formula>X170*100&lt;C170</formula>
    </cfRule>
    <cfRule type="cellIs" dxfId="257" priority="364" operator="equal">
      <formula>0</formula>
    </cfRule>
  </conditionalFormatting>
  <conditionalFormatting sqref="X171">
    <cfRule type="expression" dxfId="256" priority="361">
      <formula>X171*100&lt;C171</formula>
    </cfRule>
    <cfRule type="cellIs" dxfId="255" priority="362" operator="equal">
      <formula>0</formula>
    </cfRule>
  </conditionalFormatting>
  <conditionalFormatting sqref="W2:W3">
    <cfRule type="cellIs" dxfId="254" priority="360" operator="equal">
      <formula>0</formula>
    </cfRule>
  </conditionalFormatting>
  <conditionalFormatting sqref="W3">
    <cfRule type="cellIs" dxfId="253" priority="358" operator="equal">
      <formula>"STOP"</formula>
    </cfRule>
    <cfRule type="cellIs" dxfId="252" priority="359" operator="equal">
      <formula>"TRAILING"</formula>
    </cfRule>
  </conditionalFormatting>
  <conditionalFormatting sqref="W2">
    <cfRule type="cellIs" dxfId="251" priority="356" operator="equal">
      <formula>"STOP"</formula>
    </cfRule>
    <cfRule type="cellIs" dxfId="250" priority="357" operator="equal">
      <formula>"TRAILING"</formula>
    </cfRule>
  </conditionalFormatting>
  <conditionalFormatting sqref="X2">
    <cfRule type="expression" dxfId="249" priority="354">
      <formula>X2*100&lt;C2</formula>
    </cfRule>
    <cfRule type="cellIs" dxfId="248" priority="355" operator="equal">
      <formula>0</formula>
    </cfRule>
  </conditionalFormatting>
  <conditionalFormatting sqref="X3">
    <cfRule type="expression" dxfId="247" priority="352">
      <formula>X3*100&lt;C3</formula>
    </cfRule>
    <cfRule type="cellIs" dxfId="246" priority="353" operator="equal">
      <formula>0</formula>
    </cfRule>
  </conditionalFormatting>
  <conditionalFormatting sqref="W4:W5">
    <cfRule type="cellIs" dxfId="245" priority="351" operator="equal">
      <formula>0</formula>
    </cfRule>
  </conditionalFormatting>
  <conditionalFormatting sqref="W5">
    <cfRule type="cellIs" dxfId="244" priority="349" operator="equal">
      <formula>"STOP"</formula>
    </cfRule>
    <cfRule type="cellIs" dxfId="243" priority="350" operator="equal">
      <formula>"TRAILING"</formula>
    </cfRule>
  </conditionalFormatting>
  <conditionalFormatting sqref="W4">
    <cfRule type="cellIs" dxfId="242" priority="347" operator="equal">
      <formula>"STOP"</formula>
    </cfRule>
    <cfRule type="cellIs" dxfId="241" priority="348" operator="equal">
      <formula>"TRAILING"</formula>
    </cfRule>
  </conditionalFormatting>
  <conditionalFormatting sqref="X4">
    <cfRule type="expression" dxfId="240" priority="345">
      <formula>X4*100&lt;C4</formula>
    </cfRule>
    <cfRule type="cellIs" dxfId="239" priority="346" operator="equal">
      <formula>0</formula>
    </cfRule>
  </conditionalFormatting>
  <conditionalFormatting sqref="X5">
    <cfRule type="expression" dxfId="238" priority="343">
      <formula>X5*100&lt;C5</formula>
    </cfRule>
    <cfRule type="cellIs" dxfId="237" priority="344" operator="equal">
      <formula>0</formula>
    </cfRule>
  </conditionalFormatting>
  <conditionalFormatting sqref="W6:W7">
    <cfRule type="cellIs" dxfId="236" priority="342" operator="equal">
      <formula>0</formula>
    </cfRule>
  </conditionalFormatting>
  <conditionalFormatting sqref="W7">
    <cfRule type="cellIs" dxfId="235" priority="340" operator="equal">
      <formula>"STOP"</formula>
    </cfRule>
    <cfRule type="cellIs" dxfId="234" priority="341" operator="equal">
      <formula>"TRAILING"</formula>
    </cfRule>
  </conditionalFormatting>
  <conditionalFormatting sqref="W6">
    <cfRule type="cellIs" dxfId="233" priority="338" operator="equal">
      <formula>"STOP"</formula>
    </cfRule>
    <cfRule type="cellIs" dxfId="232" priority="339" operator="equal">
      <formula>"TRAILING"</formula>
    </cfRule>
  </conditionalFormatting>
  <conditionalFormatting sqref="X6">
    <cfRule type="expression" dxfId="231" priority="336">
      <formula>X6*100&lt;C6</formula>
    </cfRule>
    <cfRule type="cellIs" dxfId="230" priority="337" operator="equal">
      <formula>0</formula>
    </cfRule>
  </conditionalFormatting>
  <conditionalFormatting sqref="X7">
    <cfRule type="expression" dxfId="229" priority="334">
      <formula>X7*100&lt;C7</formula>
    </cfRule>
    <cfRule type="cellIs" dxfId="228" priority="335" operator="equal">
      <formula>0</formula>
    </cfRule>
  </conditionalFormatting>
  <conditionalFormatting sqref="W8:W9">
    <cfRule type="cellIs" dxfId="227" priority="333" operator="equal">
      <formula>0</formula>
    </cfRule>
  </conditionalFormatting>
  <conditionalFormatting sqref="W9">
    <cfRule type="cellIs" dxfId="226" priority="331" operator="equal">
      <formula>"STOP"</formula>
    </cfRule>
    <cfRule type="cellIs" dxfId="225" priority="332" operator="equal">
      <formula>"TRAILING"</formula>
    </cfRule>
  </conditionalFormatting>
  <conditionalFormatting sqref="W8">
    <cfRule type="cellIs" dxfId="224" priority="329" operator="equal">
      <formula>"STOP"</formula>
    </cfRule>
    <cfRule type="cellIs" dxfId="223" priority="330" operator="equal">
      <formula>"TRAILING"</formula>
    </cfRule>
  </conditionalFormatting>
  <conditionalFormatting sqref="X8">
    <cfRule type="expression" dxfId="222" priority="327">
      <formula>X8*100&lt;C8</formula>
    </cfRule>
    <cfRule type="cellIs" dxfId="221" priority="328" operator="equal">
      <formula>0</formula>
    </cfRule>
  </conditionalFormatting>
  <conditionalFormatting sqref="X9">
    <cfRule type="expression" dxfId="220" priority="325">
      <formula>X9*100&lt;C9</formula>
    </cfRule>
    <cfRule type="cellIs" dxfId="219" priority="326" operator="equal">
      <formula>0</formula>
    </cfRule>
  </conditionalFormatting>
  <conditionalFormatting sqref="W10:W11">
    <cfRule type="cellIs" dxfId="218" priority="324" operator="equal">
      <formula>0</formula>
    </cfRule>
  </conditionalFormatting>
  <conditionalFormatting sqref="W11">
    <cfRule type="cellIs" dxfId="217" priority="322" operator="equal">
      <formula>"STOP"</formula>
    </cfRule>
    <cfRule type="cellIs" dxfId="216" priority="323" operator="equal">
      <formula>"TRAILING"</formula>
    </cfRule>
  </conditionalFormatting>
  <conditionalFormatting sqref="W10">
    <cfRule type="cellIs" dxfId="215" priority="320" operator="equal">
      <formula>"STOP"</formula>
    </cfRule>
    <cfRule type="cellIs" dxfId="214" priority="321" operator="equal">
      <formula>"TRAILING"</formula>
    </cfRule>
  </conditionalFormatting>
  <conditionalFormatting sqref="X10">
    <cfRule type="expression" dxfId="213" priority="318">
      <formula>X10*100&lt;C10</formula>
    </cfRule>
    <cfRule type="cellIs" dxfId="212" priority="319" operator="equal">
      <formula>0</formula>
    </cfRule>
  </conditionalFormatting>
  <conditionalFormatting sqref="X11">
    <cfRule type="expression" dxfId="211" priority="316">
      <formula>X11*100&lt;C11</formula>
    </cfRule>
    <cfRule type="cellIs" dxfId="210" priority="317" operator="equal">
      <formula>0</formula>
    </cfRule>
  </conditionalFormatting>
  <conditionalFormatting sqref="W12:W13">
    <cfRule type="cellIs" dxfId="209" priority="315" operator="equal">
      <formula>0</formula>
    </cfRule>
  </conditionalFormatting>
  <conditionalFormatting sqref="W13">
    <cfRule type="cellIs" dxfId="208" priority="313" operator="equal">
      <formula>"STOP"</formula>
    </cfRule>
    <cfRule type="cellIs" dxfId="207" priority="314" operator="equal">
      <formula>"TRAILING"</formula>
    </cfRule>
  </conditionalFormatting>
  <conditionalFormatting sqref="W12">
    <cfRule type="cellIs" dxfId="206" priority="311" operator="equal">
      <formula>"STOP"</formula>
    </cfRule>
    <cfRule type="cellIs" dxfId="205" priority="312" operator="equal">
      <formula>"TRAILING"</formula>
    </cfRule>
  </conditionalFormatting>
  <conditionalFormatting sqref="X12">
    <cfRule type="expression" dxfId="204" priority="309">
      <formula>X12*100&lt;C12</formula>
    </cfRule>
    <cfRule type="cellIs" dxfId="203" priority="310" operator="equal">
      <formula>0</formula>
    </cfRule>
  </conditionalFormatting>
  <conditionalFormatting sqref="X13">
    <cfRule type="expression" dxfId="202" priority="307">
      <formula>X13*100&lt;C13</formula>
    </cfRule>
    <cfRule type="cellIs" dxfId="201" priority="308" operator="equal">
      <formula>0</formula>
    </cfRule>
  </conditionalFormatting>
  <conditionalFormatting sqref="W14:W15 W18:W19">
    <cfRule type="cellIs" dxfId="200" priority="306" operator="equal">
      <formula>0</formula>
    </cfRule>
  </conditionalFormatting>
  <conditionalFormatting sqref="W15 W19">
    <cfRule type="cellIs" dxfId="199" priority="304" operator="equal">
      <formula>"STOP"</formula>
    </cfRule>
    <cfRule type="cellIs" dxfId="198" priority="305" operator="equal">
      <formula>"TRAILING"</formula>
    </cfRule>
  </conditionalFormatting>
  <conditionalFormatting sqref="W14 W18">
    <cfRule type="cellIs" dxfId="197" priority="302" operator="equal">
      <formula>"STOP"</formula>
    </cfRule>
    <cfRule type="cellIs" dxfId="196" priority="303" operator="equal">
      <formula>"TRAILING"</formula>
    </cfRule>
  </conditionalFormatting>
  <conditionalFormatting sqref="X14 X18">
    <cfRule type="expression" dxfId="195" priority="300">
      <formula>X14*100&lt;C14</formula>
    </cfRule>
    <cfRule type="cellIs" dxfId="194" priority="301" operator="equal">
      <formula>0</formula>
    </cfRule>
  </conditionalFormatting>
  <conditionalFormatting sqref="X15 X19">
    <cfRule type="expression" dxfId="193" priority="298">
      <formula>X15*100&lt;C15</formula>
    </cfRule>
    <cfRule type="cellIs" dxfId="192" priority="299" operator="equal">
      <formula>0</formula>
    </cfRule>
  </conditionalFormatting>
  <conditionalFormatting sqref="W16:W17 W20:W21">
    <cfRule type="cellIs" dxfId="191" priority="297" operator="equal">
      <formula>0</formula>
    </cfRule>
  </conditionalFormatting>
  <conditionalFormatting sqref="W17 W21">
    <cfRule type="cellIs" dxfId="190" priority="295" operator="equal">
      <formula>"STOP"</formula>
    </cfRule>
    <cfRule type="cellIs" dxfId="189" priority="296" operator="equal">
      <formula>"TRAILING"</formula>
    </cfRule>
  </conditionalFormatting>
  <conditionalFormatting sqref="W16 W20">
    <cfRule type="cellIs" dxfId="188" priority="293" operator="equal">
      <formula>"STOP"</formula>
    </cfRule>
    <cfRule type="cellIs" dxfId="187" priority="294" operator="equal">
      <formula>"TRAILING"</formula>
    </cfRule>
  </conditionalFormatting>
  <conditionalFormatting sqref="X16 X20">
    <cfRule type="expression" dxfId="186" priority="291">
      <formula>X16*100&lt;C16</formula>
    </cfRule>
    <cfRule type="cellIs" dxfId="185" priority="292" operator="equal">
      <formula>0</formula>
    </cfRule>
  </conditionalFormatting>
  <conditionalFormatting sqref="X17 X21">
    <cfRule type="expression" dxfId="184" priority="289">
      <formula>X17*100&lt;C17</formula>
    </cfRule>
    <cfRule type="cellIs" dxfId="183" priority="290" operator="equal">
      <formula>0</formula>
    </cfRule>
  </conditionalFormatting>
  <conditionalFormatting sqref="X30">
    <cfRule type="expression" dxfId="182" priority="251">
      <formula>X30*100&lt;C30</formula>
    </cfRule>
    <cfRule type="cellIs" dxfId="181" priority="252" operator="equal">
      <formula>0</formula>
    </cfRule>
  </conditionalFormatting>
  <conditionalFormatting sqref="X31">
    <cfRule type="expression" dxfId="180" priority="249">
      <formula>X31*100&lt;C31</formula>
    </cfRule>
    <cfRule type="cellIs" dxfId="179" priority="250" operator="equal">
      <formula>0</formula>
    </cfRule>
  </conditionalFormatting>
  <conditionalFormatting sqref="X32">
    <cfRule type="expression" dxfId="178" priority="247">
      <formula>X32*100&lt;C32</formula>
    </cfRule>
    <cfRule type="cellIs" dxfId="177" priority="248" operator="equal">
      <formula>0</formula>
    </cfRule>
  </conditionalFormatting>
  <conditionalFormatting sqref="X33">
    <cfRule type="expression" dxfId="176" priority="245">
      <formula>X33*100&lt;C33</formula>
    </cfRule>
    <cfRule type="cellIs" dxfId="175" priority="246" operator="equal">
      <formula>0</formula>
    </cfRule>
  </conditionalFormatting>
  <conditionalFormatting sqref="X34">
    <cfRule type="expression" dxfId="174" priority="243">
      <formula>X34*100&lt;C34</formula>
    </cfRule>
    <cfRule type="cellIs" dxfId="173" priority="244" operator="equal">
      <formula>0</formula>
    </cfRule>
  </conditionalFormatting>
  <conditionalFormatting sqref="X35">
    <cfRule type="expression" dxfId="172" priority="241">
      <formula>X35*100&lt;C35</formula>
    </cfRule>
    <cfRule type="cellIs" dxfId="171" priority="242" operator="equal">
      <formula>0</formula>
    </cfRule>
  </conditionalFormatting>
  <conditionalFormatting sqref="X36">
    <cfRule type="expression" dxfId="170" priority="239">
      <formula>X36*100&lt;C36</formula>
    </cfRule>
    <cfRule type="cellIs" dxfId="169" priority="240" operator="equal">
      <formula>0</formula>
    </cfRule>
  </conditionalFormatting>
  <conditionalFormatting sqref="X37">
    <cfRule type="expression" dxfId="168" priority="237">
      <formula>X37*100&lt;C37</formula>
    </cfRule>
    <cfRule type="cellIs" dxfId="167" priority="238" operator="equal">
      <formula>0</formula>
    </cfRule>
  </conditionalFormatting>
  <conditionalFormatting sqref="X38">
    <cfRule type="expression" dxfId="166" priority="235">
      <formula>X38*100&lt;C38</formula>
    </cfRule>
    <cfRule type="cellIs" dxfId="165" priority="236" operator="equal">
      <formula>0</formula>
    </cfRule>
  </conditionalFormatting>
  <conditionalFormatting sqref="X39">
    <cfRule type="expression" dxfId="164" priority="233">
      <formula>X39*100&lt;C39</formula>
    </cfRule>
    <cfRule type="cellIs" dxfId="163" priority="234" operator="equal">
      <formula>0</formula>
    </cfRule>
  </conditionalFormatting>
  <conditionalFormatting sqref="X40">
    <cfRule type="expression" dxfId="162" priority="231">
      <formula>X40*100&lt;C40</formula>
    </cfRule>
    <cfRule type="cellIs" dxfId="161" priority="232" operator="equal">
      <formula>0</formula>
    </cfRule>
  </conditionalFormatting>
  <conditionalFormatting sqref="X41">
    <cfRule type="expression" dxfId="160" priority="229">
      <formula>X41*100&lt;C41</formula>
    </cfRule>
    <cfRule type="cellIs" dxfId="159" priority="230" operator="equal">
      <formula>0</formula>
    </cfRule>
  </conditionalFormatting>
  <conditionalFormatting sqref="X42">
    <cfRule type="expression" dxfId="158" priority="227">
      <formula>X42*100&lt;C42</formula>
    </cfRule>
    <cfRule type="cellIs" dxfId="157" priority="228" operator="equal">
      <formula>0</formula>
    </cfRule>
  </conditionalFormatting>
  <conditionalFormatting sqref="X43">
    <cfRule type="expression" dxfId="156" priority="225">
      <formula>X43*100&lt;C43</formula>
    </cfRule>
    <cfRule type="cellIs" dxfId="155" priority="226" operator="equal">
      <formula>0</formula>
    </cfRule>
  </conditionalFormatting>
  <conditionalFormatting sqref="X44">
    <cfRule type="expression" dxfId="154" priority="223">
      <formula>X44*100&lt;C44</formula>
    </cfRule>
    <cfRule type="cellIs" dxfId="153" priority="224" operator="equal">
      <formula>0</formula>
    </cfRule>
  </conditionalFormatting>
  <conditionalFormatting sqref="W45:W46">
    <cfRule type="cellIs" dxfId="152" priority="222" operator="equal">
      <formula>0</formula>
    </cfRule>
  </conditionalFormatting>
  <conditionalFormatting sqref="W46">
    <cfRule type="cellIs" dxfId="151" priority="220" operator="equal">
      <formula>"STOP"</formula>
    </cfRule>
    <cfRule type="cellIs" dxfId="150" priority="221" operator="equal">
      <formula>"TRAILING"</formula>
    </cfRule>
  </conditionalFormatting>
  <conditionalFormatting sqref="W45">
    <cfRule type="cellIs" dxfId="149" priority="218" operator="equal">
      <formula>"STOP"</formula>
    </cfRule>
    <cfRule type="cellIs" dxfId="148" priority="219" operator="equal">
      <formula>"TRAILING"</formula>
    </cfRule>
  </conditionalFormatting>
  <conditionalFormatting sqref="W46">
    <cfRule type="cellIs" dxfId="147" priority="216" operator="equal">
      <formula>"STOP"</formula>
    </cfRule>
    <cfRule type="cellIs" dxfId="146" priority="217" operator="equal">
      <formula>"TRAILING"</formula>
    </cfRule>
  </conditionalFormatting>
  <conditionalFormatting sqref="W45">
    <cfRule type="cellIs" dxfId="145" priority="214" operator="equal">
      <formula>"STOP"</formula>
    </cfRule>
    <cfRule type="cellIs" dxfId="144" priority="215" operator="equal">
      <formula>"TRAILING"</formula>
    </cfRule>
  </conditionalFormatting>
  <conditionalFormatting sqref="W47:W48">
    <cfRule type="cellIs" dxfId="143" priority="213" operator="equal">
      <formula>0</formula>
    </cfRule>
  </conditionalFormatting>
  <conditionalFormatting sqref="W48">
    <cfRule type="cellIs" dxfId="142" priority="211" operator="equal">
      <formula>"STOP"</formula>
    </cfRule>
    <cfRule type="cellIs" dxfId="141" priority="212" operator="equal">
      <formula>"TRAILING"</formula>
    </cfRule>
  </conditionalFormatting>
  <conditionalFormatting sqref="W47">
    <cfRule type="cellIs" dxfId="140" priority="209" operator="equal">
      <formula>"STOP"</formula>
    </cfRule>
    <cfRule type="cellIs" dxfId="139" priority="210" operator="equal">
      <formula>"TRAILING"</formula>
    </cfRule>
  </conditionalFormatting>
  <conditionalFormatting sqref="W48">
    <cfRule type="cellIs" dxfId="138" priority="207" operator="equal">
      <formula>"STOP"</formula>
    </cfRule>
    <cfRule type="cellIs" dxfId="137" priority="208" operator="equal">
      <formula>"TRAILING"</formula>
    </cfRule>
  </conditionalFormatting>
  <conditionalFormatting sqref="W47">
    <cfRule type="cellIs" dxfId="136" priority="205" operator="equal">
      <formula>"STOP"</formula>
    </cfRule>
    <cfRule type="cellIs" dxfId="135" priority="206" operator="equal">
      <formula>"TRAILING"</formula>
    </cfRule>
  </conditionalFormatting>
  <conditionalFormatting sqref="W49:W50">
    <cfRule type="cellIs" dxfId="134" priority="204" operator="equal">
      <formula>0</formula>
    </cfRule>
  </conditionalFormatting>
  <conditionalFormatting sqref="W50">
    <cfRule type="cellIs" dxfId="133" priority="202" operator="equal">
      <formula>"STOP"</formula>
    </cfRule>
    <cfRule type="cellIs" dxfId="132" priority="203" operator="equal">
      <formula>"TRAILING"</formula>
    </cfRule>
  </conditionalFormatting>
  <conditionalFormatting sqref="W49">
    <cfRule type="cellIs" dxfId="131" priority="200" operator="equal">
      <formula>"STOP"</formula>
    </cfRule>
    <cfRule type="cellIs" dxfId="130" priority="201" operator="equal">
      <formula>"TRAILING"</formula>
    </cfRule>
  </conditionalFormatting>
  <conditionalFormatting sqref="W50">
    <cfRule type="cellIs" dxfId="129" priority="198" operator="equal">
      <formula>"STOP"</formula>
    </cfRule>
    <cfRule type="cellIs" dxfId="128" priority="199" operator="equal">
      <formula>"TRAILING"</formula>
    </cfRule>
  </conditionalFormatting>
  <conditionalFormatting sqref="W49">
    <cfRule type="cellIs" dxfId="127" priority="196" operator="equal">
      <formula>"STOP"</formula>
    </cfRule>
    <cfRule type="cellIs" dxfId="126" priority="197" operator="equal">
      <formula>"TRAILING"</formula>
    </cfRule>
  </conditionalFormatting>
  <conditionalFormatting sqref="W51:W52">
    <cfRule type="cellIs" dxfId="125" priority="195" operator="equal">
      <formula>0</formula>
    </cfRule>
  </conditionalFormatting>
  <conditionalFormatting sqref="W52">
    <cfRule type="cellIs" dxfId="124" priority="193" operator="equal">
      <formula>"STOP"</formula>
    </cfRule>
    <cfRule type="cellIs" dxfId="123" priority="194" operator="equal">
      <formula>"TRAILING"</formula>
    </cfRule>
  </conditionalFormatting>
  <conditionalFormatting sqref="W51">
    <cfRule type="cellIs" dxfId="122" priority="191" operator="equal">
      <formula>"STOP"</formula>
    </cfRule>
    <cfRule type="cellIs" dxfId="121" priority="192" operator="equal">
      <formula>"TRAILING"</formula>
    </cfRule>
  </conditionalFormatting>
  <conditionalFormatting sqref="W52">
    <cfRule type="cellIs" dxfId="120" priority="189" operator="equal">
      <formula>"STOP"</formula>
    </cfRule>
    <cfRule type="cellIs" dxfId="119" priority="190" operator="equal">
      <formula>"TRAILING"</formula>
    </cfRule>
  </conditionalFormatting>
  <conditionalFormatting sqref="W51">
    <cfRule type="cellIs" dxfId="118" priority="187" operator="equal">
      <formula>"STOP"</formula>
    </cfRule>
    <cfRule type="cellIs" dxfId="117" priority="188" operator="equal">
      <formula>"TRAILING"</formula>
    </cfRule>
  </conditionalFormatting>
  <conditionalFormatting sqref="W53:W54">
    <cfRule type="cellIs" dxfId="116" priority="186" operator="equal">
      <formula>0</formula>
    </cfRule>
  </conditionalFormatting>
  <conditionalFormatting sqref="W54">
    <cfRule type="cellIs" dxfId="115" priority="184" operator="equal">
      <formula>"STOP"</formula>
    </cfRule>
    <cfRule type="cellIs" dxfId="114" priority="185" operator="equal">
      <formula>"TRAILING"</formula>
    </cfRule>
  </conditionalFormatting>
  <conditionalFormatting sqref="W53">
    <cfRule type="cellIs" dxfId="113" priority="182" operator="equal">
      <formula>"STOP"</formula>
    </cfRule>
    <cfRule type="cellIs" dxfId="112" priority="183" operator="equal">
      <formula>"TRAILING"</formula>
    </cfRule>
  </conditionalFormatting>
  <conditionalFormatting sqref="W54">
    <cfRule type="cellIs" dxfId="111" priority="180" operator="equal">
      <formula>"STOP"</formula>
    </cfRule>
    <cfRule type="cellIs" dxfId="110" priority="181" operator="equal">
      <formula>"TRAILING"</formula>
    </cfRule>
  </conditionalFormatting>
  <conditionalFormatting sqref="W53">
    <cfRule type="cellIs" dxfId="109" priority="178" operator="equal">
      <formula>"STOP"</formula>
    </cfRule>
    <cfRule type="cellIs" dxfId="108" priority="179" operator="equal">
      <formula>"TRAILING"</formula>
    </cfRule>
  </conditionalFormatting>
  <conditionalFormatting sqref="W55:W56">
    <cfRule type="cellIs" dxfId="107" priority="177" operator="equal">
      <formula>0</formula>
    </cfRule>
  </conditionalFormatting>
  <conditionalFormatting sqref="W56">
    <cfRule type="cellIs" dxfId="106" priority="175" operator="equal">
      <formula>"STOP"</formula>
    </cfRule>
    <cfRule type="cellIs" dxfId="105" priority="176" operator="equal">
      <formula>"TRAILING"</formula>
    </cfRule>
  </conditionalFormatting>
  <conditionalFormatting sqref="W55">
    <cfRule type="cellIs" dxfId="104" priority="173" operator="equal">
      <formula>"STOP"</formula>
    </cfRule>
    <cfRule type="cellIs" dxfId="103" priority="174" operator="equal">
      <formula>"TRAILING"</formula>
    </cfRule>
  </conditionalFormatting>
  <conditionalFormatting sqref="W56">
    <cfRule type="cellIs" dxfId="102" priority="171" operator="equal">
      <formula>"STOP"</formula>
    </cfRule>
    <cfRule type="cellIs" dxfId="101" priority="172" operator="equal">
      <formula>"TRAILING"</formula>
    </cfRule>
  </conditionalFormatting>
  <conditionalFormatting sqref="W55">
    <cfRule type="cellIs" dxfId="100" priority="169" operator="equal">
      <formula>"STOP"</formula>
    </cfRule>
    <cfRule type="cellIs" dxfId="99" priority="170" operator="equal">
      <formula>"TRAILING"</formula>
    </cfRule>
  </conditionalFormatting>
  <conditionalFormatting sqref="W57:W58">
    <cfRule type="cellIs" dxfId="98" priority="168" operator="equal">
      <formula>0</formula>
    </cfRule>
  </conditionalFormatting>
  <conditionalFormatting sqref="W58">
    <cfRule type="cellIs" dxfId="97" priority="166" operator="equal">
      <formula>"STOP"</formula>
    </cfRule>
    <cfRule type="cellIs" dxfId="96" priority="167" operator="equal">
      <formula>"TRAILING"</formula>
    </cfRule>
  </conditionalFormatting>
  <conditionalFormatting sqref="W57">
    <cfRule type="cellIs" dxfId="95" priority="164" operator="equal">
      <formula>"STOP"</formula>
    </cfRule>
    <cfRule type="cellIs" dxfId="94" priority="165" operator="equal">
      <formula>"TRAILING"</formula>
    </cfRule>
  </conditionalFormatting>
  <conditionalFormatting sqref="W58">
    <cfRule type="cellIs" dxfId="93" priority="162" operator="equal">
      <formula>"STOP"</formula>
    </cfRule>
    <cfRule type="cellIs" dxfId="92" priority="163" operator="equal">
      <formula>"TRAILING"</formula>
    </cfRule>
  </conditionalFormatting>
  <conditionalFormatting sqref="W57">
    <cfRule type="cellIs" dxfId="91" priority="160" operator="equal">
      <formula>"STOP"</formula>
    </cfRule>
    <cfRule type="cellIs" dxfId="90" priority="161" operator="equal">
      <formula>"TRAILING"</formula>
    </cfRule>
  </conditionalFormatting>
  <conditionalFormatting sqref="W59">
    <cfRule type="cellIs" dxfId="89" priority="159" operator="equal">
      <formula>0</formula>
    </cfRule>
  </conditionalFormatting>
  <conditionalFormatting sqref="W59">
    <cfRule type="cellIs" dxfId="88" priority="157" operator="equal">
      <formula>"STOP"</formula>
    </cfRule>
    <cfRule type="cellIs" dxfId="87" priority="158" operator="equal">
      <formula>"TRAILING"</formula>
    </cfRule>
  </conditionalFormatting>
  <conditionalFormatting sqref="W59">
    <cfRule type="cellIs" dxfId="86" priority="155" operator="equal">
      <formula>"STOP"</formula>
    </cfRule>
    <cfRule type="cellIs" dxfId="85" priority="156" operator="equal">
      <formula>"TRAILING"</formula>
    </cfRule>
  </conditionalFormatting>
  <conditionalFormatting sqref="X45">
    <cfRule type="expression" dxfId="84" priority="153">
      <formula>X45*100&lt;C45</formula>
    </cfRule>
    <cfRule type="cellIs" dxfId="83" priority="154" operator="equal">
      <formula>0</formula>
    </cfRule>
  </conditionalFormatting>
  <conditionalFormatting sqref="X46">
    <cfRule type="expression" dxfId="82" priority="151">
      <formula>X46*100&lt;C46</formula>
    </cfRule>
    <cfRule type="cellIs" dxfId="81" priority="152" operator="equal">
      <formula>0</formula>
    </cfRule>
  </conditionalFormatting>
  <conditionalFormatting sqref="X47">
    <cfRule type="expression" dxfId="80" priority="149">
      <formula>X47*100&lt;C47</formula>
    </cfRule>
    <cfRule type="cellIs" dxfId="79" priority="150" operator="equal">
      <formula>0</formula>
    </cfRule>
  </conditionalFormatting>
  <conditionalFormatting sqref="X48">
    <cfRule type="expression" dxfId="78" priority="147">
      <formula>X48*100&lt;C48</formula>
    </cfRule>
    <cfRule type="cellIs" dxfId="77" priority="148" operator="equal">
      <formula>0</formula>
    </cfRule>
  </conditionalFormatting>
  <conditionalFormatting sqref="X49">
    <cfRule type="expression" dxfId="76" priority="145">
      <formula>X49*100&lt;C49</formula>
    </cfRule>
    <cfRule type="cellIs" dxfId="75" priority="146" operator="equal">
      <formula>0</formula>
    </cfRule>
  </conditionalFormatting>
  <conditionalFormatting sqref="X50">
    <cfRule type="expression" dxfId="74" priority="143">
      <formula>X50*100&lt;C50</formula>
    </cfRule>
    <cfRule type="cellIs" dxfId="73" priority="144" operator="equal">
      <formula>0</formula>
    </cfRule>
  </conditionalFormatting>
  <conditionalFormatting sqref="X51">
    <cfRule type="expression" dxfId="72" priority="141">
      <formula>X51*100&lt;C51</formula>
    </cfRule>
    <cfRule type="cellIs" dxfId="71" priority="142" operator="equal">
      <formula>0</formula>
    </cfRule>
  </conditionalFormatting>
  <conditionalFormatting sqref="X52">
    <cfRule type="expression" dxfId="70" priority="139">
      <formula>X52*100&lt;C52</formula>
    </cfRule>
    <cfRule type="cellIs" dxfId="69" priority="140" operator="equal">
      <formula>0</formula>
    </cfRule>
  </conditionalFormatting>
  <conditionalFormatting sqref="X53">
    <cfRule type="expression" dxfId="68" priority="137">
      <formula>X53*100&lt;C53</formula>
    </cfRule>
    <cfRule type="cellIs" dxfId="67" priority="138" operator="equal">
      <formula>0</formula>
    </cfRule>
  </conditionalFormatting>
  <conditionalFormatting sqref="X54">
    <cfRule type="expression" dxfId="66" priority="135">
      <formula>X54*100&lt;C54</formula>
    </cfRule>
    <cfRule type="cellIs" dxfId="65" priority="136" operator="equal">
      <formula>0</formula>
    </cfRule>
  </conditionalFormatting>
  <conditionalFormatting sqref="X55">
    <cfRule type="expression" dxfId="64" priority="133">
      <formula>X55*100&lt;C55</formula>
    </cfRule>
    <cfRule type="cellIs" dxfId="63" priority="134" operator="equal">
      <formula>0</formula>
    </cfRule>
  </conditionalFormatting>
  <conditionalFormatting sqref="X56">
    <cfRule type="expression" dxfId="62" priority="131">
      <formula>X56*100&lt;C56</formula>
    </cfRule>
    <cfRule type="cellIs" dxfId="61" priority="132" operator="equal">
      <formula>0</formula>
    </cfRule>
  </conditionalFormatting>
  <conditionalFormatting sqref="X57">
    <cfRule type="expression" dxfId="60" priority="129">
      <formula>X57*100&lt;C57</formula>
    </cfRule>
    <cfRule type="cellIs" dxfId="59" priority="130" operator="equal">
      <formula>0</formula>
    </cfRule>
  </conditionalFormatting>
  <conditionalFormatting sqref="X58">
    <cfRule type="expression" dxfId="58" priority="127">
      <formula>X58*100&lt;C58</formula>
    </cfRule>
    <cfRule type="cellIs" dxfId="57" priority="128" operator="equal">
      <formula>0</formula>
    </cfRule>
  </conditionalFormatting>
  <conditionalFormatting sqref="X59">
    <cfRule type="expression" dxfId="56" priority="125">
      <formula>X59*100&lt;C59</formula>
    </cfRule>
    <cfRule type="cellIs" dxfId="55" priority="126" operator="equal">
      <formula>0</formula>
    </cfRule>
  </conditionalFormatting>
  <conditionalFormatting sqref="Y72 Y78 Y84 Y90 Y96 Y102 Y108 Y114 Y120 Y126 Y132 Y138 Y144 Y150 Y156 Y162 Y168 Y74 Y80 Y86 Y92 Y98 Y104 Y110 Y116 Y122 Y128 Y134 Y140 Y146 Y152 Y158 Y164 Y170">
    <cfRule type="cellIs" dxfId="54" priority="105" operator="lessThanOrEqual">
      <formula>0</formula>
    </cfRule>
  </conditionalFormatting>
  <conditionalFormatting sqref="Y71 Y77 Y83 Y89 Y95 Y101 Y107 Y113 Y119 Y125 Y131 Y137 Y143 Y149 Y155 Y161 Y167">
    <cfRule type="cellIs" dxfId="53" priority="103" operator="equal">
      <formula>0</formula>
    </cfRule>
  </conditionalFormatting>
  <conditionalFormatting sqref="Y73 Y79 Y85 Y91 Y97 Y103 Y109 Y115 Y121 Y127 Y133 Y139 Y145 Y151 Y157 Y163 Y169">
    <cfRule type="cellIs" dxfId="52" priority="102" operator="equal">
      <formula>0</formula>
    </cfRule>
  </conditionalFormatting>
  <conditionalFormatting sqref="Y75 Y81 Y87 Y93 Y99 Y105 Y111 Y117 Y123 Y129 Y135 Y141 Y147 Y153 Y159 Y165 Y171">
    <cfRule type="cellIs" dxfId="51" priority="101" operator="equal">
      <formula>0</formula>
    </cfRule>
  </conditionalFormatting>
  <conditionalFormatting sqref="Y70 Y76 Y82 Y88 Y94 Y100 Y106 Y112 Y118 Y124 Y130 Y136 Y142 Y148 Y154 Y160 Y166">
    <cfRule type="expression" dxfId="50" priority="100">
      <formula>(C71)-(D70)&gt;(C71/100)*(1+$AD$1*$AE$1)</formula>
    </cfRule>
    <cfRule type="cellIs" dxfId="49" priority="104" operator="lessThanOrEqual">
      <formula>0</formula>
    </cfRule>
  </conditionalFormatting>
  <conditionalFormatting sqref="Y64">
    <cfRule type="expression" dxfId="48" priority="94">
      <formula>(C65)-(D64)&gt;(C65/100)*(1+$AD$1*$AE$1)</formula>
    </cfRule>
    <cfRule type="cellIs" dxfId="47" priority="96" operator="lessThanOrEqual">
      <formula>0</formula>
    </cfRule>
  </conditionalFormatting>
  <conditionalFormatting sqref="Y65">
    <cfRule type="cellIs" dxfId="46" priority="95" operator="equal">
      <formula>0</formula>
    </cfRule>
  </conditionalFormatting>
  <conditionalFormatting sqref="Y60">
    <cfRule type="expression" dxfId="45" priority="91">
      <formula>(C61)-(D60)&gt;(C61/100)*(1+$AD$1*$AE$1)</formula>
    </cfRule>
    <cfRule type="cellIs" dxfId="44" priority="93" operator="lessThanOrEqual">
      <formula>0</formula>
    </cfRule>
  </conditionalFormatting>
  <conditionalFormatting sqref="Y61">
    <cfRule type="cellIs" dxfId="43" priority="92" operator="equal">
      <formula>0</formula>
    </cfRule>
  </conditionalFormatting>
  <conditionalFormatting sqref="A14 A18">
    <cfRule type="expression" dxfId="42" priority="61">
      <formula>IF($Y17&gt;$Y14,AND(MID($A14,5,1)=" "))</formula>
    </cfRule>
    <cfRule type="expression" dxfId="41" priority="62">
      <formula>IF($Y17&gt;$Y14,AND(MID($A14,5,1)="C"))</formula>
    </cfRule>
    <cfRule type="expression" dxfId="40" priority="63">
      <formula>IF($Y17&gt;$Y14,AND(MID($A14,5,1)="D"))</formula>
    </cfRule>
  </conditionalFormatting>
  <conditionalFormatting sqref="A17 A21">
    <cfRule type="expression" dxfId="39" priority="64">
      <formula>$V33&lt;&gt;0</formula>
    </cfRule>
    <cfRule type="expression" dxfId="38" priority="65">
      <formula>IF($Y17&gt;$Y14,AND(MID($A17,5,1)=" "))</formula>
    </cfRule>
    <cfRule type="expression" dxfId="37" priority="66">
      <formula>IF($Y17&gt;$Y14,AND(MID($A17,5,1)="C"))</formula>
    </cfRule>
    <cfRule type="expression" dxfId="36" priority="67">
      <formula>IF($Y17&gt;$Y14,AND(MID($A17,5,1)="D"))</formula>
    </cfRule>
  </conditionalFormatting>
  <conditionalFormatting sqref="A15 A19">
    <cfRule type="expression" dxfId="35" priority="68">
      <formula>$V31&lt;&gt;0</formula>
    </cfRule>
    <cfRule type="expression" dxfId="34" priority="69">
      <formula>IF($Y17&gt;$Y14,AND(MID($A15,5,1)=" "))</formula>
    </cfRule>
    <cfRule type="expression" dxfId="33" priority="70">
      <formula>IF($Y17&gt;$Y14,AND(MID($A15,5,1)="C"))</formula>
    </cfRule>
    <cfRule type="expression" dxfId="32" priority="71">
      <formula>IF($Y17&gt;$Y14,AND(MID($A15,5,1)="D"))</formula>
    </cfRule>
  </conditionalFormatting>
  <conditionalFormatting sqref="A16 A20">
    <cfRule type="expression" dxfId="31" priority="72">
      <formula>$V32&lt;&gt;0</formula>
    </cfRule>
    <cfRule type="expression" dxfId="30" priority="73">
      <formula>IF($Y17&gt;$Y14,AND(MID($A16,5,1)=" "))</formula>
    </cfRule>
    <cfRule type="expression" dxfId="29" priority="74">
      <formula>IF($Y17&gt;$Y14,AND(MID($A16,5,1)="C"))</formula>
    </cfRule>
    <cfRule type="expression" dxfId="28" priority="75">
      <formula>IF($Y17&gt;$Y14,AND(MID($A16,5,1)="D"))</formula>
    </cfRule>
  </conditionalFormatting>
  <conditionalFormatting sqref="D27">
    <cfRule type="expression" dxfId="27" priority="37">
      <formula>E27&gt;B27</formula>
    </cfRule>
  </conditionalFormatting>
  <conditionalFormatting sqref="E27">
    <cfRule type="cellIs" dxfId="26" priority="32" operator="greaterThan">
      <formula>B27</formula>
    </cfRule>
  </conditionalFormatting>
  <conditionalFormatting sqref="A26:A27">
    <cfRule type="expression" dxfId="25" priority="29">
      <formula>V26&lt;&gt;0</formula>
    </cfRule>
  </conditionalFormatting>
  <conditionalFormatting sqref="A28:A29">
    <cfRule type="expression" dxfId="24" priority="28">
      <formula>V28&lt;&gt;0</formula>
    </cfRule>
  </conditionalFormatting>
  <conditionalFormatting sqref="B28:B29">
    <cfRule type="cellIs" dxfId="23" priority="25" operator="greaterThan">
      <formula>E28</formula>
    </cfRule>
  </conditionalFormatting>
  <conditionalFormatting sqref="E28">
    <cfRule type="cellIs" dxfId="22" priority="24" operator="greaterThan">
      <formula>B28</formula>
    </cfRule>
  </conditionalFormatting>
  <conditionalFormatting sqref="D28">
    <cfRule type="expression" dxfId="21" priority="23">
      <formula>E28&gt;B28</formula>
    </cfRule>
  </conditionalFormatting>
  <conditionalFormatting sqref="C28">
    <cfRule type="expression" dxfId="20" priority="22">
      <formula>B28&gt;E28</formula>
    </cfRule>
  </conditionalFormatting>
  <conditionalFormatting sqref="D29">
    <cfRule type="expression" dxfId="19" priority="21">
      <formula>E29&gt;B29</formula>
    </cfRule>
  </conditionalFormatting>
  <conditionalFormatting sqref="E29">
    <cfRule type="cellIs" dxfId="18" priority="20" operator="greaterThan">
      <formula>B29</formula>
    </cfRule>
  </conditionalFormatting>
  <conditionalFormatting sqref="B22:B23">
    <cfRule type="cellIs" dxfId="17" priority="19" operator="greaterThan">
      <formula>E22</formula>
    </cfRule>
  </conditionalFormatting>
  <conditionalFormatting sqref="E22">
    <cfRule type="cellIs" dxfId="16" priority="18" operator="greaterThan">
      <formula>B22</formula>
    </cfRule>
  </conditionalFormatting>
  <conditionalFormatting sqref="D22">
    <cfRule type="expression" dxfId="15" priority="17">
      <formula>E22&gt;B22</formula>
    </cfRule>
  </conditionalFormatting>
  <conditionalFormatting sqref="C22">
    <cfRule type="expression" dxfId="14" priority="16">
      <formula>B22&gt;E22</formula>
    </cfRule>
  </conditionalFormatting>
  <conditionalFormatting sqref="D23">
    <cfRule type="expression" dxfId="13" priority="15">
      <formula>E23&gt;B23</formula>
    </cfRule>
  </conditionalFormatting>
  <conditionalFormatting sqref="E23">
    <cfRule type="cellIs" dxfId="12" priority="14" operator="greaterThan">
      <formula>B23</formula>
    </cfRule>
  </conditionalFormatting>
  <conditionalFormatting sqref="A22:A23">
    <cfRule type="expression" dxfId="11" priority="13">
      <formula>V22&lt;&gt;0</formula>
    </cfRule>
  </conditionalFormatting>
  <conditionalFormatting sqref="A24:A25">
    <cfRule type="expression" dxfId="10" priority="12">
      <formula>V24&lt;&gt;0</formula>
    </cfRule>
  </conditionalFormatting>
  <conditionalFormatting sqref="B24:B25">
    <cfRule type="cellIs" dxfId="9" priority="11" operator="greaterThan">
      <formula>E24</formula>
    </cfRule>
  </conditionalFormatting>
  <conditionalFormatting sqref="E24">
    <cfRule type="cellIs" dxfId="8" priority="10" operator="greaterThan">
      <formula>B24</formula>
    </cfRule>
  </conditionalFormatting>
  <conditionalFormatting sqref="D24">
    <cfRule type="expression" dxfId="7" priority="9">
      <formula>E24&gt;B24</formula>
    </cfRule>
  </conditionalFormatting>
  <conditionalFormatting sqref="C24">
    <cfRule type="expression" dxfId="6" priority="8">
      <formula>B24&gt;E24</formula>
    </cfRule>
  </conditionalFormatting>
  <conditionalFormatting sqref="D25">
    <cfRule type="expression" dxfId="5" priority="7">
      <formula>E25&gt;B25</formula>
    </cfRule>
  </conditionalFormatting>
  <conditionalFormatting sqref="E25">
    <cfRule type="cellIs" dxfId="4" priority="6" operator="greaterThan">
      <formula>B25</formula>
    </cfRule>
  </conditionalFormatting>
  <conditionalFormatting sqref="U1">
    <cfRule type="cellIs" dxfId="2" priority="5" operator="notEqual">
      <formula>0</formula>
    </cfRule>
  </conditionalFormatting>
  <conditionalFormatting sqref="V1">
    <cfRule type="cellIs" dxfId="3" priority="4" operator="notEqual">
      <formula>0</formula>
    </cfRule>
  </conditionalFormatting>
  <conditionalFormatting sqref="R1">
    <cfRule type="cellIs" dxfId="0" priority="1" operator="equal">
      <formula>"AUT"</formula>
    </cfRule>
    <cfRule type="cellIs" dxfId="1" priority="2" operator="equal">
      <formula>"TRA"</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4.0999999999999996</v>
      </c>
      <c r="H3" s="565">
        <f>IFERROR(+G3*B3*-100,0)</f>
        <v>-2050</v>
      </c>
      <c r="I3" s="566">
        <f t="shared" ref="I3:I72" si="3">+IF(G3="",0,(F3-H3))</f>
        <v>-345.69100000000026</v>
      </c>
      <c r="J3" s="62"/>
      <c r="K3" s="106"/>
      <c r="L3" s="216">
        <f t="shared" ref="L3:L17" si="4">+L4*(1-$N$42)</f>
        <v>1174.443268454974</v>
      </c>
      <c r="M3" s="588">
        <f t="shared" ref="M3:M34" si="5">ET3</f>
        <v>-2395.69</v>
      </c>
      <c r="N3" s="588">
        <f t="shared" ref="N3:N34" ca="1" si="6">GK3</f>
        <v>-2395.69</v>
      </c>
      <c r="O3" s="62"/>
      <c r="P3" s="199">
        <f>IF(R3="","-",ABS(R3-$L$18))</f>
        <v>135</v>
      </c>
      <c r="Q3" s="557">
        <f t="shared" ref="Q3:Q17" si="7">SUMIFS(B$3:B$37,C$3:C$37,R3)</f>
        <v>0</v>
      </c>
      <c r="R3" s="556">
        <v>2400</v>
      </c>
      <c r="S3" s="550">
        <f ca="1">IFERROR((NORMSDIST(((LN($L$18/$R3)+($N$48+($N$46^2)/2)*$N$51)/($N$46*SQRT($N$51))))*$L$18-NORMSDIST((((LN($L$18/$R3)+($N$48+($N$46^2)/2)*$N$51)/($N$46*SQRT($N$51)))-$N$46*SQRT(($N$51))))*$R3*EXP(-$N$48*$N$51)),0)</f>
        <v>346.78941301376676</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6</v>
      </c>
      <c r="W3" s="553">
        <f>IFERROR(VLOOKUP($U3,HomeBroker!$A$18:$F$121,3,0),0)</f>
        <v>316</v>
      </c>
      <c r="X3" s="602">
        <f>IFERROR(VLOOKUP($U3,HomeBroker!$A$18:$F$121,6,0),0)</f>
        <v>320</v>
      </c>
      <c r="Y3" s="552">
        <f>IFERROR(VLOOKUP($U3,HomeBroker!$A$18:$F$121,4,0),0)</f>
        <v>333</v>
      </c>
      <c r="Z3" s="394">
        <f>IFERROR(VLOOKUP($U3,HomeBroker!$A$18:$F$121,5,0),0)</f>
        <v>1</v>
      </c>
      <c r="AA3" s="397">
        <f>IFERROR(VLOOKUP($U3,HomeBroker!$A$18:$N$121,13,0),0)</f>
        <v>384</v>
      </c>
      <c r="AB3" s="200">
        <f>IF(AD3="","-",AD3-$L$18)</f>
        <v>-1185</v>
      </c>
      <c r="AC3" s="558">
        <f t="shared" ref="AC3:AC17" si="9">SUMIFS(B$38:B$72,C$38:C$72,AD3)</f>
        <v>0</v>
      </c>
      <c r="AD3" s="556">
        <v>1350</v>
      </c>
      <c r="AE3" s="551">
        <f ca="1">IFERROR((NORMSDIST(-(((LN($L$18/$AD3)+($N$48+($N$47^2)/2)*$N$51)/($N$47*SQRT($N$51)))-$N$47*SQRT($N$51)))*$AD3*EXP(-$N$48*$N$51)-NORMSDIST(-((LN($L$18/$AD3)+($N$48+($N$47^2)/2)*$N$51)/($N$47*SQRT($N$51))))*$L$18),0)</f>
        <v>5.7539969938385394E-2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300</v>
      </c>
      <c r="AI3" s="553">
        <f>IFERROR(VLOOKUP($AG3,HomeBroker!$A$18:$F$121,3,0),0)</f>
        <v>0.31</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1174.443268454974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1174.443268454974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1236.2560720578674</v>
      </c>
      <c r="M4" s="589">
        <f t="shared" si="5"/>
        <v>-2395.69</v>
      </c>
      <c r="N4" s="589">
        <f t="shared" ca="1" si="6"/>
        <v>-2395.69</v>
      </c>
      <c r="O4" s="62"/>
      <c r="P4" s="199">
        <f t="shared" ref="P4:P17" si="59">IF(R4="","-",ABS(R4-$L$18))</f>
        <v>35</v>
      </c>
      <c r="Q4" s="557">
        <f t="shared" si="7"/>
        <v>0</v>
      </c>
      <c r="R4" s="556">
        <v>2500</v>
      </c>
      <c r="S4" s="550">
        <f t="shared" ref="S4:S42" ca="1" si="60">IFERROR((NORMSDIST(((LN($L$18/$R4)+($N$48+($N$46^2)/2)*$N$51)/($N$46*SQRT($N$51))))*$L$18-NORMSDIST((((LN($L$18/$R4)+($N$48+($N$46^2)/2)*$N$51)/($N$46*SQRT($N$51)))-$N$46*SQRT(($N$51))))*$R4*EXP(-$N$48*$N$51)),0)</f>
        <v>282.5655798931582</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v>
      </c>
      <c r="W4" s="553">
        <f>IFERROR(VLOOKUP($U4,HomeBroker!$A$18:$F$121,3,0),0)</f>
        <v>251.001</v>
      </c>
      <c r="X4" s="602">
        <f>IFERROR(VLOOKUP($U4,HomeBroker!$A$18:$F$121,6,0),0)</f>
        <v>262</v>
      </c>
      <c r="Y4" s="552">
        <f>IFERROR(VLOOKUP($U4,HomeBroker!$A$18:$F$121,4,0),0)</f>
        <v>260</v>
      </c>
      <c r="Z4" s="394">
        <f>IFERROR(VLOOKUP($U4,HomeBroker!$A$18:$F$121,5,0),0)</f>
        <v>13</v>
      </c>
      <c r="AA4" s="397">
        <f>IFERROR(VLOOKUP($U4,HomeBroker!$A$18:$N$121,13,0),0)</f>
        <v>2886</v>
      </c>
      <c r="AB4" s="200">
        <f t="shared" ref="AB4:AB17" si="63">IF(AD4="","-",AD4-$L$18)</f>
        <v>-1085</v>
      </c>
      <c r="AC4" s="558">
        <f t="shared" si="9"/>
        <v>0</v>
      </c>
      <c r="AD4" s="556">
        <v>1450</v>
      </c>
      <c r="AE4" s="551">
        <f t="shared" ref="AE4:AE42" ca="1" si="64">IFERROR((NORMSDIST(-(((LN($L$18/$AD4)+($N$48+($N$47^2)/2)*$N$51)/($N$47*SQRT($N$51)))-$N$47*SQRT($N$51)))*$AD4*EXP(-$N$48*$N$51)-NORMSDIST(-((LN($L$18/$AD4)+($N$48+($N$47^2)/2)*$N$51)/($N$47*SQRT($N$51))))*$L$18),0)</f>
        <v>0.199458685082881</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32</v>
      </c>
      <c r="AI4" s="553">
        <f>IFERROR(VLOOKUP($AG4,HomeBroker!$A$18:$F$121,3,0),0)</f>
        <v>0.59</v>
      </c>
      <c r="AJ4" s="602">
        <f>IFERROR(VLOOKUP($AG4,HomeBroker!$A$18:$F$121,6,0),0)</f>
        <v>0.59</v>
      </c>
      <c r="AK4" s="553">
        <f>IFERROR(VLOOKUP($AG4,HomeBroker!$A$18:$F$121,4,0),0)</f>
        <v>0.69</v>
      </c>
      <c r="AL4" s="501">
        <f>IFERROR(VLOOKUP($AG4,HomeBroker!$A$18:$F$121,5,0),0)</f>
        <v>29</v>
      </c>
      <c r="AM4" s="555">
        <f>IFERROR(VLOOKUP($AG4,HomeBroker!$A$18:$N$121,13,0),0)</f>
        <v>277</v>
      </c>
      <c r="AN4" s="62"/>
      <c r="AO4" s="199">
        <f t="shared" ref="AO4:AO42" si="67">IF(OR(R4="",X4=0,AJ4=0),"-",R4+X4-AJ4-$L$18)</f>
        <v>226.40999999999985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1236.2560720578674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1236.2560720578674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1301.3221811135447</v>
      </c>
      <c r="M5" s="589">
        <f t="shared" si="5"/>
        <v>-2395.69</v>
      </c>
      <c r="N5" s="589">
        <f t="shared" ca="1" si="6"/>
        <v>-2395.69</v>
      </c>
      <c r="O5" s="62"/>
      <c r="P5" s="199">
        <f t="shared" si="59"/>
        <v>65</v>
      </c>
      <c r="Q5" s="557">
        <f t="shared" si="7"/>
        <v>0</v>
      </c>
      <c r="R5" s="556">
        <v>2600</v>
      </c>
      <c r="S5" s="550">
        <f t="shared" ca="1" si="60"/>
        <v>226.3385668287558</v>
      </c>
      <c r="T5" s="396" t="str">
        <f t="shared" si="61"/>
        <v>MERV - XMEV - GFGC2600AB - 24hs</v>
      </c>
      <c r="U5" s="396" t="str">
        <f t="shared" si="62"/>
        <v>GFGC2600AB</v>
      </c>
      <c r="V5" s="394">
        <f>IFERROR(VLOOKUP($U5,HomeBroker!$A$18:$F$121,2,0),0)</f>
        <v>2</v>
      </c>
      <c r="W5" s="553">
        <f>IFERROR(VLOOKUP($U5,HomeBroker!$A$18:$F$121,3,0),0)</f>
        <v>192.28200000000001</v>
      </c>
      <c r="X5" s="602">
        <f>IFERROR(VLOOKUP($U5,HomeBroker!$A$18:$F$121,6,0),0)</f>
        <v>199.99</v>
      </c>
      <c r="Y5" s="552">
        <f>IFERROR(VLOOKUP($U5,HomeBroker!$A$18:$F$121,4,0),0)</f>
        <v>199.99</v>
      </c>
      <c r="Z5" s="394">
        <f>IFERROR(VLOOKUP($U5,HomeBroker!$A$18:$F$121,5,0),0)</f>
        <v>3</v>
      </c>
      <c r="AA5" s="397">
        <f>IFERROR(VLOOKUP($U5,HomeBroker!$A$18:$N$121,13,0),0)</f>
        <v>2316</v>
      </c>
      <c r="AB5" s="200">
        <f t="shared" si="63"/>
        <v>-895</v>
      </c>
      <c r="AC5" s="558">
        <f t="shared" si="9"/>
        <v>0</v>
      </c>
      <c r="AD5" s="556">
        <v>1640</v>
      </c>
      <c r="AE5" s="551">
        <f t="shared" ca="1" si="64"/>
        <v>1.3512570644561421</v>
      </c>
      <c r="AF5" s="396" t="str">
        <f t="shared" si="65"/>
        <v>MERV - XMEV - GFGV1640AB - 24hs</v>
      </c>
      <c r="AG5" s="396" t="str">
        <f t="shared" si="66"/>
        <v>GFGV1640AB</v>
      </c>
      <c r="AH5" s="501">
        <f>IFERROR(VLOOKUP($AG5,HomeBroker!$A$18:$F$121,2,0),0)</f>
        <v>5</v>
      </c>
      <c r="AI5" s="553">
        <f>IFERROR(VLOOKUP($AG5,HomeBroker!$A$18:$F$121,3,0),0)</f>
        <v>0.81</v>
      </c>
      <c r="AJ5" s="602">
        <f>IFERROR(VLOOKUP($AG5,HomeBroker!$A$18:$F$121,6,0),0)</f>
        <v>1</v>
      </c>
      <c r="AK5" s="553">
        <f>IFERROR(VLOOKUP($AG5,HomeBroker!$A$18:$F$121,4,0),0)</f>
        <v>1</v>
      </c>
      <c r="AL5" s="501">
        <f>IFERROR(VLOOKUP($AG5,HomeBroker!$A$18:$F$121,5,0),0)</f>
        <v>76</v>
      </c>
      <c r="AM5" s="555">
        <f>IFERROR(VLOOKUP($AG5,HomeBroker!$A$18:$N$121,13,0),0)</f>
        <v>543</v>
      </c>
      <c r="AN5" s="62"/>
      <c r="AO5" s="199">
        <f t="shared" si="67"/>
        <v>263.98999999999978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1301.3221811135447</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1301.3221811135447</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1369.812822224784</v>
      </c>
      <c r="M6" s="590">
        <f t="shared" si="5"/>
        <v>-2395.69</v>
      </c>
      <c r="N6" s="590">
        <f t="shared" ca="1" si="6"/>
        <v>-2395.69</v>
      </c>
      <c r="O6" s="62"/>
      <c r="P6" s="199">
        <f t="shared" si="59"/>
        <v>165</v>
      </c>
      <c r="Q6" s="557">
        <f t="shared" si="7"/>
        <v>0</v>
      </c>
      <c r="R6" s="556">
        <v>2700</v>
      </c>
      <c r="S6" s="550">
        <f t="shared" ca="1" si="60"/>
        <v>178.25859363339691</v>
      </c>
      <c r="T6" s="396" t="str">
        <f t="shared" si="61"/>
        <v>MERV - XMEV - GFGC2700AB - 24hs</v>
      </c>
      <c r="U6" s="396" t="str">
        <f t="shared" si="62"/>
        <v>GFGC2700AB</v>
      </c>
      <c r="V6" s="394">
        <f>IFERROR(VLOOKUP($U6,HomeBroker!$A$18:$F$121,2,0),0)</f>
        <v>1</v>
      </c>
      <c r="W6" s="553">
        <f>IFERROR(VLOOKUP($U6,HomeBroker!$A$18:$F$121,3,0),0)</f>
        <v>150.001</v>
      </c>
      <c r="X6" s="602">
        <f>IFERROR(VLOOKUP($U6,HomeBroker!$A$18:$F$121,6,0),0)</f>
        <v>148.001</v>
      </c>
      <c r="Y6" s="552">
        <f>IFERROR(VLOOKUP($U6,HomeBroker!$A$18:$F$121,4,0),0)</f>
        <v>154.999</v>
      </c>
      <c r="Z6" s="394">
        <f>IFERROR(VLOOKUP($U6,HomeBroker!$A$18:$F$121,5,0),0)</f>
        <v>1</v>
      </c>
      <c r="AA6" s="397">
        <f>IFERROR(VLOOKUP($U6,HomeBroker!$A$18:$N$121,13,0),0)</f>
        <v>4278</v>
      </c>
      <c r="AB6" s="200">
        <f t="shared" si="63"/>
        <v>-825</v>
      </c>
      <c r="AC6" s="558">
        <f t="shared" si="9"/>
        <v>0</v>
      </c>
      <c r="AD6" s="556">
        <v>1710</v>
      </c>
      <c r="AE6" s="551">
        <f t="shared" ca="1" si="64"/>
        <v>2.4257563833223266</v>
      </c>
      <c r="AF6" s="396" t="str">
        <f t="shared" si="65"/>
        <v>MERV - XMEV - GFGV1710AB - 24hs</v>
      </c>
      <c r="AG6" s="396" t="str">
        <f t="shared" si="66"/>
        <v>GFGV1710AB</v>
      </c>
      <c r="AH6" s="501">
        <f>IFERROR(VLOOKUP($AG6,HomeBroker!$A$18:$F$121,2,0),0)</f>
        <v>7</v>
      </c>
      <c r="AI6" s="553">
        <f>IFERROR(VLOOKUP($AG6,HomeBroker!$A$18:$F$121,3,0),0)</f>
        <v>1.1200000000000001</v>
      </c>
      <c r="AJ6" s="602">
        <f>IFERROR(VLOOKUP($AG6,HomeBroker!$A$18:$F$121,6,0),0)</f>
        <v>1.1200000000000001</v>
      </c>
      <c r="AK6" s="553">
        <f>IFERROR(VLOOKUP($AG6,HomeBroker!$A$18:$F$121,4,0),0)</f>
        <v>1.23</v>
      </c>
      <c r="AL6" s="501">
        <f>IFERROR(VLOOKUP($AG6,HomeBroker!$A$18:$F$121,5,0),0)</f>
        <v>4</v>
      </c>
      <c r="AM6" s="555">
        <f>IFERROR(VLOOKUP($AG6,HomeBroker!$A$18:$N$121,13,0),0)</f>
        <v>776</v>
      </c>
      <c r="AN6" s="62"/>
      <c r="AO6" s="199">
        <f t="shared" si="67"/>
        <v>311.88100000000031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1369.812822224784</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1369.812822224784</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1441.9082339208253</v>
      </c>
      <c r="M7" s="589">
        <f t="shared" si="5"/>
        <v>-2395.69</v>
      </c>
      <c r="N7" s="589">
        <f t="shared" ca="1" si="6"/>
        <v>-2395.69</v>
      </c>
      <c r="O7" s="62"/>
      <c r="P7" s="199">
        <f t="shared" si="59"/>
        <v>265</v>
      </c>
      <c r="Q7" s="557">
        <f t="shared" si="7"/>
        <v>0</v>
      </c>
      <c r="R7" s="556">
        <v>2800</v>
      </c>
      <c r="S7" s="550">
        <f t="shared" ca="1" si="60"/>
        <v>138.08692985767766</v>
      </c>
      <c r="T7" s="396" t="str">
        <f t="shared" si="61"/>
        <v>MERV - XMEV - GFGC2800AB - 24hs</v>
      </c>
      <c r="U7" s="396" t="str">
        <f t="shared" si="62"/>
        <v>GFGC2800AB</v>
      </c>
      <c r="V7" s="394">
        <f>IFERROR(VLOOKUP($U7,HomeBroker!$A$18:$F$121,2,0),0)</f>
        <v>1</v>
      </c>
      <c r="W7" s="553">
        <f>IFERROR(VLOOKUP($U7,HomeBroker!$A$18:$F$121,3,0),0)</f>
        <v>115.001</v>
      </c>
      <c r="X7" s="602">
        <f>IFERROR(VLOOKUP($U7,HomeBroker!$A$18:$F$121,6,0),0)</f>
        <v>116</v>
      </c>
      <c r="Y7" s="552">
        <f>IFERROR(VLOOKUP($U7,HomeBroker!$A$18:$F$121,4,0),0)</f>
        <v>119</v>
      </c>
      <c r="Z7" s="394">
        <f>IFERROR(VLOOKUP($U7,HomeBroker!$A$18:$F$121,5,0),0)</f>
        <v>1</v>
      </c>
      <c r="AA7" s="397">
        <f>IFERROR(VLOOKUP($U7,HomeBroker!$A$18:$N$121,13,0),0)</f>
        <v>2812</v>
      </c>
      <c r="AB7" s="200">
        <f t="shared" si="63"/>
        <v>-675</v>
      </c>
      <c r="AC7" s="558">
        <f t="shared" si="9"/>
        <v>0</v>
      </c>
      <c r="AD7" s="556">
        <v>1860</v>
      </c>
      <c r="AE7" s="551">
        <f t="shared" ca="1" si="64"/>
        <v>7.1523494740880267</v>
      </c>
      <c r="AF7" s="396" t="str">
        <f t="shared" si="65"/>
        <v>MERV - XMEV - GFGV1860AB - 24hs</v>
      </c>
      <c r="AG7" s="396" t="str">
        <f t="shared" si="66"/>
        <v>GFGV1860AB</v>
      </c>
      <c r="AH7" s="501">
        <f>IFERROR(VLOOKUP($AG7,HomeBroker!$A$18:$F$121,2,0),0)</f>
        <v>10</v>
      </c>
      <c r="AI7" s="553">
        <f>IFERROR(VLOOKUP($AG7,HomeBroker!$A$18:$F$121,3,0),0)</f>
        <v>1.5</v>
      </c>
      <c r="AJ7" s="602">
        <f>IFERROR(VLOOKUP($AG7,HomeBroker!$A$18:$F$121,6,0),0)</f>
        <v>2.4</v>
      </c>
      <c r="AK7" s="553">
        <f>IFERROR(VLOOKUP($AG7,HomeBroker!$A$18:$F$121,4,0),0)</f>
        <v>2.4</v>
      </c>
      <c r="AL7" s="501">
        <f>IFERROR(VLOOKUP($AG7,HomeBroker!$A$18:$F$121,5,0),0)</f>
        <v>62</v>
      </c>
      <c r="AM7" s="555">
        <f>IFERROR(VLOOKUP($AG7,HomeBroker!$A$18:$N$121,13,0),0)</f>
        <v>449</v>
      </c>
      <c r="AN7" s="62"/>
      <c r="AO7" s="199">
        <f t="shared" si="67"/>
        <v>378.59999999999991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1441.9082339208253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1441.9082339208253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1517.7981409692898</v>
      </c>
      <c r="M8" s="589">
        <f t="shared" si="5"/>
        <v>-2395.69</v>
      </c>
      <c r="N8" s="589">
        <f t="shared" ca="1" si="6"/>
        <v>-2395.69</v>
      </c>
      <c r="O8" s="62"/>
      <c r="P8" s="199">
        <f t="shared" si="59"/>
        <v>365</v>
      </c>
      <c r="Q8" s="557">
        <f t="shared" si="7"/>
        <v>0</v>
      </c>
      <c r="R8" s="556">
        <v>2900</v>
      </c>
      <c r="S8" s="550">
        <f t="shared" ca="1" si="60"/>
        <v>105.26725116189107</v>
      </c>
      <c r="T8" s="396" t="str">
        <f t="shared" si="61"/>
        <v>MERV - XMEV - GFGC2900AB - 24hs</v>
      </c>
      <c r="U8" s="396" t="str">
        <f t="shared" si="62"/>
        <v>GFGC2900AB</v>
      </c>
      <c r="V8" s="394">
        <f>IFERROR(VLOOKUP($U8,HomeBroker!$A$18:$F$121,2,0),0)</f>
        <v>2</v>
      </c>
      <c r="W8" s="553">
        <f>IFERROR(VLOOKUP($U8,HomeBroker!$A$18:$F$121,3,0),0)</f>
        <v>83.5</v>
      </c>
      <c r="X8" s="602">
        <f>IFERROR(VLOOKUP($U8,HomeBroker!$A$18:$F$121,6,0),0)</f>
        <v>87</v>
      </c>
      <c r="Y8" s="552">
        <f>IFERROR(VLOOKUP($U8,HomeBroker!$A$18:$F$121,4,0),0)</f>
        <v>90.998000000000005</v>
      </c>
      <c r="Z8" s="394">
        <f>IFERROR(VLOOKUP($U8,HomeBroker!$A$18:$F$121,5,0),0)</f>
        <v>1</v>
      </c>
      <c r="AA8" s="397">
        <f>IFERROR(VLOOKUP($U8,HomeBroker!$A$18:$N$121,13,0),0)</f>
        <v>1864</v>
      </c>
      <c r="AB8" s="200">
        <f t="shared" si="63"/>
        <v>-515</v>
      </c>
      <c r="AC8" s="558">
        <f t="shared" si="9"/>
        <v>0</v>
      </c>
      <c r="AD8" s="556">
        <v>2020</v>
      </c>
      <c r="AE8" s="551">
        <f t="shared" ca="1" si="64"/>
        <v>18.324009529653978</v>
      </c>
      <c r="AF8" s="396" t="str">
        <f t="shared" si="65"/>
        <v>MERV - XMEV - GFGV2020AB - 24hs</v>
      </c>
      <c r="AG8" s="396" t="str">
        <f t="shared" si="66"/>
        <v>GFGV2020AB</v>
      </c>
      <c r="AH8" s="501">
        <f>IFERROR(VLOOKUP($AG8,HomeBroker!$A$18:$F$121,2,0),0)</f>
        <v>47</v>
      </c>
      <c r="AI8" s="553">
        <f>IFERROR(VLOOKUP($AG8,HomeBroker!$A$18:$F$121,3,0),0)</f>
        <v>5.45</v>
      </c>
      <c r="AJ8" s="602">
        <f>IFERROR(VLOOKUP($AG8,HomeBroker!$A$18:$F$121,6,0),0)</f>
        <v>5.98</v>
      </c>
      <c r="AK8" s="553">
        <f>IFERROR(VLOOKUP($AG8,HomeBroker!$A$18:$F$121,4,0),0)</f>
        <v>5.98</v>
      </c>
      <c r="AL8" s="501">
        <f>IFERROR(VLOOKUP($AG8,HomeBroker!$A$18:$F$121,5,0),0)</f>
        <v>9</v>
      </c>
      <c r="AM8" s="555">
        <f>IFERROR(VLOOKUP($AG8,HomeBroker!$A$18:$N$121,13,0),0)</f>
        <v>770</v>
      </c>
      <c r="AN8" s="62"/>
      <c r="AO8" s="199">
        <f t="shared" si="67"/>
        <v>446.02</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1517.7981409692898</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1517.7981409692898</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1597.6822536518841</v>
      </c>
      <c r="M9" s="590">
        <f t="shared" si="5"/>
        <v>-2395.69</v>
      </c>
      <c r="N9" s="590">
        <f t="shared" ca="1" si="6"/>
        <v>-2395.69</v>
      </c>
      <c r="O9" s="62"/>
      <c r="P9" s="199">
        <f t="shared" si="59"/>
        <v>465</v>
      </c>
      <c r="Q9" s="557">
        <f t="shared" si="7"/>
        <v>0</v>
      </c>
      <c r="R9" s="556">
        <v>3000</v>
      </c>
      <c r="S9" s="550">
        <f t="shared" ca="1" si="60"/>
        <v>79.022928552155122</v>
      </c>
      <c r="T9" s="396" t="str">
        <f t="shared" si="61"/>
        <v>MERV - XMEV - GFGC3000AB - 24hs</v>
      </c>
      <c r="U9" s="396" t="str">
        <f t="shared" si="62"/>
        <v>GFGC3000AB</v>
      </c>
      <c r="V9" s="394">
        <f>IFERROR(VLOOKUP($U9,HomeBroker!$A$18:$F$121,2,0),0)</f>
        <v>2</v>
      </c>
      <c r="W9" s="553">
        <f>IFERROR(VLOOKUP($U9,HomeBroker!$A$18:$F$121,3,0),0)</f>
        <v>63.201000000000001</v>
      </c>
      <c r="X9" s="602">
        <f>IFERROR(VLOOKUP($U9,HomeBroker!$A$18:$F$121,6,0),0)</f>
        <v>63.201000000000001</v>
      </c>
      <c r="Y9" s="552">
        <f>IFERROR(VLOOKUP($U9,HomeBroker!$A$18:$F$121,4,0),0)</f>
        <v>64.498999999999995</v>
      </c>
      <c r="Z9" s="394">
        <f>IFERROR(VLOOKUP($U9,HomeBroker!$A$18:$F$121,5,0),0)</f>
        <v>4</v>
      </c>
      <c r="AA9" s="397">
        <f>IFERROR(VLOOKUP($U9,HomeBroker!$A$18:$N$121,13,0),0)</f>
        <v>30964</v>
      </c>
      <c r="AB9" s="200">
        <f t="shared" si="63"/>
        <v>-435</v>
      </c>
      <c r="AC9" s="558">
        <f t="shared" si="9"/>
        <v>0</v>
      </c>
      <c r="AD9" s="556">
        <v>2100</v>
      </c>
      <c r="AE9" s="551">
        <f t="shared" ca="1" si="64"/>
        <v>27.419366151147756</v>
      </c>
      <c r="AF9" s="396" t="str">
        <f t="shared" si="65"/>
        <v>MERV - XMEV - GFGV2100AB - 24hs</v>
      </c>
      <c r="AG9" s="396" t="str">
        <f t="shared" si="66"/>
        <v>GFGV2100AB</v>
      </c>
      <c r="AH9" s="501">
        <f>IFERROR(VLOOKUP($AG9,HomeBroker!$A$18:$F$121,2,0),0)</f>
        <v>6</v>
      </c>
      <c r="AI9" s="553">
        <f>IFERROR(VLOOKUP($AG9,HomeBroker!$A$18:$F$121,3,0),0)</f>
        <v>10.000999999999999</v>
      </c>
      <c r="AJ9" s="602">
        <f>IFERROR(VLOOKUP($AG9,HomeBroker!$A$18:$F$121,6,0),0)</f>
        <v>10.000999999999999</v>
      </c>
      <c r="AK9" s="553">
        <f>IFERROR(VLOOKUP($AG9,HomeBroker!$A$18:$F$121,4,0),0)</f>
        <v>10.997999999999999</v>
      </c>
      <c r="AL9" s="501">
        <f>IFERROR(VLOOKUP($AG9,HomeBroker!$A$18:$F$121,5,0),0)</f>
        <v>4</v>
      </c>
      <c r="AM9" s="555">
        <f>IFERROR(VLOOKUP($AG9,HomeBroker!$A$18:$N$121,13,0),0)</f>
        <v>2329</v>
      </c>
      <c r="AN9" s="62"/>
      <c r="AO9" s="199">
        <f t="shared" si="67"/>
        <v>518.19999999999982</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1597.6822536518841</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1597.6822536518841</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1681.7707933177728</v>
      </c>
      <c r="M10" s="589">
        <f t="shared" si="5"/>
        <v>-2395.69</v>
      </c>
      <c r="N10" s="589">
        <f t="shared" ca="1" si="6"/>
        <v>-2395.69</v>
      </c>
      <c r="O10" s="62"/>
      <c r="P10" s="199">
        <f t="shared" si="59"/>
        <v>615</v>
      </c>
      <c r="Q10" s="557">
        <f t="shared" si="7"/>
        <v>0</v>
      </c>
      <c r="R10" s="556">
        <v>3150</v>
      </c>
      <c r="S10" s="550">
        <f t="shared" ca="1" si="60"/>
        <v>50.016602104436572</v>
      </c>
      <c r="T10" s="396" t="str">
        <f t="shared" si="61"/>
        <v>MERV - XMEV - GFGC3150AB - 24hs</v>
      </c>
      <c r="U10" s="396" t="str">
        <f t="shared" si="62"/>
        <v>GFGC3150AB</v>
      </c>
      <c r="V10" s="394">
        <f>IFERROR(VLOOKUP($U10,HomeBroker!$A$18:$F$121,2,0),0)</f>
        <v>1</v>
      </c>
      <c r="W10" s="553">
        <f>IFERROR(VLOOKUP($U10,HomeBroker!$A$18:$F$121,3,0),0)</f>
        <v>39.44</v>
      </c>
      <c r="X10" s="602">
        <f>IFERROR(VLOOKUP($U10,HomeBroker!$A$18:$F$121,6,0),0)</f>
        <v>40</v>
      </c>
      <c r="Y10" s="552">
        <f>IFERROR(VLOOKUP($U10,HomeBroker!$A$18:$F$121,4,0),0)</f>
        <v>42.814</v>
      </c>
      <c r="Z10" s="394">
        <f>IFERROR(VLOOKUP($U10,HomeBroker!$A$18:$F$121,5,0),0)</f>
        <v>5</v>
      </c>
      <c r="AA10" s="397">
        <f>IFERROR(VLOOKUP($U10,HomeBroker!$A$18:$N$121,13,0),0)</f>
        <v>1914</v>
      </c>
      <c r="AB10" s="200">
        <f t="shared" si="63"/>
        <v>-335</v>
      </c>
      <c r="AC10" s="558">
        <f t="shared" si="9"/>
        <v>0</v>
      </c>
      <c r="AD10" s="556">
        <v>2200</v>
      </c>
      <c r="AE10" s="551">
        <f t="shared" ca="1" si="64"/>
        <v>43.022216316425272</v>
      </c>
      <c r="AF10" s="396" t="str">
        <f t="shared" si="65"/>
        <v>MERV - XMEV - GFGV2200AB - 24hs</v>
      </c>
      <c r="AG10" s="396" t="str">
        <f t="shared" si="66"/>
        <v>GFGV2200AB</v>
      </c>
      <c r="AH10" s="501">
        <f>IFERROR(VLOOKUP($AG10,HomeBroker!$A$18:$F$121,2,0),0)</f>
        <v>10</v>
      </c>
      <c r="AI10" s="553">
        <f>IFERROR(VLOOKUP($AG10,HomeBroker!$A$18:$F$121,3,0),0)</f>
        <v>19.401</v>
      </c>
      <c r="AJ10" s="602">
        <f>IFERROR(VLOOKUP($AG10,HomeBroker!$A$18:$F$121,6,0),0)</f>
        <v>20</v>
      </c>
      <c r="AK10" s="553">
        <f>IFERROR(VLOOKUP($AG10,HomeBroker!$A$18:$F$121,4,0),0)</f>
        <v>20.99</v>
      </c>
      <c r="AL10" s="501">
        <f>IFERROR(VLOOKUP($AG10,HomeBroker!$A$18:$F$121,5,0),0)</f>
        <v>10</v>
      </c>
      <c r="AM10" s="555">
        <f>IFERROR(VLOOKUP($AG10,HomeBroker!$A$18:$N$121,13,0),0)</f>
        <v>3313</v>
      </c>
      <c r="AN10" s="62"/>
      <c r="AO10" s="199">
        <f t="shared" si="67"/>
        <v>635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1681.7707933177728</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1681.7707933177728</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1770.2850455976557</v>
      </c>
      <c r="M11" s="589">
        <f t="shared" si="5"/>
        <v>-2395.69</v>
      </c>
      <c r="N11" s="589">
        <f t="shared" ca="1" si="6"/>
        <v>-2395.69</v>
      </c>
      <c r="O11" s="62"/>
      <c r="P11" s="199">
        <f t="shared" si="59"/>
        <v>765</v>
      </c>
      <c r="Q11" s="557">
        <f t="shared" si="7"/>
        <v>0</v>
      </c>
      <c r="R11" s="556">
        <v>3300</v>
      </c>
      <c r="S11" s="550">
        <f t="shared" ca="1" si="60"/>
        <v>30.711982547132607</v>
      </c>
      <c r="T11" s="396" t="str">
        <f t="shared" si="61"/>
        <v>MERV - XMEV - GFGC3300AB - 24hs</v>
      </c>
      <c r="U11" s="396" t="str">
        <f t="shared" si="62"/>
        <v>GFGC3300AB</v>
      </c>
      <c r="V11" s="394">
        <f>IFERROR(VLOOKUP($U11,HomeBroker!$A$18:$F$121,2,0),0)</f>
        <v>3</v>
      </c>
      <c r="W11" s="553">
        <f>IFERROR(VLOOKUP($U11,HomeBroker!$A$18:$F$121,3,0),0)</f>
        <v>25.201000000000001</v>
      </c>
      <c r="X11" s="602">
        <f>IFERROR(VLOOKUP($U11,HomeBroker!$A$18:$F$121,6,0),0)</f>
        <v>26</v>
      </c>
      <c r="Y11" s="552">
        <f>IFERROR(VLOOKUP($U11,HomeBroker!$A$18:$F$121,4,0),0)</f>
        <v>26.399000000000001</v>
      </c>
      <c r="Z11" s="394">
        <f>IFERROR(VLOOKUP($U11,HomeBroker!$A$18:$F$121,5,0),0)</f>
        <v>15</v>
      </c>
      <c r="AA11" s="397">
        <f>IFERROR(VLOOKUP($U11,HomeBroker!$A$18:$N$121,13,0),0)</f>
        <v>3637</v>
      </c>
      <c r="AB11" s="200">
        <f t="shared" si="63"/>
        <v>-235</v>
      </c>
      <c r="AC11" s="558">
        <f t="shared" si="9"/>
        <v>0</v>
      </c>
      <c r="AD11" s="556">
        <v>2300</v>
      </c>
      <c r="AE11" s="551">
        <f t="shared" ca="1" si="64"/>
        <v>64.095581921780251</v>
      </c>
      <c r="AF11" s="396" t="str">
        <f t="shared" si="65"/>
        <v>MERV - XMEV - GFGV2300AB - 24hs</v>
      </c>
      <c r="AG11" s="396" t="str">
        <f t="shared" si="66"/>
        <v>GFGV2300AB</v>
      </c>
      <c r="AH11" s="501">
        <f>IFERROR(VLOOKUP($AG11,HomeBroker!$A$18:$F$121,2,0),0)</f>
        <v>9</v>
      </c>
      <c r="AI11" s="553">
        <f>IFERROR(VLOOKUP($AG11,HomeBroker!$A$18:$F$121,3,0),0)</f>
        <v>30.917999999999999</v>
      </c>
      <c r="AJ11" s="602">
        <f>IFERROR(VLOOKUP($AG11,HomeBroker!$A$18:$F$121,6,0),0)</f>
        <v>33.5</v>
      </c>
      <c r="AK11" s="553">
        <f>IFERROR(VLOOKUP($AG11,HomeBroker!$A$18:$F$121,4,0),0)</f>
        <v>33.5</v>
      </c>
      <c r="AL11" s="501">
        <f>IFERROR(VLOOKUP($AG11,HomeBroker!$A$18:$F$121,5,0),0)</f>
        <v>18</v>
      </c>
      <c r="AM11" s="555">
        <f>IFERROR(VLOOKUP($AG11,HomeBroker!$A$18:$N$121,13,0),0)</f>
        <v>2409</v>
      </c>
      <c r="AN11" s="62"/>
      <c r="AO11" s="199">
        <f t="shared" si="67"/>
        <v>757.5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1770.2850455976557</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1770.2850455976557</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1863.4579427343745</v>
      </c>
      <c r="M12" s="590">
        <f t="shared" si="5"/>
        <v>-2395.69</v>
      </c>
      <c r="N12" s="590">
        <f t="shared" ca="1" si="6"/>
        <v>-2395.69</v>
      </c>
      <c r="O12" s="62"/>
      <c r="P12" s="199">
        <f t="shared" si="59"/>
        <v>915</v>
      </c>
      <c r="Q12" s="557">
        <f t="shared" si="7"/>
        <v>0</v>
      </c>
      <c r="R12" s="556">
        <v>3450</v>
      </c>
      <c r="S12" s="550">
        <f t="shared" ca="1" si="60"/>
        <v>18.344976397247422</v>
      </c>
      <c r="T12" s="396" t="str">
        <f t="shared" si="61"/>
        <v>MERV - XMEV - GFGC3450AB - 24hs</v>
      </c>
      <c r="U12" s="396" t="str">
        <f t="shared" si="62"/>
        <v>GFGC3450AB</v>
      </c>
      <c r="V12" s="394">
        <f>IFERROR(VLOOKUP($U12,HomeBroker!$A$18:$F$121,2,0),0)</f>
        <v>1</v>
      </c>
      <c r="W12" s="553">
        <f>IFERROR(VLOOKUP($U12,HomeBroker!$A$18:$F$121,3,0),0)</f>
        <v>17.5</v>
      </c>
      <c r="X12" s="602">
        <f>IFERROR(VLOOKUP($U12,HomeBroker!$A$18:$F$121,6,0),0)</f>
        <v>18</v>
      </c>
      <c r="Y12" s="552">
        <f>IFERROR(VLOOKUP($U12,HomeBroker!$A$18:$F$121,4,0),0)</f>
        <v>18</v>
      </c>
      <c r="Z12" s="394">
        <f>IFERROR(VLOOKUP($U12,HomeBroker!$A$18:$F$121,5,0),0)</f>
        <v>190</v>
      </c>
      <c r="AA12" s="397">
        <f>IFERROR(VLOOKUP($U12,HomeBroker!$A$18:$N$121,13,0),0)</f>
        <v>593</v>
      </c>
      <c r="AB12" s="200">
        <f t="shared" si="63"/>
        <v>-135</v>
      </c>
      <c r="AC12" s="558">
        <f t="shared" si="9"/>
        <v>0</v>
      </c>
      <c r="AD12" s="556">
        <v>2400</v>
      </c>
      <c r="AE12" s="551">
        <f t="shared" ca="1" si="64"/>
        <v>91.292782721785329</v>
      </c>
      <c r="AF12" s="396" t="str">
        <f t="shared" si="65"/>
        <v>MERV - XMEV - GFGV2400AB - 24hs</v>
      </c>
      <c r="AG12" s="396" t="str">
        <f t="shared" si="66"/>
        <v>GFGV2400AB</v>
      </c>
      <c r="AH12" s="501">
        <f>IFERROR(VLOOKUP($AG12,HomeBroker!$A$18:$F$121,2,0),0)</f>
        <v>1</v>
      </c>
      <c r="AI12" s="553">
        <f>IFERROR(VLOOKUP($AG12,HomeBroker!$A$18:$F$121,3,0),0)</f>
        <v>53</v>
      </c>
      <c r="AJ12" s="602">
        <f>IFERROR(VLOOKUP($AG12,HomeBroker!$A$18:$F$121,6,0),0)</f>
        <v>53</v>
      </c>
      <c r="AK12" s="553">
        <f>IFERROR(VLOOKUP($AG12,HomeBroker!$A$18:$F$121,4,0),0)</f>
        <v>53.8</v>
      </c>
      <c r="AL12" s="501">
        <f>IFERROR(VLOOKUP($AG12,HomeBroker!$A$18:$F$121,5,0),0)</f>
        <v>15</v>
      </c>
      <c r="AM12" s="555">
        <f>IFERROR(VLOOKUP($AG12,HomeBroker!$A$18:$N$121,13,0),0)</f>
        <v>4054</v>
      </c>
      <c r="AN12" s="62"/>
      <c r="AO12" s="199">
        <f t="shared" si="67"/>
        <v>880</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1863.4579427343745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1863.4579427343745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-0.22621906250000023</v>
      </c>
      <c r="L13" s="219">
        <f t="shared" si="4"/>
        <v>1961.5346765624995</v>
      </c>
      <c r="M13" s="589">
        <f t="shared" si="5"/>
        <v>-2395.69</v>
      </c>
      <c r="N13" s="589">
        <f t="shared" ca="1" si="6"/>
        <v>-2395.69</v>
      </c>
      <c r="O13" s="62"/>
      <c r="P13" s="199">
        <f t="shared" si="59"/>
        <v>1065</v>
      </c>
      <c r="Q13" s="557">
        <f t="shared" si="7"/>
        <v>0</v>
      </c>
      <c r="R13" s="556">
        <v>3600</v>
      </c>
      <c r="S13" s="550">
        <f t="shared" ca="1" si="60"/>
        <v>10.688263373906125</v>
      </c>
      <c r="T13" s="396" t="str">
        <f t="shared" si="61"/>
        <v>MERV - XMEV - GFGC3600AB - 24hs</v>
      </c>
      <c r="U13" s="396" t="str">
        <f t="shared" si="62"/>
        <v>GFGC3600AB</v>
      </c>
      <c r="V13" s="394">
        <f>IFERROR(VLOOKUP($U13,HomeBroker!$A$18:$F$121,2,0),0)</f>
        <v>20</v>
      </c>
      <c r="W13" s="553">
        <f>IFERROR(VLOOKUP($U13,HomeBroker!$A$18:$F$121,3,0),0)</f>
        <v>11.9</v>
      </c>
      <c r="X13" s="602">
        <f>IFERROR(VLOOKUP($U13,HomeBroker!$A$18:$F$121,6,0),0)</f>
        <v>14</v>
      </c>
      <c r="Y13" s="552">
        <f>IFERROR(VLOOKUP($U13,HomeBroker!$A$18:$F$121,4,0),0)</f>
        <v>14</v>
      </c>
      <c r="Z13" s="394">
        <f>IFERROR(VLOOKUP($U13,HomeBroker!$A$18:$F$121,5,0),0)</f>
        <v>18</v>
      </c>
      <c r="AA13" s="397">
        <f>IFERROR(VLOOKUP($U13,HomeBroker!$A$18:$N$121,13,0),0)</f>
        <v>2741</v>
      </c>
      <c r="AB13" s="200">
        <f t="shared" si="63"/>
        <v>-35</v>
      </c>
      <c r="AC13" s="558">
        <f t="shared" si="9"/>
        <v>0</v>
      </c>
      <c r="AD13" s="556">
        <v>2500</v>
      </c>
      <c r="AE13" s="551">
        <f t="shared" ca="1" si="64"/>
        <v>125.0433168910663</v>
      </c>
      <c r="AF13" s="396" t="str">
        <f t="shared" si="65"/>
        <v>MERV - XMEV - GFGV2500AB - 24hs</v>
      </c>
      <c r="AG13" s="396" t="str">
        <f t="shared" si="66"/>
        <v>GFGV2500AB</v>
      </c>
      <c r="AH13" s="501">
        <f>IFERROR(VLOOKUP($AG13,HomeBroker!$A$18:$F$121,2,0),0)</f>
        <v>1</v>
      </c>
      <c r="AI13" s="553">
        <f>IFERROR(VLOOKUP($AG13,HomeBroker!$A$18:$F$121,3,0),0)</f>
        <v>84</v>
      </c>
      <c r="AJ13" s="602">
        <f>IFERROR(VLOOKUP($AG13,HomeBroker!$A$18:$F$121,6,0),0)</f>
        <v>86</v>
      </c>
      <c r="AK13" s="553">
        <f>IFERROR(VLOOKUP($AG13,HomeBroker!$A$18:$F$121,4,0),0)</f>
        <v>88.998999999999995</v>
      </c>
      <c r="AL13" s="501">
        <f>IFERROR(VLOOKUP($AG13,HomeBroker!$A$18:$F$121,5,0),0)</f>
        <v>4</v>
      </c>
      <c r="AM13" s="555">
        <f>IFERROR(VLOOKUP($AG13,HomeBroker!$A$18:$N$121,13,0),0)</f>
        <v>759</v>
      </c>
      <c r="AN13" s="62"/>
      <c r="AO13" s="199">
        <f t="shared" si="67"/>
        <v>993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1961.5346765624995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1961.5346765624995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2064.7733437499996</v>
      </c>
      <c r="M14" s="589">
        <f t="shared" si="5"/>
        <v>-2395.69</v>
      </c>
      <c r="N14" s="589">
        <f t="shared" ca="1" si="6"/>
        <v>-2395.69</v>
      </c>
      <c r="O14" s="62"/>
      <c r="P14" s="199">
        <f t="shared" si="59"/>
        <v>1215</v>
      </c>
      <c r="Q14" s="557">
        <f t="shared" si="7"/>
        <v>0</v>
      </c>
      <c r="R14" s="556">
        <v>3750</v>
      </c>
      <c r="S14" s="550">
        <f t="shared" ca="1" si="60"/>
        <v>6.0896449734780447</v>
      </c>
      <c r="T14" s="396" t="str">
        <f t="shared" si="61"/>
        <v>MERV - XMEV - GFGC3750AB - 24hs</v>
      </c>
      <c r="U14" s="396" t="str">
        <f t="shared" si="62"/>
        <v>GFGC3750AB</v>
      </c>
      <c r="V14" s="394">
        <f>IFERROR(VLOOKUP($U14,HomeBroker!$A$18:$F$121,2,0),0)</f>
        <v>1</v>
      </c>
      <c r="W14" s="553">
        <f>IFERROR(VLOOKUP($U14,HomeBroker!$A$18:$F$121,3,0),0)</f>
        <v>8.6</v>
      </c>
      <c r="X14" s="602">
        <f>IFERROR(VLOOKUP($U14,HomeBroker!$A$18:$F$121,6,0),0)</f>
        <v>9</v>
      </c>
      <c r="Y14" s="552">
        <f>IFERROR(VLOOKUP($U14,HomeBroker!$A$18:$F$121,4,0),0)</f>
        <v>9.5</v>
      </c>
      <c r="Z14" s="394">
        <f>IFERROR(VLOOKUP($U14,HomeBroker!$A$18:$F$106,5,0),0)</f>
        <v>6</v>
      </c>
      <c r="AA14" s="397">
        <f>IFERROR(VLOOKUP($U14,HomeBroker!$A$18:$N$121,13,0),0)</f>
        <v>184</v>
      </c>
      <c r="AB14" s="200">
        <f t="shared" si="63"/>
        <v>65</v>
      </c>
      <c r="AC14" s="558">
        <f t="shared" si="9"/>
        <v>0</v>
      </c>
      <c r="AD14" s="556">
        <v>2600</v>
      </c>
      <c r="AE14" s="551">
        <f t="shared" ca="1" si="64"/>
        <v>165.53309798748865</v>
      </c>
      <c r="AF14" s="396" t="str">
        <f t="shared" si="65"/>
        <v>MERV - XMEV - GFGV2600AB - 24hs</v>
      </c>
      <c r="AG14" s="396" t="str">
        <f t="shared" si="66"/>
        <v>GFGV2600AB</v>
      </c>
      <c r="AH14" s="501">
        <f>IFERROR(VLOOKUP($AG14,HomeBroker!$A$18:$F$121,2,0),0)</f>
        <v>2</v>
      </c>
      <c r="AI14" s="553">
        <f>IFERROR(VLOOKUP($AG14,HomeBroker!$A$18:$F$121,3,0),0)</f>
        <v>127</v>
      </c>
      <c r="AJ14" s="602">
        <f>IFERROR(VLOOKUP($AG14,HomeBroker!$A$18:$F$121,6,0),0)</f>
        <v>135</v>
      </c>
      <c r="AK14" s="553">
        <f>IFERROR(VLOOKUP($AG14,HomeBroker!$A$18:$F$121,4,0),0)</f>
        <v>144.99</v>
      </c>
      <c r="AL14" s="501">
        <f>IFERROR(VLOOKUP($AG14,HomeBroker!$A$18:$F$121,5,0),0)</f>
        <v>10</v>
      </c>
      <c r="AM14" s="555">
        <f>IFERROR(VLOOKUP($AG14,HomeBroker!$A$18:$N$121,13,0),0)</f>
        <v>1003</v>
      </c>
      <c r="AN14" s="62"/>
      <c r="AO14" s="199">
        <f t="shared" si="67"/>
        <v>1089</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2064.7733437499996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2064.7733437499996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2173.4456249999998</v>
      </c>
      <c r="M15" s="590">
        <f t="shared" si="5"/>
        <v>-2395.69</v>
      </c>
      <c r="N15" s="590">
        <f t="shared" ca="1" si="6"/>
        <v>-2395.69</v>
      </c>
      <c r="O15" s="62"/>
      <c r="P15" s="199">
        <f t="shared" si="59"/>
        <v>1365</v>
      </c>
      <c r="Q15" s="557">
        <f t="shared" si="7"/>
        <v>0</v>
      </c>
      <c r="R15" s="556">
        <v>3900</v>
      </c>
      <c r="S15" s="550">
        <f t="shared" ca="1" si="60"/>
        <v>3.4010758799948491</v>
      </c>
      <c r="T15" s="396" t="str">
        <f t="shared" si="61"/>
        <v>MERV - XMEV - GFGC3900AB - 24hs</v>
      </c>
      <c r="U15" s="396" t="str">
        <f t="shared" si="62"/>
        <v>GFGC3900AB</v>
      </c>
      <c r="V15" s="394">
        <f>IFERROR(VLOOKUP($U15,HomeBroker!$A$18:$F$106,2,0),0)</f>
        <v>805</v>
      </c>
      <c r="W15" s="553">
        <f>IFERROR(VLOOKUP($U15,HomeBroker!$A$18:$F$106,3,0),0)</f>
        <v>7.0049999999999999</v>
      </c>
      <c r="X15" s="602">
        <f>IFERROR(VLOOKUP($U15,HomeBroker!$A$18:$F$106,6,0),0)</f>
        <v>7.05</v>
      </c>
      <c r="Y15" s="552">
        <f>IFERROR(VLOOKUP($U15,HomeBroker!$A$18:$F$106,4,0),0)</f>
        <v>7.15</v>
      </c>
      <c r="Z15" s="394">
        <f>IFERROR(VLOOKUP($U15,HomeBroker!$A$18:$F$106,5,0),0)</f>
        <v>2</v>
      </c>
      <c r="AA15" s="397">
        <f>IFERROR(VLOOKUP($U15,HomeBroker!$A$18:$N$121,13,0),0)</f>
        <v>521</v>
      </c>
      <c r="AB15" s="200">
        <f t="shared" si="63"/>
        <v>165</v>
      </c>
      <c r="AC15" s="558">
        <f t="shared" si="9"/>
        <v>0</v>
      </c>
      <c r="AD15" s="556">
        <v>2700</v>
      </c>
      <c r="AE15" s="551">
        <f t="shared" ca="1" si="64"/>
        <v>212.71285044263936</v>
      </c>
      <c r="AF15" s="396" t="str">
        <f t="shared" si="65"/>
        <v>MERV - XMEV - GFGV2700AB - 24hs</v>
      </c>
      <c r="AG15" s="396" t="str">
        <f t="shared" si="66"/>
        <v>GFGV2700AB</v>
      </c>
      <c r="AH15" s="501">
        <f>IFERROR(VLOOKUP($AG15,HomeBroker!$A$18:$F$106,2,0),0)</f>
        <v>1</v>
      </c>
      <c r="AI15" s="553">
        <f>IFERROR(VLOOKUP($AG15,HomeBroker!$A$18:$F$106,3,0),0)</f>
        <v>175</v>
      </c>
      <c r="AJ15" s="602">
        <f>IFERROR(VLOOKUP($AG15,HomeBroker!$A$18:$F$106,6,0),0)</f>
        <v>180</v>
      </c>
      <c r="AK15" s="553">
        <f>IFERROR(VLOOKUP($AG15,HomeBroker!$A$18:$F$106,4,0),0)</f>
        <v>195</v>
      </c>
      <c r="AL15" s="501">
        <f>IFERROR(VLOOKUP($AG15,HomeBroker!$A$18:$F$106,5,0),0)</f>
        <v>2</v>
      </c>
      <c r="AM15" s="555">
        <f>IFERROR(VLOOKUP($AG15,HomeBroker!$A$18:$N$121,13,0),0)</f>
        <v>54</v>
      </c>
      <c r="AN15" s="62"/>
      <c r="AO15" s="199">
        <f t="shared" si="67"/>
        <v>1192.0500000000002</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2173.4456249999998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2173.4456249999998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-9.749999999999992E-2</v>
      </c>
      <c r="L16" s="219">
        <f t="shared" si="4"/>
        <v>2287.8375000000001</v>
      </c>
      <c r="M16" s="589">
        <f t="shared" si="5"/>
        <v>-2395.69</v>
      </c>
      <c r="N16" s="589">
        <f t="shared" ca="1" si="6"/>
        <v>-2395.69</v>
      </c>
      <c r="O16" s="62"/>
      <c r="P16" s="199">
        <f t="shared" si="59"/>
        <v>1515</v>
      </c>
      <c r="Q16" s="557">
        <f t="shared" si="7"/>
        <v>0</v>
      </c>
      <c r="R16" s="556">
        <v>4050</v>
      </c>
      <c r="S16" s="550">
        <f t="shared" ca="1" si="60"/>
        <v>1.8661500822651647</v>
      </c>
      <c r="T16" s="396" t="str">
        <f t="shared" si="61"/>
        <v>MERV - XMEV - GFGC4050AB - 24hs</v>
      </c>
      <c r="U16" s="396" t="str">
        <f t="shared" si="62"/>
        <v>GFGC4050AB</v>
      </c>
      <c r="V16" s="394">
        <f>IFERROR(VLOOKUP($U16,HomeBroker!$A$18:$F$106,2,0),0)</f>
        <v>6</v>
      </c>
      <c r="W16" s="553">
        <f>IFERROR(VLOOKUP($U16,HomeBroker!$A$18:$F$106,3,0),0)</f>
        <v>5.0019999999999998</v>
      </c>
      <c r="X16" s="602">
        <f>IFERROR(VLOOKUP($U16,HomeBroker!$A$18:$F$106,6,0),0)</f>
        <v>5.5</v>
      </c>
      <c r="Y16" s="552">
        <f>IFERROR(VLOOKUP($U16,HomeBroker!$A$18:$F$106,4,0),0)</f>
        <v>5.5</v>
      </c>
      <c r="Z16" s="394">
        <f>IFERROR(VLOOKUP($U16,HomeBroker!$A$18:$F$106,5,0),0)</f>
        <v>1</v>
      </c>
      <c r="AA16" s="397">
        <f>IFERROR(VLOOKUP($U16,HomeBroker!$A$18:$N$121,13,0),0)</f>
        <v>644</v>
      </c>
      <c r="AB16" s="200">
        <f t="shared" si="63"/>
        <v>365</v>
      </c>
      <c r="AC16" s="558">
        <f t="shared" si="9"/>
        <v>0</v>
      </c>
      <c r="AD16" s="556">
        <v>2900</v>
      </c>
      <c r="AE16" s="551">
        <f t="shared" ca="1" si="64"/>
        <v>325.9635434770712</v>
      </c>
      <c r="AF16" s="396" t="str">
        <f t="shared" si="65"/>
        <v>MERV - XMEV - GFGV2900AB - 24hs</v>
      </c>
      <c r="AG16" s="396" t="str">
        <f t="shared" si="66"/>
        <v>GFGV2900AB</v>
      </c>
      <c r="AH16" s="501">
        <f>IFERROR(VLOOKUP($AG16,HomeBroker!$A$18:$F$106,2,0),0)</f>
        <v>6</v>
      </c>
      <c r="AI16" s="553">
        <f>IFERROR(VLOOKUP($AG16,HomeBroker!$A$18:$F$106,3,0),0)</f>
        <v>340.00099999999998</v>
      </c>
      <c r="AJ16" s="602">
        <f>IFERROR(VLOOKUP($AG16,HomeBroker!$A$18:$F$106,6,0),0)</f>
        <v>380</v>
      </c>
      <c r="AK16" s="553">
        <f>IFERROR(VLOOKUP($AG16,HomeBroker!$A$18:$F$106,4,0),0)</f>
        <v>350</v>
      </c>
      <c r="AL16" s="501">
        <f>IFERROR(VLOOKUP($AG16,HomeBroker!$A$18:$F$106,5,0),0)</f>
        <v>2</v>
      </c>
      <c r="AM16" s="555">
        <f>IFERROR(VLOOKUP($AG16,HomeBroker!$A$18:$N$121,13,0),0)</f>
        <v>3</v>
      </c>
      <c r="AN16" s="62"/>
      <c r="AO16" s="199">
        <f t="shared" si="67"/>
        <v>1140.5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2287.8375000000001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2287.8375000000001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2408.25</v>
      </c>
      <c r="M17" s="589">
        <f t="shared" si="5"/>
        <v>-2395.69</v>
      </c>
      <c r="N17" s="589">
        <f t="shared" ca="1" si="6"/>
        <v>-2395.69</v>
      </c>
      <c r="O17" s="62"/>
      <c r="P17" s="199">
        <f t="shared" si="59"/>
        <v>1665</v>
      </c>
      <c r="Q17" s="557">
        <f t="shared" si="7"/>
        <v>5</v>
      </c>
      <c r="R17" s="556">
        <v>4200</v>
      </c>
      <c r="S17" s="550">
        <f t="shared" ca="1" si="60"/>
        <v>1.0080180255459439</v>
      </c>
      <c r="T17" s="396" t="str">
        <f t="shared" si="61"/>
        <v>MERV - XMEV - GFGC4200AB - 24hs</v>
      </c>
      <c r="U17" s="396" t="str">
        <f t="shared" si="62"/>
        <v>GFGC4200AB</v>
      </c>
      <c r="V17" s="394">
        <f>IFERROR(VLOOKUP($U17,HomeBroker!$A$18:$F$106,2,0),0)</f>
        <v>19</v>
      </c>
      <c r="W17" s="553">
        <f>IFERROR(VLOOKUP($U17,HomeBroker!$A$18:$F$106,3,0),0)</f>
        <v>4.03</v>
      </c>
      <c r="X17" s="602">
        <f>IFERROR(VLOOKUP($U17,HomeBroker!$A$18:$F$106,6,0),0)</f>
        <v>4.0999999999999996</v>
      </c>
      <c r="Y17" s="552">
        <f>IFERROR(VLOOKUP($U17,HomeBroker!$A$18:$F$106,4,0),0)</f>
        <v>4.0999999999999996</v>
      </c>
      <c r="Z17" s="394">
        <f>IFERROR(VLOOKUP($U17,HomeBroker!$A$18:$F$106,5,0),0)</f>
        <v>52</v>
      </c>
      <c r="AA17" s="397">
        <f>IFERROR(VLOOKUP($U17,HomeBroker!$A$18:$N$121,13,0),0)</f>
        <v>4261</v>
      </c>
      <c r="AB17" s="200">
        <f t="shared" si="63"/>
        <v>465</v>
      </c>
      <c r="AC17" s="558">
        <f t="shared" si="9"/>
        <v>0</v>
      </c>
      <c r="AD17" s="556">
        <v>3000</v>
      </c>
      <c r="AE17" s="551">
        <f t="shared" ca="1" si="64"/>
        <v>391.09039942134245</v>
      </c>
      <c r="AF17" s="396" t="str">
        <f t="shared" si="65"/>
        <v>MERV - XMEV - GFGV3000AB - 24hs</v>
      </c>
      <c r="AG17" s="396" t="str">
        <f t="shared" si="66"/>
        <v>GFGV3000AB</v>
      </c>
      <c r="AH17" s="501">
        <f>IFERROR(VLOOKUP($AG17,HomeBroker!$A$18:$F$106,2,0),0)</f>
        <v>12</v>
      </c>
      <c r="AI17" s="553">
        <f>IFERROR(VLOOKUP($AG17,HomeBroker!$A$18:$F$106,3,0),0)</f>
        <v>435.00099999999998</v>
      </c>
      <c r="AJ17" s="602">
        <f>IFERROR(VLOOKUP($AG17,HomeBroker!$A$18:$F$106,6,0),0)</f>
        <v>470</v>
      </c>
      <c r="AK17" s="553">
        <f>IFERROR(VLOOKUP($AG17,HomeBroker!$A$18:$F$106,4,0),0)</f>
        <v>450</v>
      </c>
      <c r="AL17" s="501">
        <f>IFERROR(VLOOKUP($AG17,HomeBroker!$A$18:$F$106,5,0),0)</f>
        <v>2</v>
      </c>
      <c r="AM17" s="555">
        <f>IFERROR(VLOOKUP($AG17,HomeBroker!$A$18:$N$121,13,0),0)</f>
        <v>3</v>
      </c>
      <c r="AN17" s="62"/>
      <c r="AO17" s="199">
        <f t="shared" si="67"/>
        <v>1199.1000000000004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2408.25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2408.25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2535</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2535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2535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2661.75</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2661.75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2661.75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2794.8375000000001</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2794.8375000000001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2794.8375000000001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2934.5793750000003</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2934.5793750000003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2934.5793750000003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3081.3083437500004</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3081.3083437500004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3081.3083437500004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3235.3737609375007</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3235.3737609375007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3235.3737609375007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3397.1424489843757</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3397.1424489843757</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3397.1424489843757</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3566.9995714335946</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3566.9995714335946</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3566.9995714335946</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3745.3495500052745</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3745.3495500052745</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3745.3495500052745</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3932.6170275055383</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3932.6170275055383</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3932.6170275055383</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4129.2478788808157</v>
      </c>
      <c r="M28" s="589">
        <f t="shared" si="5"/>
        <v>-2395.69</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4129.2478788808157</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-2395.69</v>
      </c>
      <c r="EU28" s="72"/>
      <c r="EV28" s="117">
        <f t="shared" si="55"/>
        <v>4129.2478788808157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4335.7102728248565</v>
      </c>
      <c r="M29" s="589">
        <f t="shared" si="5"/>
        <v>133314.57999999999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4335.7102728248565</v>
      </c>
      <c r="DF29" s="118">
        <f t="shared" si="18"/>
        <v>67855.136412428241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67855.136412428241</v>
      </c>
      <c r="EQ29" s="119"/>
      <c r="ER29" s="126"/>
      <c r="ES29" s="122"/>
      <c r="ET29" s="123">
        <f t="shared" si="54"/>
        <v>133314.57999999999</v>
      </c>
      <c r="EU29" s="72"/>
      <c r="EV29" s="117">
        <f t="shared" si="55"/>
        <v>4335.7102728248565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4552.4957864660992</v>
      </c>
      <c r="M30" s="590">
        <f t="shared" si="5"/>
        <v>350100.1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4552.4957864660992</v>
      </c>
      <c r="DF30" s="118">
        <f t="shared" si="18"/>
        <v>176247.89323304957</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176247.89323304957</v>
      </c>
      <c r="EQ30" s="119"/>
      <c r="ER30" s="126"/>
      <c r="ES30" s="122"/>
      <c r="ET30" s="123">
        <f t="shared" si="54"/>
        <v>350100.1</v>
      </c>
      <c r="EU30" s="72"/>
      <c r="EV30" s="117">
        <f t="shared" si="55"/>
        <v>4552.4957864660992</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4780.120575789404</v>
      </c>
      <c r="M31" s="589">
        <f t="shared" si="5"/>
        <v>577724.88</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4780.120575789404</v>
      </c>
      <c r="DF31" s="118">
        <f t="shared" si="18"/>
        <v>290060.28789470199</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290060.28789470199</v>
      </c>
      <c r="EQ31" s="119"/>
      <c r="ER31" s="126"/>
      <c r="ES31" s="122"/>
      <c r="ET31" s="123">
        <f t="shared" si="54"/>
        <v>577724.88</v>
      </c>
      <c r="EU31" s="72"/>
      <c r="EV31" s="117">
        <f t="shared" si="55"/>
        <v>4780.120575789404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5019.1266045788743</v>
      </c>
      <c r="M32" s="589">
        <f t="shared" si="5"/>
        <v>816730.91</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5019.1266045788743</v>
      </c>
      <c r="DF32" s="118">
        <f t="shared" si="18"/>
        <v>409563.30228943715</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409563.30228943715</v>
      </c>
      <c r="EQ32" s="119"/>
      <c r="ER32" s="126"/>
      <c r="ES32" s="122"/>
      <c r="ET32" s="123">
        <f t="shared" si="54"/>
        <v>816730.91</v>
      </c>
      <c r="EU32" s="72"/>
      <c r="EV32" s="117">
        <f t="shared" si="55"/>
        <v>5019.1266045788743</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5270.0829348078187</v>
      </c>
      <c r="M33" s="590">
        <f t="shared" si="5"/>
        <v>1067687.24</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5270.0829348078187</v>
      </c>
      <c r="DF33" s="118">
        <f t="shared" si="18"/>
        <v>535041.46740390931</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535041.46740390931</v>
      </c>
      <c r="EQ33" s="119"/>
      <c r="ER33" s="126"/>
      <c r="ES33" s="122"/>
      <c r="ET33" s="123">
        <f t="shared" si="54"/>
        <v>1067687.24</v>
      </c>
      <c r="EU33" s="72"/>
      <c r="EV33" s="117">
        <f t="shared" si="55"/>
        <v>5270.0829348078187</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5533.5870815482094</v>
      </c>
      <c r="M34" s="591">
        <f t="shared" si="5"/>
        <v>1331191.3899999999</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5533.5870815482094</v>
      </c>
      <c r="DF34" s="118">
        <f t="shared" si="18"/>
        <v>666793.54077410477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666793.54077410477</v>
      </c>
      <c r="EQ34" s="119"/>
      <c r="ER34" s="135"/>
      <c r="ES34" s="136"/>
      <c r="ET34" s="137">
        <f t="shared" si="54"/>
        <v>1331191.3899999999</v>
      </c>
      <c r="EU34" s="72"/>
      <c r="EV34" s="117">
        <f t="shared" si="55"/>
        <v>5533.5870815482094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89" t="s">
        <v>442</v>
      </c>
      <c r="L36" s="768"/>
      <c r="M36" s="769"/>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1174.443268454974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1174.443268454974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89" t="s">
        <v>443</v>
      </c>
      <c r="L37" s="768"/>
      <c r="M37" s="769"/>
      <c r="N37" s="538">
        <f>IF(AND(F76&lt;&gt;0,I76&lt;&gt;0),($N$36+ SUMPRODUCT(-(X3:X42),Q3:Q42)*-100 + SUMPRODUCT(-(AJ3:AJ42),AC3:AC42)*-100 + ($AB$43*$L$18)  +$I$76)-F76,($N$36+ SUMPRODUCT(-(X3:X42),Q3:Q42)*-100 + SUMPRODUCT(-(AJ3:AJ42),AC3:AC42)*-100 + ($AB$43*$L$18)  +$I$76))</f>
        <v>1704.3089999999997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1236.2560720578674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1236.2560720578674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90" t="s">
        <v>444</v>
      </c>
      <c r="L38" s="768"/>
      <c r="M38" s="769"/>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1301.3221811135447</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1301.3221811135447</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91" t="s">
        <v>445</v>
      </c>
      <c r="L39" s="768"/>
      <c r="M39" s="769"/>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1369.812822224784</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1369.812822224784</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88" t="s">
        <v>0</v>
      </c>
      <c r="L40" s="768"/>
      <c r="M40" s="769"/>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1441.9082339208253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1441.9082339208253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1517.7981409692898</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1517.7981409692898</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2" t="s">
        <v>446</v>
      </c>
      <c r="L42" s="768"/>
      <c r="M42" s="769"/>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1597.6822536518841</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1597.6822536518841</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3"/>
      <c r="Q43" s="774"/>
      <c r="R43" s="774"/>
      <c r="S43" s="774"/>
      <c r="T43" s="774"/>
      <c r="U43" s="774"/>
      <c r="V43" s="774"/>
      <c r="W43" s="774"/>
      <c r="X43" s="774"/>
      <c r="Y43" s="774"/>
      <c r="Z43" s="774"/>
      <c r="AA43" s="775"/>
      <c r="AB43" s="779"/>
      <c r="AC43" s="779"/>
      <c r="AD43" s="779"/>
      <c r="AE43" s="779"/>
      <c r="AF43" s="779"/>
      <c r="AG43" s="779"/>
      <c r="AH43" s="779"/>
      <c r="AI43" s="779"/>
      <c r="AJ43" s="779"/>
      <c r="AK43" s="779"/>
      <c r="AL43" s="779"/>
      <c r="AM43" s="780"/>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1681.7707933177728</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1681.7707933177728</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70" t="s">
        <v>450</v>
      </c>
      <c r="L44" s="768"/>
      <c r="M44" s="769"/>
      <c r="N44" s="157"/>
      <c r="O44" s="62"/>
      <c r="P44" s="776"/>
      <c r="Q44" s="777"/>
      <c r="R44" s="777"/>
      <c r="S44" s="777"/>
      <c r="T44" s="777"/>
      <c r="U44" s="777"/>
      <c r="V44" s="777"/>
      <c r="W44" s="777"/>
      <c r="X44" s="777"/>
      <c r="Y44" s="777"/>
      <c r="Z44" s="777"/>
      <c r="AA44" s="778"/>
      <c r="AB44" s="781"/>
      <c r="AC44" s="781"/>
      <c r="AD44" s="781"/>
      <c r="AE44" s="781"/>
      <c r="AF44" s="781"/>
      <c r="AG44" s="781"/>
      <c r="AH44" s="781"/>
      <c r="AI44" s="781"/>
      <c r="AJ44" s="781"/>
      <c r="AK44" s="781"/>
      <c r="AL44" s="781"/>
      <c r="AM44" s="782"/>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1770.2850455976557</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1770.2850455976557</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3" t="s">
        <v>451</v>
      </c>
      <c r="L45" s="768"/>
      <c r="M45" s="769"/>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1863.4579427343745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1863.4579427343745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87" t="s">
        <v>452</v>
      </c>
      <c r="L46" s="768"/>
      <c r="M46" s="769"/>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1961.5346765624995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1961.5346765624995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67" t="s">
        <v>453</v>
      </c>
      <c r="L47" s="768"/>
      <c r="M47" s="769"/>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2064.7733437499996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2064.7733437499996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70" t="s">
        <v>454</v>
      </c>
      <c r="L48" s="768"/>
      <c r="M48" s="769"/>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2173.4456249999998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2173.4456249999998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71" t="s">
        <v>455</v>
      </c>
      <c r="L49" s="768"/>
      <c r="M49" s="769"/>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2287.8375000000001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2287.8375000000001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71" t="s">
        <v>456</v>
      </c>
      <c r="L50" s="768"/>
      <c r="M50" s="769"/>
      <c r="N50" s="163">
        <f ca="1">N49-TODAY()-N44</f>
        <v>34</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2408.25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2408.25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71" t="s">
        <v>457</v>
      </c>
      <c r="L51" s="768"/>
      <c r="M51" s="769"/>
      <c r="N51" s="164">
        <f ca="1">N50/365</f>
        <v>9.3150684931506855E-2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2535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2535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2" t="s">
        <v>0</v>
      </c>
      <c r="L52" s="768"/>
      <c r="M52" s="769"/>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2661.75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2661.75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4" t="s">
        <v>1</v>
      </c>
      <c r="L53" s="785"/>
      <c r="M53" s="786"/>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2794.8375000000001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2794.8375000000001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2934.5793750000003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2934.5793750000003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3081.3083437500004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3081.3083437500004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3235.3737609375007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3235.3737609375007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3397.1424489843757</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3397.1424489843757</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3566.9995714335946</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3566.9995714335946</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3745.3495500052745</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3745.3495500052745</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3932.6170275055383</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3932.6170275055383</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4129.2478788808157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4129.2478788808157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4335.7102728248565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4335.7102728248565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4552.4957864660992</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4552.4957864660992</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4780.120575789404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4780.120575789404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5019.1266045788743</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5019.1266045788743</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5270.0829348078187</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5270.0829348078187</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5533.5870815482094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5533.5870815482094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1174.443268454974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1174.443268454974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1236.2560720578674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1236.2560720578674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1301.3221811135447</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1301.3221811135447</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64" t="s">
        <v>403</v>
      </c>
      <c r="B73" s="179"/>
      <c r="C73" s="180"/>
      <c r="D73" s="181"/>
      <c r="E73" s="572">
        <f>-C73*B73</f>
        <v>0</v>
      </c>
      <c r="F73" s="573">
        <f>IF(B73&gt;0,-C73*(1+($N$52+0.0008)*1.21)*B73,-C73*(1-($N$52+0.0008)*1.21)*B73)</f>
        <v>0</v>
      </c>
      <c r="G73" s="214">
        <f>B76</f>
        <v>2535</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1369.812822224784</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1369.812822224784</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65"/>
      <c r="B74" s="144"/>
      <c r="C74" s="125"/>
      <c r="D74" s="182"/>
      <c r="E74" s="574">
        <f>-C74*B74</f>
        <v>0</v>
      </c>
      <c r="F74" s="575">
        <f>IF(B74&gt;0,-C74*(1+($N$52+0.0008)*1.21)*B74,-C74*(1-($N$52+0.0008)*1.21)*B74)</f>
        <v>0</v>
      </c>
      <c r="G74" s="214">
        <f>G73</f>
        <v>2535</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1441.9082339208253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1441.9082339208253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66"/>
      <c r="B75" s="178"/>
      <c r="C75" s="183"/>
      <c r="D75" s="184"/>
      <c r="E75" s="576">
        <f>-C75*B75</f>
        <v>0</v>
      </c>
      <c r="F75" s="577">
        <f>IF(B75&gt;0,-C75*(1+($N$52+0.0008)*1.21)*B75,-C75*(1-($N$52+0.0008)*1.21)*B75)</f>
        <v>0</v>
      </c>
      <c r="G75" s="215">
        <f>G74</f>
        <v>2535</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1517.7981409692898</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1517.7981409692898</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2535</v>
      </c>
      <c r="C76" s="186"/>
      <c r="D76" s="187" t="s">
        <v>459</v>
      </c>
      <c r="E76" s="543">
        <f>SUM(E3:E75)</f>
        <v>-2375</v>
      </c>
      <c r="F76" s="544">
        <f>SUM(F3:F75)</f>
        <v>-2395.6910000000003</v>
      </c>
      <c r="G76" s="188"/>
      <c r="H76" s="189"/>
      <c r="I76" s="545">
        <f>SUM(I3:I75)</f>
        <v>-345.69100000000026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1597.6822536518841</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1597.6822536518841</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1681.7707933177728</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1681.7707933177728</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1770.2850455976557</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1770.2850455976557</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1863.4579427343745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1863.4579427343745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1961.5346765624995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1961.5346765624995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2064.7733437499996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2064.7733437499996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2173.4456249999998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2173.4456249999998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2287.8375000000001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2287.8375000000001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2408.25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2408.25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2535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2535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2661.75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2661.75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2794.8375000000001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2794.8375000000001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2934.5793750000003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2934.5793750000003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3081.3083437500004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3081.3083437500004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3235.3737609375007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3235.3737609375007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3397.1424489843757</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3397.1424489843757</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3566.9995714335946</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3566.9995714335946</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3745.3495500052745</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3745.3495500052745</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3932.6170275055383</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3932.6170275055383</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4129.2478788808157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4129.2478788808157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4335.7102728248565</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67855.136412428241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67855.136412428241</v>
      </c>
      <c r="EU96" s="72"/>
      <c r="EV96" s="117">
        <f t="shared" si="171"/>
        <v>4335.7102728248565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4552.4957864660992</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176247.89323304957</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176247.89323304957</v>
      </c>
      <c r="EU97" s="72"/>
      <c r="EV97" s="117">
        <f t="shared" si="171"/>
        <v>4552.4957864660992</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4780.120575789404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290060.28789470199</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290060.28789470199</v>
      </c>
      <c r="EU98" s="72"/>
      <c r="EV98" s="117">
        <f t="shared" si="171"/>
        <v>4780.120575789404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5019.1266045788743</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409563.30228943715</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409563.30228943715</v>
      </c>
      <c r="EU99" s="72"/>
      <c r="EV99" s="117">
        <f t="shared" si="171"/>
        <v>5019.1266045788743</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5270.0829348078187</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535041.46740390931</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535041.46740390931</v>
      </c>
      <c r="EU100" s="72"/>
      <c r="EV100" s="117">
        <f t="shared" si="171"/>
        <v>5270.0829348078187</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5533.5870815482094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666793.54077410477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666793.54077410477</v>
      </c>
      <c r="EU101" s="72"/>
      <c r="EV101" s="117">
        <f t="shared" si="171"/>
        <v>5533.5870815482094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1174.443268454974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1174.443268454974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1236.2560720578674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1236.2560720578674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1301.3221811135447</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1301.3221811135447</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1369.812822224784</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1369.812822224784</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1441.9082339208253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1441.9082339208253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1517.7981409692898</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1517.7981409692898</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1597.6822536518841</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1597.6822536518841</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1681.7707933177728</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1681.7707933177728</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1770.2850455976557</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1770.2850455976557</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1863.4579427343745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1863.4579427343745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1961.5346765624995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1961.5346765624995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2064.7733437499996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2064.7733437499996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2173.4456249999998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2173.4456249999998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2287.8375000000001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2287.8375000000001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2408.25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2408.25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2535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2535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2661.75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2661.75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2794.8375000000001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2794.8375000000001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2934.5793750000003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2934.5793750000003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3081.3083437500004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3081.3083437500004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3235.3737609375007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3235.3737609375007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3397.1424489843757</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3397.1424489843757</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3566.9995714335946</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3566.9995714335946</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3745.3495500052745</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3745.3495500052745</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3932.6170275055383</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3932.6170275055383</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4129.2478788808157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4129.2478788808157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4335.7102728248565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4335.7102728248565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4552.4957864660992</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4552.4957864660992</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4780.120575789404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4780.120575789404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5019.1266045788743</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5019.1266045788743</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5270.0829348078187</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5270.0829348078187</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5533.5870815482094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5533.5870815482094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2334" priority="451">
      <formula>AC3&gt;0</formula>
    </cfRule>
  </conditionalFormatting>
  <conditionalFormatting sqref="AD3 AD27:AD42">
    <cfRule type="expression" dxfId="2333" priority="452">
      <formula>AC3&lt;0</formula>
    </cfRule>
  </conditionalFormatting>
  <conditionalFormatting sqref="M3:N34">
    <cfRule type="cellIs" dxfId="2332" priority="453" operator="greaterThan">
      <formula>0</formula>
    </cfRule>
  </conditionalFormatting>
  <conditionalFormatting sqref="M3:N34">
    <cfRule type="cellIs" dxfId="2331" priority="454" operator="lessThan">
      <formula>0</formula>
    </cfRule>
  </conditionalFormatting>
  <conditionalFormatting sqref="B73:B74 B17:B18 B20:B30 AC3:AC17">
    <cfRule type="cellIs" dxfId="2330" priority="455" operator="greaterThan">
      <formula>0</formula>
    </cfRule>
  </conditionalFormatting>
  <conditionalFormatting sqref="B73:B74 B17:B18 B20:B30 AC3:AC17">
    <cfRule type="cellIs" dxfId="2329" priority="456" operator="lessThan">
      <formula>0</formula>
    </cfRule>
  </conditionalFormatting>
  <conditionalFormatting sqref="BA61:BA76">
    <cfRule type="cellIs" dxfId="2328" priority="457" operator="greaterThan">
      <formula>0</formula>
    </cfRule>
  </conditionalFormatting>
  <conditionalFormatting sqref="BA61:BA76">
    <cfRule type="cellIs" dxfId="2327" priority="458" operator="lessThan">
      <formula>0</formula>
    </cfRule>
  </conditionalFormatting>
  <conditionalFormatting sqref="BA6:BA8">
    <cfRule type="cellIs" dxfId="2326" priority="459" operator="greaterThan">
      <formula>0</formula>
    </cfRule>
  </conditionalFormatting>
  <conditionalFormatting sqref="BA6:BA8">
    <cfRule type="cellIs" dxfId="2325" priority="460" operator="lessThan">
      <formula>0</formula>
    </cfRule>
  </conditionalFormatting>
  <conditionalFormatting sqref="B43 B17:B18 B41 B20:B30 Q3 AC3:AC42">
    <cfRule type="cellIs" dxfId="2324" priority="461" operator="greaterThan">
      <formula>0</formula>
    </cfRule>
  </conditionalFormatting>
  <conditionalFormatting sqref="B43 B17:B18 B41 B20:B30 Q3 AC3:AC42">
    <cfRule type="cellIs" dxfId="2323" priority="462" operator="lessThan">
      <formula>0</formula>
    </cfRule>
  </conditionalFormatting>
  <conditionalFormatting sqref="B30">
    <cfRule type="cellIs" dxfId="2322" priority="463" operator="greaterThan">
      <formula>0</formula>
    </cfRule>
  </conditionalFormatting>
  <conditionalFormatting sqref="B30">
    <cfRule type="cellIs" dxfId="2321" priority="464" operator="lessThan">
      <formula>0</formula>
    </cfRule>
  </conditionalFormatting>
  <conditionalFormatting sqref="B75">
    <cfRule type="cellIs" dxfId="2320" priority="465" operator="greaterThan">
      <formula>0</formula>
    </cfRule>
  </conditionalFormatting>
  <conditionalFormatting sqref="B75">
    <cfRule type="cellIs" dxfId="2319" priority="466" operator="lessThan">
      <formula>0</formula>
    </cfRule>
  </conditionalFormatting>
  <conditionalFormatting sqref="BA9">
    <cfRule type="cellIs" dxfId="2318" priority="467" operator="greaterThan">
      <formula>0</formula>
    </cfRule>
  </conditionalFormatting>
  <conditionalFormatting sqref="BA9">
    <cfRule type="cellIs" dxfId="2317" priority="468" operator="lessThan">
      <formula>0</formula>
    </cfRule>
  </conditionalFormatting>
  <conditionalFormatting sqref="AU14:AU16">
    <cfRule type="cellIs" dxfId="2316" priority="469" operator="greaterThan">
      <formula>0</formula>
    </cfRule>
  </conditionalFormatting>
  <conditionalFormatting sqref="AU14:AU16">
    <cfRule type="cellIs" dxfId="2315" priority="470" operator="lessThan">
      <formula>0</formula>
    </cfRule>
  </conditionalFormatting>
  <conditionalFormatting sqref="AU28">
    <cfRule type="cellIs" dxfId="2314" priority="471" operator="greaterThan">
      <formula>0</formula>
    </cfRule>
  </conditionalFormatting>
  <conditionalFormatting sqref="AU28">
    <cfRule type="cellIs" dxfId="2313" priority="472" operator="lessThan">
      <formula>0</formula>
    </cfRule>
  </conditionalFormatting>
  <conditionalFormatting sqref="BA27">
    <cfRule type="cellIs" dxfId="2312" priority="473" operator="greaterThan">
      <formula>0</formula>
    </cfRule>
  </conditionalFormatting>
  <conditionalFormatting sqref="BA27">
    <cfRule type="cellIs" dxfId="2311" priority="474" operator="lessThan">
      <formula>0</formula>
    </cfRule>
  </conditionalFormatting>
  <conditionalFormatting sqref="BA22">
    <cfRule type="cellIs" dxfId="2310" priority="475" operator="greaterThan">
      <formula>0</formula>
    </cfRule>
  </conditionalFormatting>
  <conditionalFormatting sqref="BA22">
    <cfRule type="cellIs" dxfId="2309" priority="476" operator="lessThan">
      <formula>0</formula>
    </cfRule>
  </conditionalFormatting>
  <conditionalFormatting sqref="AU16:AU42">
    <cfRule type="cellIs" dxfId="2308" priority="477" operator="greaterThan">
      <formula>0</formula>
    </cfRule>
  </conditionalFormatting>
  <conditionalFormatting sqref="AU16:AU42">
    <cfRule type="cellIs" dxfId="2307" priority="478" operator="lessThan">
      <formula>0</formula>
    </cfRule>
  </conditionalFormatting>
  <conditionalFormatting sqref="AU24:AU27">
    <cfRule type="cellIs" dxfId="2306" priority="479" operator="greaterThan">
      <formula>0</formula>
    </cfRule>
  </conditionalFormatting>
  <conditionalFormatting sqref="AU24:AU27">
    <cfRule type="cellIs" dxfId="2305" priority="480" operator="lessThan">
      <formula>0</formula>
    </cfRule>
  </conditionalFormatting>
  <conditionalFormatting sqref="BA10:BA11 BA16:BA18 BA20:BA42">
    <cfRule type="cellIs" dxfId="2304" priority="481" operator="greaterThan">
      <formula>0</formula>
    </cfRule>
  </conditionalFormatting>
  <conditionalFormatting sqref="BA10:BA11 BA16:BA18 BA20:BA42">
    <cfRule type="cellIs" dxfId="2303" priority="482" operator="lessThan">
      <formula>0</formula>
    </cfRule>
  </conditionalFormatting>
  <conditionalFormatting sqref="BA12:BA15">
    <cfRule type="cellIs" dxfId="2302" priority="483" operator="greaterThan">
      <formula>0</formula>
    </cfRule>
  </conditionalFormatting>
  <conditionalFormatting sqref="BA12:BA15">
    <cfRule type="cellIs" dxfId="2301" priority="484" operator="lessThan">
      <formula>0</formula>
    </cfRule>
  </conditionalFormatting>
  <conditionalFormatting sqref="BA19">
    <cfRule type="cellIs" dxfId="2300" priority="485" operator="greaterThan">
      <formula>0</formula>
    </cfRule>
  </conditionalFormatting>
  <conditionalFormatting sqref="BA19">
    <cfRule type="cellIs" dxfId="2299" priority="486" operator="lessThan">
      <formula>0</formula>
    </cfRule>
  </conditionalFormatting>
  <conditionalFormatting sqref="AU29:AU36">
    <cfRule type="cellIs" dxfId="2298" priority="487" operator="greaterThan">
      <formula>0</formula>
    </cfRule>
  </conditionalFormatting>
  <conditionalFormatting sqref="AU29:AU36">
    <cfRule type="cellIs" dxfId="2297" priority="488" operator="lessThan">
      <formula>0</formula>
    </cfRule>
  </conditionalFormatting>
  <conditionalFormatting sqref="BA23:BA24">
    <cfRule type="cellIs" dxfId="2296" priority="489" operator="greaterThan">
      <formula>0</formula>
    </cfRule>
  </conditionalFormatting>
  <conditionalFormatting sqref="BA23:BA24">
    <cfRule type="cellIs" dxfId="2295" priority="490" operator="lessThan">
      <formula>0</formula>
    </cfRule>
  </conditionalFormatting>
  <conditionalFormatting sqref="BA25:BA26">
    <cfRule type="cellIs" dxfId="2294" priority="491" operator="greaterThan">
      <formula>0</formula>
    </cfRule>
  </conditionalFormatting>
  <conditionalFormatting sqref="BA25:BA26">
    <cfRule type="cellIs" dxfId="2293" priority="492" operator="lessThan">
      <formula>0</formula>
    </cfRule>
  </conditionalFormatting>
  <conditionalFormatting sqref="AU61:AU76">
    <cfRule type="cellIs" dxfId="2292" priority="493" operator="greaterThan">
      <formula>0</formula>
    </cfRule>
  </conditionalFormatting>
  <conditionalFormatting sqref="AU61:AU76">
    <cfRule type="cellIs" dxfId="2291" priority="494" operator="lessThan">
      <formula>0</formula>
    </cfRule>
  </conditionalFormatting>
  <conditionalFormatting sqref="AU50:AU53 AU55:AU68">
    <cfRule type="cellIs" dxfId="2290" priority="495" operator="greaterThan">
      <formula>0</formula>
    </cfRule>
  </conditionalFormatting>
  <conditionalFormatting sqref="AU50:AU53 AU55:AU68">
    <cfRule type="cellIs" dxfId="2289" priority="496" operator="lessThan">
      <formula>0</formula>
    </cfRule>
  </conditionalFormatting>
  <conditionalFormatting sqref="AU50">
    <cfRule type="cellIs" dxfId="2288" priority="497" operator="greaterThan">
      <formula>0</formula>
    </cfRule>
  </conditionalFormatting>
  <conditionalFormatting sqref="AU50">
    <cfRule type="cellIs" dxfId="2287" priority="498" operator="lessThan">
      <formula>0</formula>
    </cfRule>
  </conditionalFormatting>
  <conditionalFormatting sqref="AU70">
    <cfRule type="cellIs" dxfId="2286" priority="499" operator="greaterThan">
      <formula>0</formula>
    </cfRule>
  </conditionalFormatting>
  <conditionalFormatting sqref="AU70">
    <cfRule type="cellIs" dxfId="2285" priority="500" operator="lessThan">
      <formula>0</formula>
    </cfRule>
  </conditionalFormatting>
  <conditionalFormatting sqref="AU35:AU47 AU50">
    <cfRule type="cellIs" dxfId="2284" priority="501" operator="greaterThan">
      <formula>0</formula>
    </cfRule>
  </conditionalFormatting>
  <conditionalFormatting sqref="AU35:AU47 AU50">
    <cfRule type="cellIs" dxfId="2283" priority="502" operator="lessThan">
      <formula>0</formula>
    </cfRule>
  </conditionalFormatting>
  <conditionalFormatting sqref="AU43:AU47 AU50">
    <cfRule type="cellIs" dxfId="2282" priority="503" operator="greaterThan">
      <formula>0</formula>
    </cfRule>
  </conditionalFormatting>
  <conditionalFormatting sqref="AU43:AU47 AU50">
    <cfRule type="cellIs" dxfId="2281" priority="504" operator="lessThan">
      <formula>0</formula>
    </cfRule>
  </conditionalFormatting>
  <conditionalFormatting sqref="AU69">
    <cfRule type="cellIs" dxfId="2280" priority="505" operator="greaterThan">
      <formula>0</formula>
    </cfRule>
  </conditionalFormatting>
  <conditionalFormatting sqref="AU69">
    <cfRule type="cellIs" dxfId="2279" priority="506" operator="lessThan">
      <formula>0</formula>
    </cfRule>
  </conditionalFormatting>
  <conditionalFormatting sqref="AU59">
    <cfRule type="cellIs" dxfId="2278" priority="507" operator="greaterThan">
      <formula>0</formula>
    </cfRule>
  </conditionalFormatting>
  <conditionalFormatting sqref="AU59">
    <cfRule type="cellIs" dxfId="2277" priority="508" operator="lessThan">
      <formula>0</formula>
    </cfRule>
  </conditionalFormatting>
  <conditionalFormatting sqref="AU47:AU50">
    <cfRule type="cellIs" dxfId="2276" priority="509" operator="greaterThan">
      <formula>0</formula>
    </cfRule>
  </conditionalFormatting>
  <conditionalFormatting sqref="AU47:AU50">
    <cfRule type="cellIs" dxfId="2275" priority="510" operator="lessThan">
      <formula>0</formula>
    </cfRule>
  </conditionalFormatting>
  <conditionalFormatting sqref="AU59">
    <cfRule type="cellIs" dxfId="2274" priority="511" operator="greaterThan">
      <formula>0</formula>
    </cfRule>
  </conditionalFormatting>
  <conditionalFormatting sqref="AU59">
    <cfRule type="cellIs" dxfId="2273" priority="512" operator="lessThan">
      <formula>0</formula>
    </cfRule>
  </conditionalFormatting>
  <conditionalFormatting sqref="AU60">
    <cfRule type="cellIs" dxfId="2272" priority="513" operator="greaterThan">
      <formula>0</formula>
    </cfRule>
  </conditionalFormatting>
  <conditionalFormatting sqref="AU60">
    <cfRule type="cellIs" dxfId="2271" priority="514" operator="lessThan">
      <formula>0</formula>
    </cfRule>
  </conditionalFormatting>
  <conditionalFormatting sqref="AU61:AU63">
    <cfRule type="cellIs" dxfId="2270" priority="515" operator="greaterThan">
      <formula>0</formula>
    </cfRule>
  </conditionalFormatting>
  <conditionalFormatting sqref="AU61:AU63">
    <cfRule type="cellIs" dxfId="2269" priority="516" operator="lessThan">
      <formula>0</formula>
    </cfRule>
  </conditionalFormatting>
  <conditionalFormatting sqref="AU63">
    <cfRule type="cellIs" dxfId="2268" priority="517" operator="greaterThan">
      <formula>0</formula>
    </cfRule>
  </conditionalFormatting>
  <conditionalFormatting sqref="AU63">
    <cfRule type="cellIs" dxfId="2267" priority="518" operator="lessThan">
      <formula>0</formula>
    </cfRule>
  </conditionalFormatting>
  <conditionalFormatting sqref="AU64:AU65">
    <cfRule type="cellIs" dxfId="2266" priority="519" operator="greaterThan">
      <formula>0</formula>
    </cfRule>
  </conditionalFormatting>
  <conditionalFormatting sqref="AU64:AU65">
    <cfRule type="cellIs" dxfId="2265" priority="520" operator="lessThan">
      <formula>0</formula>
    </cfRule>
  </conditionalFormatting>
  <conditionalFormatting sqref="AU52:AU54">
    <cfRule type="cellIs" dxfId="2264" priority="521" operator="greaterThan">
      <formula>0</formula>
    </cfRule>
  </conditionalFormatting>
  <conditionalFormatting sqref="AU52:AU54">
    <cfRule type="cellIs" dxfId="2263" priority="522" operator="lessThan">
      <formula>0</formula>
    </cfRule>
  </conditionalFormatting>
  <conditionalFormatting sqref="AU65">
    <cfRule type="cellIs" dxfId="2262" priority="523" operator="greaterThan">
      <formula>0</formula>
    </cfRule>
  </conditionalFormatting>
  <conditionalFormatting sqref="AU65">
    <cfRule type="cellIs" dxfId="2261" priority="524" operator="lessThan">
      <formula>0</formula>
    </cfRule>
  </conditionalFormatting>
  <conditionalFormatting sqref="AU64">
    <cfRule type="cellIs" dxfId="2260" priority="525" operator="greaterThan">
      <formula>0</formula>
    </cfRule>
  </conditionalFormatting>
  <conditionalFormatting sqref="AU64">
    <cfRule type="cellIs" dxfId="2259" priority="526" operator="lessThan">
      <formula>0</formula>
    </cfRule>
  </conditionalFormatting>
  <conditionalFormatting sqref="AU54">
    <cfRule type="cellIs" dxfId="2258" priority="527" operator="greaterThan">
      <formula>0</formula>
    </cfRule>
  </conditionalFormatting>
  <conditionalFormatting sqref="AU54">
    <cfRule type="cellIs" dxfId="2257" priority="528" operator="lessThan">
      <formula>0</formula>
    </cfRule>
  </conditionalFormatting>
  <conditionalFormatting sqref="AU54">
    <cfRule type="cellIs" dxfId="2256" priority="529" operator="greaterThan">
      <formula>0</formula>
    </cfRule>
  </conditionalFormatting>
  <conditionalFormatting sqref="AU54">
    <cfRule type="cellIs" dxfId="2255" priority="530" operator="lessThan">
      <formula>0</formula>
    </cfRule>
  </conditionalFormatting>
  <conditionalFormatting sqref="AU55:AU68">
    <cfRule type="cellIs" dxfId="2254" priority="531" operator="greaterThan">
      <formula>0</formula>
    </cfRule>
  </conditionalFormatting>
  <conditionalFormatting sqref="AU55:AU68">
    <cfRule type="cellIs" dxfId="2253" priority="532" operator="lessThan">
      <formula>0</formula>
    </cfRule>
  </conditionalFormatting>
  <conditionalFormatting sqref="AU56:AU58">
    <cfRule type="cellIs" dxfId="2252" priority="533" operator="greaterThan">
      <formula>0</formula>
    </cfRule>
  </conditionalFormatting>
  <conditionalFormatting sqref="AU56:AU58">
    <cfRule type="cellIs" dxfId="2251" priority="534" operator="lessThan">
      <formula>0</formula>
    </cfRule>
  </conditionalFormatting>
  <conditionalFormatting sqref="AU58">
    <cfRule type="cellIs" dxfId="2250" priority="535" operator="greaterThan">
      <formula>0</formula>
    </cfRule>
  </conditionalFormatting>
  <conditionalFormatting sqref="AU58">
    <cfRule type="cellIs" dxfId="2249" priority="536" operator="lessThan">
      <formula>0</formula>
    </cfRule>
  </conditionalFormatting>
  <conditionalFormatting sqref="AU59:AU60">
    <cfRule type="cellIs" dxfId="2248" priority="537" operator="greaterThan">
      <formula>0</formula>
    </cfRule>
  </conditionalFormatting>
  <conditionalFormatting sqref="AU59:AU60">
    <cfRule type="cellIs" dxfId="2247" priority="538" operator="lessThan">
      <formula>0</formula>
    </cfRule>
  </conditionalFormatting>
  <conditionalFormatting sqref="BA28:BA29 BA34:BA36 BA38:BA68">
    <cfRule type="cellIs" dxfId="2246" priority="539" operator="greaterThan">
      <formula>0</formula>
    </cfRule>
  </conditionalFormatting>
  <conditionalFormatting sqref="BA28:BA29 BA34:BA36 BA38:BA68">
    <cfRule type="cellIs" dxfId="2245" priority="540" operator="lessThan">
      <formula>0</formula>
    </cfRule>
  </conditionalFormatting>
  <conditionalFormatting sqref="BA30:BA33">
    <cfRule type="cellIs" dxfId="2244" priority="541" operator="greaterThan">
      <formula>0</formula>
    </cfRule>
  </conditionalFormatting>
  <conditionalFormatting sqref="BA30:BA33">
    <cfRule type="cellIs" dxfId="2243" priority="542" operator="lessThan">
      <formula>0</formula>
    </cfRule>
  </conditionalFormatting>
  <conditionalFormatting sqref="BA57">
    <cfRule type="cellIs" dxfId="2242" priority="543" operator="greaterThan">
      <formula>0</formula>
    </cfRule>
  </conditionalFormatting>
  <conditionalFormatting sqref="BA57">
    <cfRule type="cellIs" dxfId="2241" priority="544" operator="lessThan">
      <formula>0</formula>
    </cfRule>
  </conditionalFormatting>
  <conditionalFormatting sqref="BA37">
    <cfRule type="cellIs" dxfId="2240" priority="545" operator="greaterThan">
      <formula>0</formula>
    </cfRule>
  </conditionalFormatting>
  <conditionalFormatting sqref="BA37">
    <cfRule type="cellIs" dxfId="2239" priority="546" operator="lessThan">
      <formula>0</formula>
    </cfRule>
  </conditionalFormatting>
  <conditionalFormatting sqref="AU5:AU14">
    <cfRule type="cellIs" dxfId="2238" priority="547" operator="greaterThan">
      <formula>0</formula>
    </cfRule>
  </conditionalFormatting>
  <conditionalFormatting sqref="AU5:AU14">
    <cfRule type="cellIs" dxfId="2237" priority="548" operator="lessThan">
      <formula>0</formula>
    </cfRule>
  </conditionalFormatting>
  <conditionalFormatting sqref="AU13">
    <cfRule type="cellIs" dxfId="2236" priority="549" operator="greaterThan">
      <formula>0</formula>
    </cfRule>
  </conditionalFormatting>
  <conditionalFormatting sqref="AU13">
    <cfRule type="cellIs" dxfId="2235" priority="550" operator="lessThan">
      <formula>0</formula>
    </cfRule>
  </conditionalFormatting>
  <conditionalFormatting sqref="B65:B72">
    <cfRule type="cellIs" dxfId="2234" priority="551" operator="greaterThan">
      <formula>0</formula>
    </cfRule>
  </conditionalFormatting>
  <conditionalFormatting sqref="B65:B72">
    <cfRule type="cellIs" dxfId="2233" priority="552" operator="lessThan">
      <formula>0</formula>
    </cfRule>
  </conditionalFormatting>
  <conditionalFormatting sqref="BG3:BG76">
    <cfRule type="cellIs" dxfId="2232" priority="553" operator="greaterThan">
      <formula>0</formula>
    </cfRule>
  </conditionalFormatting>
  <conditionalFormatting sqref="BG3:BG76">
    <cfRule type="cellIs" dxfId="2231" priority="554" operator="lessThan">
      <formula>0</formula>
    </cfRule>
  </conditionalFormatting>
  <conditionalFormatting sqref="AU21">
    <cfRule type="cellIs" dxfId="2230" priority="555" operator="greaterThan">
      <formula>0</formula>
    </cfRule>
  </conditionalFormatting>
  <conditionalFormatting sqref="AU21">
    <cfRule type="cellIs" dxfId="2229" priority="556" operator="lessThan">
      <formula>0</formula>
    </cfRule>
  </conditionalFormatting>
  <conditionalFormatting sqref="AU21">
    <cfRule type="cellIs" dxfId="2228" priority="557" operator="greaterThan">
      <formula>0</formula>
    </cfRule>
  </conditionalFormatting>
  <conditionalFormatting sqref="AU21">
    <cfRule type="cellIs" dxfId="2227" priority="558" operator="lessThan">
      <formula>0</formula>
    </cfRule>
  </conditionalFormatting>
  <conditionalFormatting sqref="AU14">
    <cfRule type="cellIs" dxfId="2226" priority="559" operator="greaterThan">
      <formula>0</formula>
    </cfRule>
  </conditionalFormatting>
  <conditionalFormatting sqref="AU14">
    <cfRule type="cellIs" dxfId="2225" priority="560" operator="lessThan">
      <formula>0</formula>
    </cfRule>
  </conditionalFormatting>
  <conditionalFormatting sqref="AU22">
    <cfRule type="cellIs" dxfId="2224" priority="561" operator="greaterThan">
      <formula>0</formula>
    </cfRule>
  </conditionalFormatting>
  <conditionalFormatting sqref="AU22">
    <cfRule type="cellIs" dxfId="2223" priority="562" operator="lessThan">
      <formula>0</formula>
    </cfRule>
  </conditionalFormatting>
  <conditionalFormatting sqref="AU22">
    <cfRule type="cellIs" dxfId="2222" priority="563" operator="greaterThan">
      <formula>0</formula>
    </cfRule>
  </conditionalFormatting>
  <conditionalFormatting sqref="AU22">
    <cfRule type="cellIs" dxfId="2221" priority="564" operator="lessThan">
      <formula>0</formula>
    </cfRule>
  </conditionalFormatting>
  <conditionalFormatting sqref="B64">
    <cfRule type="cellIs" dxfId="2220" priority="565" operator="greaterThan">
      <formula>0</formula>
    </cfRule>
  </conditionalFormatting>
  <conditionalFormatting sqref="B64">
    <cfRule type="cellIs" dxfId="2219" priority="566" operator="lessThan">
      <formula>0</formula>
    </cfRule>
  </conditionalFormatting>
  <conditionalFormatting sqref="B41 B43:B72 AC3:AC42">
    <cfRule type="cellIs" dxfId="2218" priority="567" operator="greaterThan">
      <formula>0</formula>
    </cfRule>
  </conditionalFormatting>
  <conditionalFormatting sqref="B41 B43:B72 AC3:AC42">
    <cfRule type="cellIs" dxfId="2217" priority="568" operator="lessThan">
      <formula>0</formula>
    </cfRule>
  </conditionalFormatting>
  <conditionalFormatting sqref="B41 B43:B72">
    <cfRule type="cellIs" dxfId="2216" priority="569" operator="greaterThan">
      <formula>0</formula>
    </cfRule>
  </conditionalFormatting>
  <conditionalFormatting sqref="B41 B43:B72">
    <cfRule type="cellIs" dxfId="2215" priority="570" operator="lessThan">
      <formula>0</formula>
    </cfRule>
  </conditionalFormatting>
  <conditionalFormatting sqref="B29">
    <cfRule type="cellIs" dxfId="2214" priority="571" operator="greaterThan">
      <formula>0</formula>
    </cfRule>
  </conditionalFormatting>
  <conditionalFormatting sqref="B29">
    <cfRule type="cellIs" dxfId="2213" priority="572" operator="lessThan">
      <formula>0</formula>
    </cfRule>
  </conditionalFormatting>
  <conditionalFormatting sqref="AU3">
    <cfRule type="cellIs" dxfId="2212" priority="573" operator="greaterThan">
      <formula>0</formula>
    </cfRule>
  </conditionalFormatting>
  <conditionalFormatting sqref="AU3">
    <cfRule type="cellIs" dxfId="2211" priority="574" operator="lessThan">
      <formula>0</formula>
    </cfRule>
  </conditionalFormatting>
  <conditionalFormatting sqref="AU4">
    <cfRule type="cellIs" dxfId="2210" priority="575" operator="greaterThan">
      <formula>0</formula>
    </cfRule>
  </conditionalFormatting>
  <conditionalFormatting sqref="AU4">
    <cfRule type="cellIs" dxfId="2209" priority="576" operator="lessThan">
      <formula>0</formula>
    </cfRule>
  </conditionalFormatting>
  <conditionalFormatting sqref="BA3">
    <cfRule type="cellIs" dxfId="2208" priority="577" operator="greaterThan">
      <formula>0</formula>
    </cfRule>
  </conditionalFormatting>
  <conditionalFormatting sqref="BA3">
    <cfRule type="cellIs" dxfId="2207" priority="578" operator="lessThan">
      <formula>0</formula>
    </cfRule>
  </conditionalFormatting>
  <conditionalFormatting sqref="Q3 AC3:AC42">
    <cfRule type="cellIs" dxfId="2206" priority="579" operator="greaterThan">
      <formula>0</formula>
    </cfRule>
  </conditionalFormatting>
  <conditionalFormatting sqref="Q3 AC3:AC42">
    <cfRule type="cellIs" dxfId="2205" priority="580" operator="lessThan">
      <formula>0</formula>
    </cfRule>
  </conditionalFormatting>
  <conditionalFormatting sqref="N37">
    <cfRule type="cellIs" dxfId="2204" priority="581" operator="lessThan">
      <formula>0</formula>
    </cfRule>
  </conditionalFormatting>
  <conditionalFormatting sqref="N37">
    <cfRule type="cellIs" dxfId="2203" priority="582" operator="greaterThan">
      <formula>0</formula>
    </cfRule>
  </conditionalFormatting>
  <conditionalFormatting sqref="I3:I37">
    <cfRule type="cellIs" dxfId="2202" priority="449" operator="lessThan">
      <formula>0</formula>
    </cfRule>
    <cfRule type="cellIs" dxfId="2201" priority="450" operator="greaterThan">
      <formula>0</formula>
    </cfRule>
  </conditionalFormatting>
  <conditionalFormatting sqref="I41:I72">
    <cfRule type="cellIs" dxfId="2200" priority="447" operator="lessThan">
      <formula>0</formula>
    </cfRule>
    <cfRule type="cellIs" dxfId="2199" priority="448" operator="greaterThan">
      <formula>0</formula>
    </cfRule>
  </conditionalFormatting>
  <conditionalFormatting sqref="I76">
    <cfRule type="cellIs" dxfId="2198" priority="445" operator="lessThan">
      <formula>0</formula>
    </cfRule>
    <cfRule type="cellIs" dxfId="2197" priority="446" operator="greaterThan">
      <formula>0</formula>
    </cfRule>
  </conditionalFormatting>
  <conditionalFormatting sqref="B5:B6">
    <cfRule type="cellIs" dxfId="2196" priority="441" operator="greaterThan">
      <formula>0</formula>
    </cfRule>
  </conditionalFormatting>
  <conditionalFormatting sqref="B5:B6">
    <cfRule type="cellIs" dxfId="2195" priority="442" operator="lessThan">
      <formula>0</formula>
    </cfRule>
  </conditionalFormatting>
  <conditionalFormatting sqref="B5:B6">
    <cfRule type="cellIs" dxfId="2194" priority="443" operator="greaterThan">
      <formula>0</formula>
    </cfRule>
  </conditionalFormatting>
  <conditionalFormatting sqref="B5:B6">
    <cfRule type="cellIs" dxfId="2193" priority="444" operator="lessThan">
      <formula>0</formula>
    </cfRule>
  </conditionalFormatting>
  <conditionalFormatting sqref="AB43">
    <cfRule type="cellIs" dxfId="2192" priority="436" operator="greaterThan">
      <formula>0</formula>
    </cfRule>
  </conditionalFormatting>
  <conditionalFormatting sqref="AB43">
    <cfRule type="cellIs" dxfId="2191" priority="437" operator="lessThan">
      <formula>0</formula>
    </cfRule>
  </conditionalFormatting>
  <conditionalFormatting sqref="N38">
    <cfRule type="cellIs" dxfId="2190" priority="435" operator="lessThan">
      <formula>0</formula>
    </cfRule>
  </conditionalFormatting>
  <conditionalFormatting sqref="N39">
    <cfRule type="cellIs" dxfId="2189" priority="434" operator="lessThan">
      <formula>0</formula>
    </cfRule>
  </conditionalFormatting>
  <conditionalFormatting sqref="AA3">
    <cfRule type="cellIs" dxfId="2188" priority="432" operator="equal">
      <formula>0</formula>
    </cfRule>
  </conditionalFormatting>
  <conditionalFormatting sqref="B42">
    <cfRule type="cellIs" dxfId="2187" priority="424" operator="greaterThan">
      <formula>0</formula>
    </cfRule>
  </conditionalFormatting>
  <conditionalFormatting sqref="B42">
    <cfRule type="cellIs" dxfId="2186" priority="425" operator="lessThan">
      <formula>0</formula>
    </cfRule>
  </conditionalFormatting>
  <conditionalFormatting sqref="B42">
    <cfRule type="cellIs" dxfId="2185" priority="426" operator="greaterThan">
      <formula>0</formula>
    </cfRule>
  </conditionalFormatting>
  <conditionalFormatting sqref="B42">
    <cfRule type="cellIs" dxfId="2184" priority="427" operator="lessThan">
      <formula>0</formula>
    </cfRule>
  </conditionalFormatting>
  <conditionalFormatting sqref="B42">
    <cfRule type="cellIs" dxfId="2183" priority="428" operator="greaterThan">
      <formula>0</formula>
    </cfRule>
  </conditionalFormatting>
  <conditionalFormatting sqref="B42">
    <cfRule type="cellIs" dxfId="2182" priority="429" operator="lessThan">
      <formula>0</formula>
    </cfRule>
  </conditionalFormatting>
  <conditionalFormatting sqref="P3">
    <cfRule type="expression" dxfId="2181" priority="423">
      <formula>$L$18-$R3&lt;0</formula>
    </cfRule>
  </conditionalFormatting>
  <conditionalFormatting sqref="P3">
    <cfRule type="expression" dxfId="2180" priority="421">
      <formula>$L$18-$R3&gt;0</formula>
    </cfRule>
  </conditionalFormatting>
  <conditionalFormatting sqref="BA5">
    <cfRule type="cellIs" dxfId="2179" priority="415" operator="greaterThan">
      <formula>0</formula>
    </cfRule>
  </conditionalFormatting>
  <conditionalFormatting sqref="BA5">
    <cfRule type="cellIs" dxfId="2178" priority="416" operator="lessThan">
      <formula>0</formula>
    </cfRule>
  </conditionalFormatting>
  <conditionalFormatting sqref="BA4">
    <cfRule type="cellIs" dxfId="2177" priority="413" operator="greaterThan">
      <formula>0</formula>
    </cfRule>
  </conditionalFormatting>
  <conditionalFormatting sqref="BA4">
    <cfRule type="cellIs" dxfId="2176" priority="414" operator="lessThan">
      <formula>0</formula>
    </cfRule>
  </conditionalFormatting>
  <conditionalFormatting sqref="AB3:AB42">
    <cfRule type="expression" dxfId="2175" priority="412">
      <formula>$L$18-$AD3&gt;0</formula>
    </cfRule>
  </conditionalFormatting>
  <conditionalFormatting sqref="AB3:AB42">
    <cfRule type="expression" dxfId="2174"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2173" priority="409" operator="equal">
      <formula>0</formula>
    </cfRule>
  </conditionalFormatting>
  <conditionalFormatting sqref="B14">
    <cfRule type="cellIs" dxfId="2172" priority="402" operator="greaterThan">
      <formula>0</formula>
    </cfRule>
  </conditionalFormatting>
  <conditionalFormatting sqref="B14">
    <cfRule type="cellIs" dxfId="2171" priority="403" operator="lessThan">
      <formula>0</formula>
    </cfRule>
  </conditionalFormatting>
  <conditionalFormatting sqref="B14">
    <cfRule type="cellIs" dxfId="2170" priority="404" operator="greaterThan">
      <formula>0</formula>
    </cfRule>
  </conditionalFormatting>
  <conditionalFormatting sqref="B14">
    <cfRule type="cellIs" dxfId="2169" priority="405" operator="lessThan">
      <formula>0</formula>
    </cfRule>
  </conditionalFormatting>
  <conditionalFormatting sqref="B13">
    <cfRule type="cellIs" dxfId="2168" priority="398" operator="greaterThan">
      <formula>0</formula>
    </cfRule>
  </conditionalFormatting>
  <conditionalFormatting sqref="B13">
    <cfRule type="cellIs" dxfId="2167" priority="399" operator="lessThan">
      <formula>0</formula>
    </cfRule>
  </conditionalFormatting>
  <conditionalFormatting sqref="B13">
    <cfRule type="cellIs" dxfId="2166" priority="400" operator="greaterThan">
      <formula>0</formula>
    </cfRule>
  </conditionalFormatting>
  <conditionalFormatting sqref="B13">
    <cfRule type="cellIs" dxfId="2165" priority="401" operator="lessThan">
      <formula>0</formula>
    </cfRule>
  </conditionalFormatting>
  <conditionalFormatting sqref="B17:B18">
    <cfRule type="cellIs" dxfId="2164" priority="394" operator="greaterThan">
      <formula>0</formula>
    </cfRule>
  </conditionalFormatting>
  <conditionalFormatting sqref="B17:B18">
    <cfRule type="cellIs" dxfId="2163" priority="395" operator="lessThan">
      <formula>0</formula>
    </cfRule>
  </conditionalFormatting>
  <conditionalFormatting sqref="B17:B18">
    <cfRule type="cellIs" dxfId="2162" priority="396" operator="greaterThan">
      <formula>0</formula>
    </cfRule>
  </conditionalFormatting>
  <conditionalFormatting sqref="B17:B18">
    <cfRule type="cellIs" dxfId="2161" priority="397" operator="lessThan">
      <formula>0</formula>
    </cfRule>
  </conditionalFormatting>
  <conditionalFormatting sqref="B13:B14">
    <cfRule type="cellIs" dxfId="2160" priority="390" operator="greaterThan">
      <formula>0</formula>
    </cfRule>
  </conditionalFormatting>
  <conditionalFormatting sqref="B13:B14">
    <cfRule type="cellIs" dxfId="2159" priority="391" operator="lessThan">
      <formula>0</formula>
    </cfRule>
  </conditionalFormatting>
  <conditionalFormatting sqref="B13:B14">
    <cfRule type="cellIs" dxfId="2158" priority="392" operator="greaterThan">
      <formula>0</formula>
    </cfRule>
  </conditionalFormatting>
  <conditionalFormatting sqref="B13:B14">
    <cfRule type="cellIs" dxfId="2157" priority="393" operator="lessThan">
      <formula>0</formula>
    </cfRule>
  </conditionalFormatting>
  <conditionalFormatting sqref="B5:B6">
    <cfRule type="cellIs" dxfId="2156" priority="386" operator="greaterThan">
      <formula>0</formula>
    </cfRule>
  </conditionalFormatting>
  <conditionalFormatting sqref="B5:B6">
    <cfRule type="cellIs" dxfId="2155" priority="387" operator="lessThan">
      <formula>0</formula>
    </cfRule>
  </conditionalFormatting>
  <conditionalFormatting sqref="B5:B6">
    <cfRule type="cellIs" dxfId="2154" priority="388" operator="greaterThan">
      <formula>0</formula>
    </cfRule>
  </conditionalFormatting>
  <conditionalFormatting sqref="B5:B6">
    <cfRule type="cellIs" dxfId="2153" priority="389" operator="lessThan">
      <formula>0</formula>
    </cfRule>
  </conditionalFormatting>
  <conditionalFormatting sqref="B12">
    <cfRule type="cellIs" dxfId="2152" priority="326" operator="greaterThan">
      <formula>0</formula>
    </cfRule>
  </conditionalFormatting>
  <conditionalFormatting sqref="B12">
    <cfRule type="cellIs" dxfId="2151" priority="327" operator="lessThan">
      <formula>0</formula>
    </cfRule>
  </conditionalFormatting>
  <conditionalFormatting sqref="B12">
    <cfRule type="cellIs" dxfId="2150" priority="328" operator="greaterThan">
      <formula>0</formula>
    </cfRule>
  </conditionalFormatting>
  <conditionalFormatting sqref="B12">
    <cfRule type="cellIs" dxfId="2149" priority="329" operator="lessThan">
      <formula>0</formula>
    </cfRule>
  </conditionalFormatting>
  <conditionalFormatting sqref="B15:B16">
    <cfRule type="cellIs" dxfId="2148" priority="382" operator="greaterThan">
      <formula>0</formula>
    </cfRule>
  </conditionalFormatting>
  <conditionalFormatting sqref="B15:B16">
    <cfRule type="cellIs" dxfId="2147" priority="383" operator="lessThan">
      <formula>0</formula>
    </cfRule>
  </conditionalFormatting>
  <conditionalFormatting sqref="B15:B16">
    <cfRule type="cellIs" dxfId="2146" priority="384" operator="greaterThan">
      <formula>0</formula>
    </cfRule>
  </conditionalFormatting>
  <conditionalFormatting sqref="B15:B16">
    <cfRule type="cellIs" dxfId="2145" priority="385" operator="lessThan">
      <formula>0</formula>
    </cfRule>
  </conditionalFormatting>
  <conditionalFormatting sqref="B16">
    <cfRule type="cellIs" dxfId="2144" priority="378" operator="greaterThan">
      <formula>0</formula>
    </cfRule>
  </conditionalFormatting>
  <conditionalFormatting sqref="B16">
    <cfRule type="cellIs" dxfId="2143" priority="379" operator="lessThan">
      <formula>0</formula>
    </cfRule>
  </conditionalFormatting>
  <conditionalFormatting sqref="B16">
    <cfRule type="cellIs" dxfId="2142" priority="380" operator="greaterThan">
      <formula>0</formula>
    </cfRule>
  </conditionalFormatting>
  <conditionalFormatting sqref="B16">
    <cfRule type="cellIs" dxfId="2141" priority="381" operator="lessThan">
      <formula>0</formula>
    </cfRule>
  </conditionalFormatting>
  <conditionalFormatting sqref="B16">
    <cfRule type="cellIs" dxfId="2140" priority="374" operator="greaterThan">
      <formula>0</formula>
    </cfRule>
  </conditionalFormatting>
  <conditionalFormatting sqref="B16">
    <cfRule type="cellIs" dxfId="2139" priority="375" operator="lessThan">
      <formula>0</formula>
    </cfRule>
  </conditionalFormatting>
  <conditionalFormatting sqref="B16">
    <cfRule type="cellIs" dxfId="2138" priority="376" operator="greaterThan">
      <formula>0</formula>
    </cfRule>
  </conditionalFormatting>
  <conditionalFormatting sqref="B16">
    <cfRule type="cellIs" dxfId="2137" priority="377" operator="lessThan">
      <formula>0</formula>
    </cfRule>
  </conditionalFormatting>
  <conditionalFormatting sqref="B15">
    <cfRule type="cellIs" dxfId="2136" priority="370" operator="greaterThan">
      <formula>0</formula>
    </cfRule>
  </conditionalFormatting>
  <conditionalFormatting sqref="B15">
    <cfRule type="cellIs" dxfId="2135" priority="371" operator="lessThan">
      <formula>0</formula>
    </cfRule>
  </conditionalFormatting>
  <conditionalFormatting sqref="B15">
    <cfRule type="cellIs" dxfId="2134" priority="372" operator="greaterThan">
      <formula>0</formula>
    </cfRule>
  </conditionalFormatting>
  <conditionalFormatting sqref="B15">
    <cfRule type="cellIs" dxfId="2133" priority="373" operator="lessThan">
      <formula>0</formula>
    </cfRule>
  </conditionalFormatting>
  <conditionalFormatting sqref="B15:B16">
    <cfRule type="cellIs" dxfId="2132" priority="366" operator="greaterThan">
      <formula>0</formula>
    </cfRule>
  </conditionalFormatting>
  <conditionalFormatting sqref="B15:B16">
    <cfRule type="cellIs" dxfId="2131" priority="367" operator="lessThan">
      <formula>0</formula>
    </cfRule>
  </conditionalFormatting>
  <conditionalFormatting sqref="B15:B16">
    <cfRule type="cellIs" dxfId="2130" priority="368" operator="greaterThan">
      <formula>0</formula>
    </cfRule>
  </conditionalFormatting>
  <conditionalFormatting sqref="B15:B16">
    <cfRule type="cellIs" dxfId="2129" priority="369" operator="lessThan">
      <formula>0</formula>
    </cfRule>
  </conditionalFormatting>
  <conditionalFormatting sqref="B15:B16">
    <cfRule type="cellIs" dxfId="2128" priority="362" operator="greaterThan">
      <formula>0</formula>
    </cfRule>
  </conditionalFormatting>
  <conditionalFormatting sqref="B15:B16">
    <cfRule type="cellIs" dxfId="2127" priority="363" operator="lessThan">
      <formula>0</formula>
    </cfRule>
  </conditionalFormatting>
  <conditionalFormatting sqref="B15:B16">
    <cfRule type="cellIs" dxfId="2126" priority="364" operator="greaterThan">
      <formula>0</formula>
    </cfRule>
  </conditionalFormatting>
  <conditionalFormatting sqref="B15:B16">
    <cfRule type="cellIs" dxfId="2125" priority="365" operator="lessThan">
      <formula>0</formula>
    </cfRule>
  </conditionalFormatting>
  <conditionalFormatting sqref="B11:B12">
    <cfRule type="cellIs" dxfId="2124" priority="358" operator="greaterThan">
      <formula>0</formula>
    </cfRule>
  </conditionalFormatting>
  <conditionalFormatting sqref="B11:B12">
    <cfRule type="cellIs" dxfId="2123" priority="359" operator="lessThan">
      <formula>0</formula>
    </cfRule>
  </conditionalFormatting>
  <conditionalFormatting sqref="B11:B12">
    <cfRule type="cellIs" dxfId="2122" priority="360" operator="greaterThan">
      <formula>0</formula>
    </cfRule>
  </conditionalFormatting>
  <conditionalFormatting sqref="B11:B12">
    <cfRule type="cellIs" dxfId="2121" priority="361" operator="lessThan">
      <formula>0</formula>
    </cfRule>
  </conditionalFormatting>
  <conditionalFormatting sqref="B11">
    <cfRule type="cellIs" dxfId="2120" priority="354" operator="greaterThan">
      <formula>0</formula>
    </cfRule>
  </conditionalFormatting>
  <conditionalFormatting sqref="B11">
    <cfRule type="cellIs" dxfId="2119" priority="355" operator="lessThan">
      <formula>0</formula>
    </cfRule>
  </conditionalFormatting>
  <conditionalFormatting sqref="B11">
    <cfRule type="cellIs" dxfId="2118" priority="356" operator="greaterThan">
      <formula>0</formula>
    </cfRule>
  </conditionalFormatting>
  <conditionalFormatting sqref="B11">
    <cfRule type="cellIs" dxfId="2117" priority="357" operator="lessThan">
      <formula>0</formula>
    </cfRule>
  </conditionalFormatting>
  <conditionalFormatting sqref="B12">
    <cfRule type="cellIs" dxfId="2116" priority="350" operator="greaterThan">
      <formula>0</formula>
    </cfRule>
  </conditionalFormatting>
  <conditionalFormatting sqref="B12">
    <cfRule type="cellIs" dxfId="2115" priority="351" operator="lessThan">
      <formula>0</formula>
    </cfRule>
  </conditionalFormatting>
  <conditionalFormatting sqref="B12">
    <cfRule type="cellIs" dxfId="2114" priority="352" operator="greaterThan">
      <formula>0</formula>
    </cfRule>
  </conditionalFormatting>
  <conditionalFormatting sqref="B12">
    <cfRule type="cellIs" dxfId="2113" priority="353" operator="lessThan">
      <formula>0</formula>
    </cfRule>
  </conditionalFormatting>
  <conditionalFormatting sqref="B5:B6">
    <cfRule type="cellIs" dxfId="2112" priority="346" operator="greaterThan">
      <formula>0</formula>
    </cfRule>
  </conditionalFormatting>
  <conditionalFormatting sqref="B5:B6">
    <cfRule type="cellIs" dxfId="2111" priority="347" operator="lessThan">
      <formula>0</formula>
    </cfRule>
  </conditionalFormatting>
  <conditionalFormatting sqref="B5:B6">
    <cfRule type="cellIs" dxfId="2110" priority="348" operator="greaterThan">
      <formula>0</formula>
    </cfRule>
  </conditionalFormatting>
  <conditionalFormatting sqref="B5:B6">
    <cfRule type="cellIs" dxfId="2109" priority="349" operator="lessThan">
      <formula>0</formula>
    </cfRule>
  </conditionalFormatting>
  <conditionalFormatting sqref="B5:B6">
    <cfRule type="cellIs" dxfId="2108" priority="342" operator="greaterThan">
      <formula>0</formula>
    </cfRule>
  </conditionalFormatting>
  <conditionalFormatting sqref="B5:B6">
    <cfRule type="cellIs" dxfId="2107" priority="343" operator="lessThan">
      <formula>0</formula>
    </cfRule>
  </conditionalFormatting>
  <conditionalFormatting sqref="B5:B6">
    <cfRule type="cellIs" dxfId="2106" priority="344" operator="greaterThan">
      <formula>0</formula>
    </cfRule>
  </conditionalFormatting>
  <conditionalFormatting sqref="B5:B6">
    <cfRule type="cellIs" dxfId="2105" priority="345" operator="lessThan">
      <formula>0</formula>
    </cfRule>
  </conditionalFormatting>
  <conditionalFormatting sqref="B5:B6">
    <cfRule type="cellIs" dxfId="2104" priority="338" operator="greaterThan">
      <formula>0</formula>
    </cfRule>
  </conditionalFormatting>
  <conditionalFormatting sqref="B5:B6">
    <cfRule type="cellIs" dxfId="2103" priority="339" operator="lessThan">
      <formula>0</formula>
    </cfRule>
  </conditionalFormatting>
  <conditionalFormatting sqref="B5:B6">
    <cfRule type="cellIs" dxfId="2102" priority="340" operator="greaterThan">
      <formula>0</formula>
    </cfRule>
  </conditionalFormatting>
  <conditionalFormatting sqref="B5:B6">
    <cfRule type="cellIs" dxfId="2101" priority="341" operator="lessThan">
      <formula>0</formula>
    </cfRule>
  </conditionalFormatting>
  <conditionalFormatting sqref="B11:B12">
    <cfRule type="cellIs" dxfId="2100" priority="334" operator="greaterThan">
      <formula>0</formula>
    </cfRule>
  </conditionalFormatting>
  <conditionalFormatting sqref="B11:B12">
    <cfRule type="cellIs" dxfId="2099" priority="335" operator="lessThan">
      <formula>0</formula>
    </cfRule>
  </conditionalFormatting>
  <conditionalFormatting sqref="B11:B12">
    <cfRule type="cellIs" dxfId="2098" priority="336" operator="greaterThan">
      <formula>0</formula>
    </cfRule>
  </conditionalFormatting>
  <conditionalFormatting sqref="B11:B12">
    <cfRule type="cellIs" dxfId="2097" priority="337" operator="lessThan">
      <formula>0</formula>
    </cfRule>
  </conditionalFormatting>
  <conditionalFormatting sqref="B12">
    <cfRule type="cellIs" dxfId="2096" priority="330" operator="greaterThan">
      <formula>0</formula>
    </cfRule>
  </conditionalFormatting>
  <conditionalFormatting sqref="B12">
    <cfRule type="cellIs" dxfId="2095" priority="331" operator="lessThan">
      <formula>0</formula>
    </cfRule>
  </conditionalFormatting>
  <conditionalFormatting sqref="B12">
    <cfRule type="cellIs" dxfId="2094" priority="332" operator="greaterThan">
      <formula>0</formula>
    </cfRule>
  </conditionalFormatting>
  <conditionalFormatting sqref="B12">
    <cfRule type="cellIs" dxfId="2093" priority="333" operator="lessThan">
      <formula>0</formula>
    </cfRule>
  </conditionalFormatting>
  <conditionalFormatting sqref="B11">
    <cfRule type="cellIs" dxfId="2092" priority="322" operator="greaterThan">
      <formula>0</formula>
    </cfRule>
  </conditionalFormatting>
  <conditionalFormatting sqref="B11">
    <cfRule type="cellIs" dxfId="2091" priority="323" operator="lessThan">
      <formula>0</formula>
    </cfRule>
  </conditionalFormatting>
  <conditionalFormatting sqref="B11">
    <cfRule type="cellIs" dxfId="2090" priority="324" operator="greaterThan">
      <formula>0</formula>
    </cfRule>
  </conditionalFormatting>
  <conditionalFormatting sqref="B11">
    <cfRule type="cellIs" dxfId="2089" priority="325" operator="lessThan">
      <formula>0</formula>
    </cfRule>
  </conditionalFormatting>
  <conditionalFormatting sqref="B11:B12">
    <cfRule type="cellIs" dxfId="2088" priority="318" operator="greaterThan">
      <formula>0</formula>
    </cfRule>
  </conditionalFormatting>
  <conditionalFormatting sqref="B11:B12">
    <cfRule type="cellIs" dxfId="2087" priority="319" operator="lessThan">
      <formula>0</formula>
    </cfRule>
  </conditionalFormatting>
  <conditionalFormatting sqref="B11:B12">
    <cfRule type="cellIs" dxfId="2086" priority="320" operator="greaterThan">
      <formula>0</formula>
    </cfRule>
  </conditionalFormatting>
  <conditionalFormatting sqref="B11:B12">
    <cfRule type="cellIs" dxfId="2085" priority="321" operator="lessThan">
      <formula>0</formula>
    </cfRule>
  </conditionalFormatting>
  <conditionalFormatting sqref="B11:B12">
    <cfRule type="cellIs" dxfId="2084" priority="314" operator="greaterThan">
      <formula>0</formula>
    </cfRule>
  </conditionalFormatting>
  <conditionalFormatting sqref="B11:B12">
    <cfRule type="cellIs" dxfId="2083" priority="315" operator="lessThan">
      <formula>0</formula>
    </cfRule>
  </conditionalFormatting>
  <conditionalFormatting sqref="B11:B12">
    <cfRule type="cellIs" dxfId="2082" priority="316" operator="greaterThan">
      <formula>0</formula>
    </cfRule>
  </conditionalFormatting>
  <conditionalFormatting sqref="B11:B12">
    <cfRule type="cellIs" dxfId="2081" priority="317" operator="lessThan">
      <formula>0</formula>
    </cfRule>
  </conditionalFormatting>
  <conditionalFormatting sqref="B40">
    <cfRule type="cellIs" dxfId="2080" priority="308" operator="greaterThan">
      <formula>0</formula>
    </cfRule>
  </conditionalFormatting>
  <conditionalFormatting sqref="B40">
    <cfRule type="cellIs" dxfId="2079" priority="309" operator="lessThan">
      <formula>0</formula>
    </cfRule>
  </conditionalFormatting>
  <conditionalFormatting sqref="B40">
    <cfRule type="cellIs" dxfId="2078" priority="310" operator="greaterThan">
      <formula>0</formula>
    </cfRule>
  </conditionalFormatting>
  <conditionalFormatting sqref="B40">
    <cfRule type="cellIs" dxfId="2077" priority="311" operator="lessThan">
      <formula>0</formula>
    </cfRule>
  </conditionalFormatting>
  <conditionalFormatting sqref="B40">
    <cfRule type="cellIs" dxfId="2076" priority="312" operator="greaterThan">
      <formula>0</formula>
    </cfRule>
  </conditionalFormatting>
  <conditionalFormatting sqref="B40">
    <cfRule type="cellIs" dxfId="2075" priority="313" operator="lessThan">
      <formula>0</formula>
    </cfRule>
  </conditionalFormatting>
  <conditionalFormatting sqref="I38:I40">
    <cfRule type="cellIs" dxfId="2074" priority="306" operator="lessThan">
      <formula>0</formula>
    </cfRule>
    <cfRule type="cellIs" dxfId="2073" priority="307" operator="greaterThan">
      <formula>0</formula>
    </cfRule>
  </conditionalFormatting>
  <conditionalFormatting sqref="B38">
    <cfRule type="cellIs" dxfId="2072" priority="300" operator="greaterThan">
      <formula>0</formula>
    </cfRule>
  </conditionalFormatting>
  <conditionalFormatting sqref="B38">
    <cfRule type="cellIs" dxfId="2071" priority="301" operator="lessThan">
      <formula>0</formula>
    </cfRule>
  </conditionalFormatting>
  <conditionalFormatting sqref="B38">
    <cfRule type="cellIs" dxfId="2070" priority="302" operator="greaterThan">
      <formula>0</formula>
    </cfRule>
  </conditionalFormatting>
  <conditionalFormatting sqref="B38">
    <cfRule type="cellIs" dxfId="2069" priority="303" operator="lessThan">
      <formula>0</formula>
    </cfRule>
  </conditionalFormatting>
  <conditionalFormatting sqref="B38">
    <cfRule type="cellIs" dxfId="2068" priority="304" operator="greaterThan">
      <formula>0</formula>
    </cfRule>
  </conditionalFormatting>
  <conditionalFormatting sqref="B38">
    <cfRule type="cellIs" dxfId="2067" priority="305" operator="lessThan">
      <formula>0</formula>
    </cfRule>
  </conditionalFormatting>
  <conditionalFormatting sqref="B39">
    <cfRule type="cellIs" dxfId="2066" priority="294" operator="greaterThan">
      <formula>0</formula>
    </cfRule>
  </conditionalFormatting>
  <conditionalFormatting sqref="B39">
    <cfRule type="cellIs" dxfId="2065" priority="295" operator="lessThan">
      <formula>0</formula>
    </cfRule>
  </conditionalFormatting>
  <conditionalFormatting sqref="B39">
    <cfRule type="cellIs" dxfId="2064" priority="296" operator="greaterThan">
      <formula>0</formula>
    </cfRule>
  </conditionalFormatting>
  <conditionalFormatting sqref="B39">
    <cfRule type="cellIs" dxfId="2063" priority="297" operator="lessThan">
      <formula>0</formula>
    </cfRule>
  </conditionalFormatting>
  <conditionalFormatting sqref="B39">
    <cfRule type="cellIs" dxfId="2062" priority="298" operator="greaterThan">
      <formula>0</formula>
    </cfRule>
  </conditionalFormatting>
  <conditionalFormatting sqref="B39">
    <cfRule type="cellIs" dxfId="2061" priority="299" operator="lessThan">
      <formula>0</formula>
    </cfRule>
  </conditionalFormatting>
  <conditionalFormatting sqref="B31:B34 B37">
    <cfRule type="cellIs" dxfId="2060" priority="290" operator="greaterThan">
      <formula>0</formula>
    </cfRule>
  </conditionalFormatting>
  <conditionalFormatting sqref="B31:B34 B37">
    <cfRule type="cellIs" dxfId="2059" priority="291" operator="lessThan">
      <formula>0</formula>
    </cfRule>
  </conditionalFormatting>
  <conditionalFormatting sqref="B31:B34 B37">
    <cfRule type="cellIs" dxfId="2058" priority="292" operator="greaterThan">
      <formula>0</formula>
    </cfRule>
  </conditionalFormatting>
  <conditionalFormatting sqref="B31:B34 B37">
    <cfRule type="cellIs" dxfId="2057" priority="293" operator="lessThan">
      <formula>0</formula>
    </cfRule>
  </conditionalFormatting>
  <conditionalFormatting sqref="B35:B36">
    <cfRule type="cellIs" dxfId="2056" priority="282" operator="greaterThan">
      <formula>0</formula>
    </cfRule>
  </conditionalFormatting>
  <conditionalFormatting sqref="B35:B36">
    <cfRule type="cellIs" dxfId="2055" priority="283" operator="lessThan">
      <formula>0</formula>
    </cfRule>
  </conditionalFormatting>
  <conditionalFormatting sqref="B35:B36">
    <cfRule type="cellIs" dxfId="2054" priority="284" operator="greaterThan">
      <formula>0</formula>
    </cfRule>
  </conditionalFormatting>
  <conditionalFormatting sqref="B35:B36">
    <cfRule type="cellIs" dxfId="2053" priority="285" operator="lessThan">
      <formula>0</formula>
    </cfRule>
  </conditionalFormatting>
  <conditionalFormatting sqref="B36">
    <cfRule type="cellIs" dxfId="2052" priority="286" operator="greaterThan">
      <formula>0</formula>
    </cfRule>
  </conditionalFormatting>
  <conditionalFormatting sqref="B36">
    <cfRule type="cellIs" dxfId="2051" priority="287" operator="lessThan">
      <formula>0</formula>
    </cfRule>
  </conditionalFormatting>
  <conditionalFormatting sqref="B35">
    <cfRule type="cellIs" dxfId="2050" priority="288" operator="greaterThan">
      <formula>0</formula>
    </cfRule>
  </conditionalFormatting>
  <conditionalFormatting sqref="B35">
    <cfRule type="cellIs" dxfId="2049" priority="289" operator="lessThan">
      <formula>0</formula>
    </cfRule>
  </conditionalFormatting>
  <conditionalFormatting sqref="B4">
    <cfRule type="cellIs" dxfId="2048" priority="272" operator="greaterThan">
      <formula>0</formula>
    </cfRule>
  </conditionalFormatting>
  <conditionalFormatting sqref="B4">
    <cfRule type="cellIs" dxfId="2047" priority="273" operator="lessThan">
      <formula>0</formula>
    </cfRule>
  </conditionalFormatting>
  <conditionalFormatting sqref="B4">
    <cfRule type="cellIs" dxfId="2046" priority="274" operator="greaterThan">
      <formula>0</formula>
    </cfRule>
  </conditionalFormatting>
  <conditionalFormatting sqref="B4">
    <cfRule type="cellIs" dxfId="2045" priority="275" operator="lessThan">
      <formula>0</formula>
    </cfRule>
  </conditionalFormatting>
  <conditionalFormatting sqref="B4">
    <cfRule type="cellIs" dxfId="2044" priority="268" operator="greaterThan">
      <formula>0</formula>
    </cfRule>
  </conditionalFormatting>
  <conditionalFormatting sqref="B4">
    <cfRule type="cellIs" dxfId="2043" priority="269" operator="lessThan">
      <formula>0</formula>
    </cfRule>
  </conditionalFormatting>
  <conditionalFormatting sqref="B4">
    <cfRule type="cellIs" dxfId="2042" priority="270" operator="greaterThan">
      <formula>0</formula>
    </cfRule>
  </conditionalFormatting>
  <conditionalFormatting sqref="B4">
    <cfRule type="cellIs" dxfId="2041" priority="271" operator="lessThan">
      <formula>0</formula>
    </cfRule>
  </conditionalFormatting>
  <conditionalFormatting sqref="B4">
    <cfRule type="cellIs" dxfId="2040" priority="264" operator="greaterThan">
      <formula>0</formula>
    </cfRule>
  </conditionalFormatting>
  <conditionalFormatting sqref="B4">
    <cfRule type="cellIs" dxfId="2039" priority="265" operator="lessThan">
      <formula>0</formula>
    </cfRule>
  </conditionalFormatting>
  <conditionalFormatting sqref="B4">
    <cfRule type="cellIs" dxfId="2038" priority="266" operator="greaterThan">
      <formula>0</formula>
    </cfRule>
  </conditionalFormatting>
  <conditionalFormatting sqref="B4">
    <cfRule type="cellIs" dxfId="2037" priority="267" operator="lessThan">
      <formula>0</formula>
    </cfRule>
  </conditionalFormatting>
  <conditionalFormatting sqref="B4">
    <cfRule type="cellIs" dxfId="2036" priority="260" operator="greaterThan">
      <formula>0</formula>
    </cfRule>
  </conditionalFormatting>
  <conditionalFormatting sqref="B4">
    <cfRule type="cellIs" dxfId="2035" priority="261" operator="lessThan">
      <formula>0</formula>
    </cfRule>
  </conditionalFormatting>
  <conditionalFormatting sqref="B4">
    <cfRule type="cellIs" dxfId="2034" priority="262" operator="greaterThan">
      <formula>0</formula>
    </cfRule>
  </conditionalFormatting>
  <conditionalFormatting sqref="B4">
    <cfRule type="cellIs" dxfId="2033" priority="263" operator="lessThan">
      <formula>0</formula>
    </cfRule>
  </conditionalFormatting>
  <conditionalFormatting sqref="B4">
    <cfRule type="cellIs" dxfId="2032" priority="256" operator="greaterThan">
      <formula>0</formula>
    </cfRule>
  </conditionalFormatting>
  <conditionalFormatting sqref="B4">
    <cfRule type="cellIs" dxfId="2031" priority="257" operator="lessThan">
      <formula>0</formula>
    </cfRule>
  </conditionalFormatting>
  <conditionalFormatting sqref="B4">
    <cfRule type="cellIs" dxfId="2030" priority="258" operator="greaterThan">
      <formula>0</formula>
    </cfRule>
  </conditionalFormatting>
  <conditionalFormatting sqref="B4">
    <cfRule type="cellIs" dxfId="2029" priority="259" operator="lessThan">
      <formula>0</formula>
    </cfRule>
  </conditionalFormatting>
  <conditionalFormatting sqref="B4">
    <cfRule type="cellIs" dxfId="2028" priority="252" operator="greaterThan">
      <formula>0</formula>
    </cfRule>
  </conditionalFormatting>
  <conditionalFormatting sqref="B4">
    <cfRule type="cellIs" dxfId="2027" priority="253" operator="lessThan">
      <formula>0</formula>
    </cfRule>
  </conditionalFormatting>
  <conditionalFormatting sqref="B4">
    <cfRule type="cellIs" dxfId="2026" priority="254" operator="greaterThan">
      <formula>0</formula>
    </cfRule>
  </conditionalFormatting>
  <conditionalFormatting sqref="B4">
    <cfRule type="cellIs" dxfId="2025" priority="255" operator="lessThan">
      <formula>0</formula>
    </cfRule>
  </conditionalFormatting>
  <conditionalFormatting sqref="B4">
    <cfRule type="cellIs" dxfId="2024" priority="248" operator="greaterThan">
      <formula>0</formula>
    </cfRule>
  </conditionalFormatting>
  <conditionalFormatting sqref="B4">
    <cfRule type="cellIs" dxfId="2023" priority="249" operator="lessThan">
      <formula>0</formula>
    </cfRule>
  </conditionalFormatting>
  <conditionalFormatting sqref="B4">
    <cfRule type="cellIs" dxfId="2022" priority="250" operator="greaterThan">
      <formula>0</formula>
    </cfRule>
  </conditionalFormatting>
  <conditionalFormatting sqref="B4">
    <cfRule type="cellIs" dxfId="2021" priority="251" operator="lessThan">
      <formula>0</formula>
    </cfRule>
  </conditionalFormatting>
  <conditionalFormatting sqref="B4">
    <cfRule type="cellIs" dxfId="2020" priority="244" operator="greaterThan">
      <formula>0</formula>
    </cfRule>
  </conditionalFormatting>
  <conditionalFormatting sqref="B4">
    <cfRule type="cellIs" dxfId="2019" priority="245" operator="lessThan">
      <formula>0</formula>
    </cfRule>
  </conditionalFormatting>
  <conditionalFormatting sqref="B4">
    <cfRule type="cellIs" dxfId="2018" priority="246" operator="greaterThan">
      <formula>0</formula>
    </cfRule>
  </conditionalFormatting>
  <conditionalFormatting sqref="B4">
    <cfRule type="cellIs" dxfId="2017" priority="247" operator="lessThan">
      <formula>0</formula>
    </cfRule>
  </conditionalFormatting>
  <conditionalFormatting sqref="B4">
    <cfRule type="cellIs" dxfId="2016" priority="240" operator="greaterThan">
      <formula>0</formula>
    </cfRule>
  </conditionalFormatting>
  <conditionalFormatting sqref="B4">
    <cfRule type="cellIs" dxfId="2015" priority="241" operator="lessThan">
      <formula>0</formula>
    </cfRule>
  </conditionalFormatting>
  <conditionalFormatting sqref="B4">
    <cfRule type="cellIs" dxfId="2014" priority="242" operator="greaterThan">
      <formula>0</formula>
    </cfRule>
  </conditionalFormatting>
  <conditionalFormatting sqref="B4">
    <cfRule type="cellIs" dxfId="2013" priority="243" operator="lessThan">
      <formula>0</formula>
    </cfRule>
  </conditionalFormatting>
  <conditionalFormatting sqref="B8">
    <cfRule type="cellIs" dxfId="2012" priority="236" operator="greaterThan">
      <formula>0</formula>
    </cfRule>
  </conditionalFormatting>
  <conditionalFormatting sqref="B8">
    <cfRule type="cellIs" dxfId="2011" priority="237" operator="lessThan">
      <formula>0</formula>
    </cfRule>
  </conditionalFormatting>
  <conditionalFormatting sqref="B8">
    <cfRule type="cellIs" dxfId="2010" priority="238" operator="greaterThan">
      <formula>0</formula>
    </cfRule>
  </conditionalFormatting>
  <conditionalFormatting sqref="B8">
    <cfRule type="cellIs" dxfId="2009" priority="239" operator="lessThan">
      <formula>0</formula>
    </cfRule>
  </conditionalFormatting>
  <conditionalFormatting sqref="B8">
    <cfRule type="cellIs" dxfId="2008" priority="232" operator="greaterThan">
      <formula>0</formula>
    </cfRule>
  </conditionalFormatting>
  <conditionalFormatting sqref="B8">
    <cfRule type="cellIs" dxfId="2007" priority="233" operator="lessThan">
      <formula>0</formula>
    </cfRule>
  </conditionalFormatting>
  <conditionalFormatting sqref="B8">
    <cfRule type="cellIs" dxfId="2006" priority="234" operator="greaterThan">
      <formula>0</formula>
    </cfRule>
  </conditionalFormatting>
  <conditionalFormatting sqref="B8">
    <cfRule type="cellIs" dxfId="2005" priority="235" operator="lessThan">
      <formula>0</formula>
    </cfRule>
  </conditionalFormatting>
  <conditionalFormatting sqref="B6:B7">
    <cfRule type="cellIs" dxfId="2004" priority="188" operator="greaterThan">
      <formula>0</formula>
    </cfRule>
  </conditionalFormatting>
  <conditionalFormatting sqref="B6:B7">
    <cfRule type="cellIs" dxfId="2003" priority="189" operator="lessThan">
      <formula>0</formula>
    </cfRule>
  </conditionalFormatting>
  <conditionalFormatting sqref="B6:B7">
    <cfRule type="cellIs" dxfId="2002" priority="190" operator="greaterThan">
      <formula>0</formula>
    </cfRule>
  </conditionalFormatting>
  <conditionalFormatting sqref="B6:B7">
    <cfRule type="cellIs" dxfId="2001" priority="191" operator="lessThan">
      <formula>0</formula>
    </cfRule>
  </conditionalFormatting>
  <conditionalFormatting sqref="B9:B10">
    <cfRule type="cellIs" dxfId="2000" priority="228" operator="greaterThan">
      <formula>0</formula>
    </cfRule>
  </conditionalFormatting>
  <conditionalFormatting sqref="B9:B10">
    <cfRule type="cellIs" dxfId="1999" priority="229" operator="lessThan">
      <formula>0</formula>
    </cfRule>
  </conditionalFormatting>
  <conditionalFormatting sqref="B9:B10">
    <cfRule type="cellIs" dxfId="1998" priority="230" operator="greaterThan">
      <formula>0</formula>
    </cfRule>
  </conditionalFormatting>
  <conditionalFormatting sqref="B9:B10">
    <cfRule type="cellIs" dxfId="1997" priority="231" operator="lessThan">
      <formula>0</formula>
    </cfRule>
  </conditionalFormatting>
  <conditionalFormatting sqref="B10">
    <cfRule type="cellIs" dxfId="1996" priority="224" operator="greaterThan">
      <formula>0</formula>
    </cfRule>
  </conditionalFormatting>
  <conditionalFormatting sqref="B10">
    <cfRule type="cellIs" dxfId="1995" priority="225" operator="lessThan">
      <formula>0</formula>
    </cfRule>
  </conditionalFormatting>
  <conditionalFormatting sqref="B10">
    <cfRule type="cellIs" dxfId="1994" priority="226" operator="greaterThan">
      <formula>0</formula>
    </cfRule>
  </conditionalFormatting>
  <conditionalFormatting sqref="B10">
    <cfRule type="cellIs" dxfId="1993" priority="227" operator="lessThan">
      <formula>0</formula>
    </cfRule>
  </conditionalFormatting>
  <conditionalFormatting sqref="B10">
    <cfRule type="cellIs" dxfId="1992" priority="220" operator="greaterThan">
      <formula>0</formula>
    </cfRule>
  </conditionalFormatting>
  <conditionalFormatting sqref="B10">
    <cfRule type="cellIs" dxfId="1991" priority="221" operator="lessThan">
      <formula>0</formula>
    </cfRule>
  </conditionalFormatting>
  <conditionalFormatting sqref="B10">
    <cfRule type="cellIs" dxfId="1990" priority="222" operator="greaterThan">
      <formula>0</formula>
    </cfRule>
  </conditionalFormatting>
  <conditionalFormatting sqref="B10">
    <cfRule type="cellIs" dxfId="1989" priority="223" operator="lessThan">
      <formula>0</formula>
    </cfRule>
  </conditionalFormatting>
  <conditionalFormatting sqref="B9">
    <cfRule type="cellIs" dxfId="1988" priority="216" operator="greaterThan">
      <formula>0</formula>
    </cfRule>
  </conditionalFormatting>
  <conditionalFormatting sqref="B9">
    <cfRule type="cellIs" dxfId="1987" priority="217" operator="lessThan">
      <formula>0</formula>
    </cfRule>
  </conditionalFormatting>
  <conditionalFormatting sqref="B9">
    <cfRule type="cellIs" dxfId="1986" priority="218" operator="greaterThan">
      <formula>0</formula>
    </cfRule>
  </conditionalFormatting>
  <conditionalFormatting sqref="B9">
    <cfRule type="cellIs" dxfId="1985" priority="219" operator="lessThan">
      <formula>0</formula>
    </cfRule>
  </conditionalFormatting>
  <conditionalFormatting sqref="B9:B10">
    <cfRule type="cellIs" dxfId="1984" priority="212" operator="greaterThan">
      <formula>0</formula>
    </cfRule>
  </conditionalFormatting>
  <conditionalFormatting sqref="B9:B10">
    <cfRule type="cellIs" dxfId="1983" priority="213" operator="lessThan">
      <formula>0</formula>
    </cfRule>
  </conditionalFormatting>
  <conditionalFormatting sqref="B9:B10">
    <cfRule type="cellIs" dxfId="1982" priority="214" operator="greaterThan">
      <formula>0</formula>
    </cfRule>
  </conditionalFormatting>
  <conditionalFormatting sqref="B9:B10">
    <cfRule type="cellIs" dxfId="1981" priority="215" operator="lessThan">
      <formula>0</formula>
    </cfRule>
  </conditionalFormatting>
  <conditionalFormatting sqref="B9:B10">
    <cfRule type="cellIs" dxfId="1980" priority="208" operator="greaterThan">
      <formula>0</formula>
    </cfRule>
  </conditionalFormatting>
  <conditionalFormatting sqref="B9:B10">
    <cfRule type="cellIs" dxfId="1979" priority="209" operator="lessThan">
      <formula>0</formula>
    </cfRule>
  </conditionalFormatting>
  <conditionalFormatting sqref="B9:B10">
    <cfRule type="cellIs" dxfId="1978" priority="210" operator="greaterThan">
      <formula>0</formula>
    </cfRule>
  </conditionalFormatting>
  <conditionalFormatting sqref="B9:B10">
    <cfRule type="cellIs" dxfId="1977" priority="211" operator="lessThan">
      <formula>0</formula>
    </cfRule>
  </conditionalFormatting>
  <conditionalFormatting sqref="B6:B7">
    <cfRule type="cellIs" dxfId="1976" priority="204" operator="greaterThan">
      <formula>0</formula>
    </cfRule>
  </conditionalFormatting>
  <conditionalFormatting sqref="B6:B7">
    <cfRule type="cellIs" dxfId="1975" priority="205" operator="lessThan">
      <formula>0</formula>
    </cfRule>
  </conditionalFormatting>
  <conditionalFormatting sqref="B6:B7">
    <cfRule type="cellIs" dxfId="1974" priority="206" operator="greaterThan">
      <formula>0</formula>
    </cfRule>
  </conditionalFormatting>
  <conditionalFormatting sqref="B6:B7">
    <cfRule type="cellIs" dxfId="1973" priority="207" operator="lessThan">
      <formula>0</formula>
    </cfRule>
  </conditionalFormatting>
  <conditionalFormatting sqref="B6:B7">
    <cfRule type="cellIs" dxfId="1972" priority="200" operator="greaterThan">
      <formula>0</formula>
    </cfRule>
  </conditionalFormatting>
  <conditionalFormatting sqref="B6:B7">
    <cfRule type="cellIs" dxfId="1971" priority="201" operator="lessThan">
      <formula>0</formula>
    </cfRule>
  </conditionalFormatting>
  <conditionalFormatting sqref="B6:B7">
    <cfRule type="cellIs" dxfId="1970" priority="202" operator="greaterThan">
      <formula>0</formula>
    </cfRule>
  </conditionalFormatting>
  <conditionalFormatting sqref="B6:B7">
    <cfRule type="cellIs" dxfId="1969" priority="203" operator="lessThan">
      <formula>0</formula>
    </cfRule>
  </conditionalFormatting>
  <conditionalFormatting sqref="B6:B7">
    <cfRule type="cellIs" dxfId="1968" priority="196" operator="greaterThan">
      <formula>0</formula>
    </cfRule>
  </conditionalFormatting>
  <conditionalFormatting sqref="B6:B7">
    <cfRule type="cellIs" dxfId="1967" priority="197" operator="lessThan">
      <formula>0</formula>
    </cfRule>
  </conditionalFormatting>
  <conditionalFormatting sqref="B6:B7">
    <cfRule type="cellIs" dxfId="1966" priority="198" operator="greaterThan">
      <formula>0</formula>
    </cfRule>
  </conditionalFormatting>
  <conditionalFormatting sqref="B6:B7">
    <cfRule type="cellIs" dxfId="1965" priority="199" operator="lessThan">
      <formula>0</formula>
    </cfRule>
  </conditionalFormatting>
  <conditionalFormatting sqref="B6:B7">
    <cfRule type="cellIs" dxfId="1964" priority="192" operator="greaterThan">
      <formula>0</formula>
    </cfRule>
  </conditionalFormatting>
  <conditionalFormatting sqref="B6:B7">
    <cfRule type="cellIs" dxfId="1963" priority="193" operator="lessThan">
      <formula>0</formula>
    </cfRule>
  </conditionalFormatting>
  <conditionalFormatting sqref="B6:B7">
    <cfRule type="cellIs" dxfId="1962" priority="194" operator="greaterThan">
      <formula>0</formula>
    </cfRule>
  </conditionalFormatting>
  <conditionalFormatting sqref="B6:B7">
    <cfRule type="cellIs" dxfId="1961" priority="195" operator="lessThan">
      <formula>0</formula>
    </cfRule>
  </conditionalFormatting>
  <conditionalFormatting sqref="B6:B7">
    <cfRule type="cellIs" dxfId="1960" priority="184" operator="greaterThan">
      <formula>0</formula>
    </cfRule>
  </conditionalFormatting>
  <conditionalFormatting sqref="B6:B7">
    <cfRule type="cellIs" dxfId="1959" priority="185" operator="lessThan">
      <formula>0</formula>
    </cfRule>
  </conditionalFormatting>
  <conditionalFormatting sqref="B6:B7">
    <cfRule type="cellIs" dxfId="1958" priority="186" operator="greaterThan">
      <formula>0</formula>
    </cfRule>
  </conditionalFormatting>
  <conditionalFormatting sqref="B6:B7">
    <cfRule type="cellIs" dxfId="1957" priority="187" operator="lessThan">
      <formula>0</formula>
    </cfRule>
  </conditionalFormatting>
  <conditionalFormatting sqref="B6:B7">
    <cfRule type="cellIs" dxfId="1956" priority="180" operator="greaterThan">
      <formula>0</formula>
    </cfRule>
  </conditionalFormatting>
  <conditionalFormatting sqref="B6:B7">
    <cfRule type="cellIs" dxfId="1955" priority="181" operator="lessThan">
      <formula>0</formula>
    </cfRule>
  </conditionalFormatting>
  <conditionalFormatting sqref="B6:B7">
    <cfRule type="cellIs" dxfId="1954" priority="182" operator="greaterThan">
      <formula>0</formula>
    </cfRule>
  </conditionalFormatting>
  <conditionalFormatting sqref="B6:B7">
    <cfRule type="cellIs" dxfId="1953" priority="183" operator="lessThan">
      <formula>0</formula>
    </cfRule>
  </conditionalFormatting>
  <conditionalFormatting sqref="B19">
    <cfRule type="cellIs" dxfId="1952" priority="174" operator="greaterThan">
      <formula>0</formula>
    </cfRule>
  </conditionalFormatting>
  <conditionalFormatting sqref="B19">
    <cfRule type="cellIs" dxfId="1951" priority="175" operator="lessThan">
      <formula>0</formula>
    </cfRule>
  </conditionalFormatting>
  <conditionalFormatting sqref="B19">
    <cfRule type="cellIs" dxfId="1950" priority="176" operator="greaterThan">
      <formula>0</formula>
    </cfRule>
  </conditionalFormatting>
  <conditionalFormatting sqref="B19">
    <cfRule type="cellIs" dxfId="1949" priority="177" operator="lessThan">
      <formula>0</formula>
    </cfRule>
  </conditionalFormatting>
  <conditionalFormatting sqref="B19">
    <cfRule type="cellIs" dxfId="1948" priority="170" operator="greaterThan">
      <formula>0</formula>
    </cfRule>
  </conditionalFormatting>
  <conditionalFormatting sqref="B19">
    <cfRule type="cellIs" dxfId="1947" priority="171" operator="lessThan">
      <formula>0</formula>
    </cfRule>
  </conditionalFormatting>
  <conditionalFormatting sqref="B19">
    <cfRule type="cellIs" dxfId="1946" priority="172" operator="greaterThan">
      <formula>0</formula>
    </cfRule>
  </conditionalFormatting>
  <conditionalFormatting sqref="B19">
    <cfRule type="cellIs" dxfId="1945" priority="173" operator="lessThan">
      <formula>0</formula>
    </cfRule>
  </conditionalFormatting>
  <conditionalFormatting sqref="B3">
    <cfRule type="cellIs" dxfId="1944" priority="166" operator="greaterThan">
      <formula>0</formula>
    </cfRule>
  </conditionalFormatting>
  <conditionalFormatting sqref="B3">
    <cfRule type="cellIs" dxfId="1943" priority="167" operator="lessThan">
      <formula>0</formula>
    </cfRule>
  </conditionalFormatting>
  <conditionalFormatting sqref="B3">
    <cfRule type="cellIs" dxfId="1942" priority="168" operator="greaterThan">
      <formula>0</formula>
    </cfRule>
  </conditionalFormatting>
  <conditionalFormatting sqref="B3">
    <cfRule type="cellIs" dxfId="1941" priority="169" operator="lessThan">
      <formula>0</formula>
    </cfRule>
  </conditionalFormatting>
  <conditionalFormatting sqref="B3">
    <cfRule type="cellIs" dxfId="1940" priority="162" operator="greaterThan">
      <formula>0</formula>
    </cfRule>
  </conditionalFormatting>
  <conditionalFormatting sqref="B3">
    <cfRule type="cellIs" dxfId="1939" priority="163" operator="lessThan">
      <formula>0</formula>
    </cfRule>
  </conditionalFormatting>
  <conditionalFormatting sqref="B3">
    <cfRule type="cellIs" dxfId="1938" priority="164" operator="greaterThan">
      <formula>0</formula>
    </cfRule>
  </conditionalFormatting>
  <conditionalFormatting sqref="B3">
    <cfRule type="cellIs" dxfId="1937" priority="165" operator="lessThan">
      <formula>0</formula>
    </cfRule>
  </conditionalFormatting>
  <conditionalFormatting sqref="B3">
    <cfRule type="cellIs" dxfId="1936" priority="158" operator="greaterThan">
      <formula>0</formula>
    </cfRule>
  </conditionalFormatting>
  <conditionalFormatting sqref="B3">
    <cfRule type="cellIs" dxfId="1935" priority="159" operator="lessThan">
      <formula>0</formula>
    </cfRule>
  </conditionalFormatting>
  <conditionalFormatting sqref="B3">
    <cfRule type="cellIs" dxfId="1934" priority="160" operator="greaterThan">
      <formula>0</formula>
    </cfRule>
  </conditionalFormatting>
  <conditionalFormatting sqref="B3">
    <cfRule type="cellIs" dxfId="1933" priority="161" operator="lessThan">
      <formula>0</formula>
    </cfRule>
  </conditionalFormatting>
  <conditionalFormatting sqref="B3">
    <cfRule type="cellIs" dxfId="1932" priority="154" operator="greaterThan">
      <formula>0</formula>
    </cfRule>
  </conditionalFormatting>
  <conditionalFormatting sqref="B3">
    <cfRule type="cellIs" dxfId="1931" priority="155" operator="lessThan">
      <formula>0</formula>
    </cfRule>
  </conditionalFormatting>
  <conditionalFormatting sqref="B3">
    <cfRule type="cellIs" dxfId="1930" priority="156" operator="greaterThan">
      <formula>0</formula>
    </cfRule>
  </conditionalFormatting>
  <conditionalFormatting sqref="B3">
    <cfRule type="cellIs" dxfId="1929" priority="157" operator="lessThan">
      <formula>0</formula>
    </cfRule>
  </conditionalFormatting>
  <conditionalFormatting sqref="B7">
    <cfRule type="cellIs" dxfId="1928" priority="150" operator="greaterThan">
      <formula>0</formula>
    </cfRule>
  </conditionalFormatting>
  <conditionalFormatting sqref="B7">
    <cfRule type="cellIs" dxfId="1927" priority="151" operator="lessThan">
      <formula>0</formula>
    </cfRule>
  </conditionalFormatting>
  <conditionalFormatting sqref="B7">
    <cfRule type="cellIs" dxfId="1926" priority="152" operator="greaterThan">
      <formula>0</formula>
    </cfRule>
  </conditionalFormatting>
  <conditionalFormatting sqref="B7">
    <cfRule type="cellIs" dxfId="1925" priority="153" operator="lessThan">
      <formula>0</formula>
    </cfRule>
  </conditionalFormatting>
  <conditionalFormatting sqref="B7">
    <cfRule type="cellIs" dxfId="1924" priority="146" operator="greaterThan">
      <formula>0</formula>
    </cfRule>
  </conditionalFormatting>
  <conditionalFormatting sqref="B7">
    <cfRule type="cellIs" dxfId="1923" priority="147" operator="lessThan">
      <formula>0</formula>
    </cfRule>
  </conditionalFormatting>
  <conditionalFormatting sqref="B7">
    <cfRule type="cellIs" dxfId="1922" priority="148" operator="greaterThan">
      <formula>0</formula>
    </cfRule>
  </conditionalFormatting>
  <conditionalFormatting sqref="B7">
    <cfRule type="cellIs" dxfId="1921" priority="149" operator="lessThan">
      <formula>0</formula>
    </cfRule>
  </conditionalFormatting>
  <conditionalFormatting sqref="B7">
    <cfRule type="cellIs" dxfId="1920" priority="142" operator="greaterThan">
      <formula>0</formula>
    </cfRule>
  </conditionalFormatting>
  <conditionalFormatting sqref="B7">
    <cfRule type="cellIs" dxfId="1919" priority="143" operator="lessThan">
      <formula>0</formula>
    </cfRule>
  </conditionalFormatting>
  <conditionalFormatting sqref="B7">
    <cfRule type="cellIs" dxfId="1918" priority="144" operator="greaterThan">
      <formula>0</formula>
    </cfRule>
  </conditionalFormatting>
  <conditionalFormatting sqref="B7">
    <cfRule type="cellIs" dxfId="1917" priority="145" operator="lessThan">
      <formula>0</formula>
    </cfRule>
  </conditionalFormatting>
  <conditionalFormatting sqref="B7">
    <cfRule type="cellIs" dxfId="1916" priority="138" operator="greaterThan">
      <formula>0</formula>
    </cfRule>
  </conditionalFormatting>
  <conditionalFormatting sqref="B7">
    <cfRule type="cellIs" dxfId="1915" priority="139" operator="lessThan">
      <formula>0</formula>
    </cfRule>
  </conditionalFormatting>
  <conditionalFormatting sqref="B7">
    <cfRule type="cellIs" dxfId="1914" priority="140" operator="greaterThan">
      <formula>0</formula>
    </cfRule>
  </conditionalFormatting>
  <conditionalFormatting sqref="B7">
    <cfRule type="cellIs" dxfId="1913" priority="141" operator="lessThan">
      <formula>0</formula>
    </cfRule>
  </conditionalFormatting>
  <conditionalFormatting sqref="B7">
    <cfRule type="cellIs" dxfId="1912" priority="134" operator="greaterThan">
      <formula>0</formula>
    </cfRule>
  </conditionalFormatting>
  <conditionalFormatting sqref="B7">
    <cfRule type="cellIs" dxfId="1911" priority="135" operator="lessThan">
      <formula>0</formula>
    </cfRule>
  </conditionalFormatting>
  <conditionalFormatting sqref="B7">
    <cfRule type="cellIs" dxfId="1910" priority="136" operator="greaterThan">
      <formula>0</formula>
    </cfRule>
  </conditionalFormatting>
  <conditionalFormatting sqref="B7">
    <cfRule type="cellIs" dxfId="1909" priority="137" operator="lessThan">
      <formula>0</formula>
    </cfRule>
  </conditionalFormatting>
  <conditionalFormatting sqref="B7">
    <cfRule type="cellIs" dxfId="1908" priority="130" operator="greaterThan">
      <formula>0</formula>
    </cfRule>
  </conditionalFormatting>
  <conditionalFormatting sqref="B7">
    <cfRule type="cellIs" dxfId="1907" priority="131" operator="lessThan">
      <formula>0</formula>
    </cfRule>
  </conditionalFormatting>
  <conditionalFormatting sqref="B7">
    <cfRule type="cellIs" dxfId="1906" priority="132" operator="greaterThan">
      <formula>0</formula>
    </cfRule>
  </conditionalFormatting>
  <conditionalFormatting sqref="B7">
    <cfRule type="cellIs" dxfId="1905" priority="133" operator="lessThan">
      <formula>0</formula>
    </cfRule>
  </conditionalFormatting>
  <conditionalFormatting sqref="B7">
    <cfRule type="cellIs" dxfId="1904" priority="126" operator="greaterThan">
      <formula>0</formula>
    </cfRule>
  </conditionalFormatting>
  <conditionalFormatting sqref="B7">
    <cfRule type="cellIs" dxfId="1903" priority="127" operator="lessThan">
      <formula>0</formula>
    </cfRule>
  </conditionalFormatting>
  <conditionalFormatting sqref="B7">
    <cfRule type="cellIs" dxfId="1902" priority="128" operator="greaterThan">
      <formula>0</formula>
    </cfRule>
  </conditionalFormatting>
  <conditionalFormatting sqref="B7">
    <cfRule type="cellIs" dxfId="1901" priority="129" operator="lessThan">
      <formula>0</formula>
    </cfRule>
  </conditionalFormatting>
  <conditionalFormatting sqref="B7">
    <cfRule type="cellIs" dxfId="1900" priority="122" operator="greaterThan">
      <formula>0</formula>
    </cfRule>
  </conditionalFormatting>
  <conditionalFormatting sqref="B7">
    <cfRule type="cellIs" dxfId="1899" priority="123" operator="lessThan">
      <formula>0</formula>
    </cfRule>
  </conditionalFormatting>
  <conditionalFormatting sqref="B7">
    <cfRule type="cellIs" dxfId="1898" priority="124" operator="greaterThan">
      <formula>0</formula>
    </cfRule>
  </conditionalFormatting>
  <conditionalFormatting sqref="B7">
    <cfRule type="cellIs" dxfId="1897" priority="125" operator="lessThan">
      <formula>0</formula>
    </cfRule>
  </conditionalFormatting>
  <conditionalFormatting sqref="B7">
    <cfRule type="cellIs" dxfId="1896" priority="118" operator="greaterThan">
      <formula>0</formula>
    </cfRule>
  </conditionalFormatting>
  <conditionalFormatting sqref="B7">
    <cfRule type="cellIs" dxfId="1895" priority="119" operator="lessThan">
      <formula>0</formula>
    </cfRule>
  </conditionalFormatting>
  <conditionalFormatting sqref="B7">
    <cfRule type="cellIs" dxfId="1894" priority="120" operator="greaterThan">
      <formula>0</formula>
    </cfRule>
  </conditionalFormatting>
  <conditionalFormatting sqref="B7">
    <cfRule type="cellIs" dxfId="1893" priority="121" operator="lessThan">
      <formula>0</formula>
    </cfRule>
  </conditionalFormatting>
  <conditionalFormatting sqref="AE3:AE6">
    <cfRule type="cellIs" dxfId="1892" priority="117" operator="lessThan">
      <formula>0.01</formula>
    </cfRule>
  </conditionalFormatting>
  <conditionalFormatting sqref="S3">
    <cfRule type="cellIs" dxfId="1891" priority="116" operator="lessThan">
      <formula>0.01</formula>
    </cfRule>
  </conditionalFormatting>
  <conditionalFormatting sqref="AO3:AO42">
    <cfRule type="expression" dxfId="1890" priority="115">
      <formula>$L$18-$R3&lt;0</formula>
    </cfRule>
  </conditionalFormatting>
  <conditionalFormatting sqref="AO3:AO42">
    <cfRule type="expression" dxfId="1889" priority="114">
      <formula>$L$18-$R3&gt;0</formula>
    </cfRule>
  </conditionalFormatting>
  <conditionalFormatting sqref="Q3">
    <cfRule type="cellIs" dxfId="1888" priority="109" operator="equal">
      <formula>0</formula>
    </cfRule>
  </conditionalFormatting>
  <conditionalFormatting sqref="AC3:AC42">
    <cfRule type="cellIs" dxfId="1887" priority="108" operator="equal">
      <formula>0</formula>
    </cfRule>
  </conditionalFormatting>
  <conditionalFormatting sqref="Y3">
    <cfRule type="cellIs" dxfId="1886" priority="105" operator="equal">
      <formula>0</formula>
    </cfRule>
  </conditionalFormatting>
  <conditionalFormatting sqref="Z3">
    <cfRule type="cellIs" dxfId="1885" priority="104" operator="equal">
      <formula>0</formula>
    </cfRule>
  </conditionalFormatting>
  <conditionalFormatting sqref="AH3:AI8">
    <cfRule type="cellIs" dxfId="1884" priority="99" operator="equal">
      <formula>0</formula>
    </cfRule>
  </conditionalFormatting>
  <conditionalFormatting sqref="AK3:AK8">
    <cfRule type="cellIs" dxfId="1883" priority="98" operator="equal">
      <formula>0</formula>
    </cfRule>
  </conditionalFormatting>
  <conditionalFormatting sqref="AL3:AL8">
    <cfRule type="cellIs" dxfId="1882" priority="97" operator="equal">
      <formula>0</formula>
    </cfRule>
  </conditionalFormatting>
  <conditionalFormatting sqref="AD18:AD26">
    <cfRule type="expression" dxfId="1881" priority="95">
      <formula>AC18&gt;0</formula>
    </cfRule>
  </conditionalFormatting>
  <conditionalFormatting sqref="AD18:AD26">
    <cfRule type="expression" dxfId="1880" priority="96">
      <formula>AC18&lt;0</formula>
    </cfRule>
  </conditionalFormatting>
  <conditionalFormatting sqref="AE7:AE8">
    <cfRule type="cellIs" dxfId="1879"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1878" priority="68" operator="greaterThan">
      <formula>0</formula>
    </cfRule>
  </conditionalFormatting>
  <conditionalFormatting sqref="AM18:AM42">
    <cfRule type="cellIs" dxfId="1877" priority="66" operator="equal">
      <formula>0</formula>
    </cfRule>
  </conditionalFormatting>
  <conditionalFormatting sqref="AJ18:AJ42">
    <cfRule type="cellIs" dxfId="1876" priority="65" operator="equal">
      <formula>0</formula>
    </cfRule>
  </conditionalFormatting>
  <conditionalFormatting sqref="AH9:AI42">
    <cfRule type="cellIs" dxfId="1875" priority="63" operator="equal">
      <formula>0</formula>
    </cfRule>
  </conditionalFormatting>
  <conditionalFormatting sqref="AK9:AK42">
    <cfRule type="cellIs" dxfId="1874" priority="62" operator="equal">
      <formula>0</formula>
    </cfRule>
  </conditionalFormatting>
  <conditionalFormatting sqref="AL9:AL42">
    <cfRule type="cellIs" dxfId="1873" priority="61" operator="equal">
      <formula>0</formula>
    </cfRule>
  </conditionalFormatting>
  <conditionalFormatting sqref="AE9:AE42">
    <cfRule type="cellIs" dxfId="1872" priority="60" operator="lessThan">
      <formula>0.01</formula>
    </cfRule>
  </conditionalFormatting>
  <conditionalFormatting sqref="R3">
    <cfRule type="expression" dxfId="1871" priority="58">
      <formula>Q3&gt;0</formula>
    </cfRule>
  </conditionalFormatting>
  <conditionalFormatting sqref="R3">
    <cfRule type="expression" dxfId="1870" priority="59">
      <formula>Q3&lt;0</formula>
    </cfRule>
  </conditionalFormatting>
  <conditionalFormatting sqref="N36">
    <cfRule type="cellIs" dxfId="1869" priority="57" operator="lessThan">
      <formula>0</formula>
    </cfRule>
  </conditionalFormatting>
  <conditionalFormatting sqref="AD4:AD17">
    <cfRule type="expression" dxfId="1868" priority="53">
      <formula>AC4&gt;0</formula>
    </cfRule>
  </conditionalFormatting>
  <conditionalFormatting sqref="AD4:AD17">
    <cfRule type="expression" dxfId="1867" priority="54">
      <formula>AC4&lt;0</formula>
    </cfRule>
  </conditionalFormatting>
  <conditionalFormatting sqref="Q4:Q42">
    <cfRule type="cellIs" dxfId="1866" priority="44" operator="greaterThan">
      <formula>0</formula>
    </cfRule>
  </conditionalFormatting>
  <conditionalFormatting sqref="Q4:Q42">
    <cfRule type="cellIs" dxfId="1865" priority="45" operator="lessThan">
      <formula>0</formula>
    </cfRule>
  </conditionalFormatting>
  <conditionalFormatting sqref="Q4:Q42">
    <cfRule type="cellIs" dxfId="1864" priority="46" operator="greaterThan">
      <formula>0</formula>
    </cfRule>
  </conditionalFormatting>
  <conditionalFormatting sqref="Q4:Q42">
    <cfRule type="cellIs" dxfId="1863" priority="47" operator="lessThan">
      <formula>0</formula>
    </cfRule>
  </conditionalFormatting>
  <conditionalFormatting sqref="AA18:AA42">
    <cfRule type="cellIs" dxfId="1862" priority="43" operator="equal">
      <formula>0</formula>
    </cfRule>
  </conditionalFormatting>
  <conditionalFormatting sqref="P4:P42">
    <cfRule type="expression" dxfId="1861"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60" priority="49" operator="greaterThan">
      <formula>0</formula>
    </cfRule>
  </conditionalFormatting>
  <conditionalFormatting sqref="P4:P42">
    <cfRule type="expression" dxfId="1859" priority="41">
      <formula>$L$18-$R4&gt;0</formula>
    </cfRule>
  </conditionalFormatting>
  <conditionalFormatting sqref="X18:X42">
    <cfRule type="cellIs" dxfId="1858" priority="39" operator="lessThan">
      <formula>S18</formula>
    </cfRule>
    <cfRule type="cellIs" dxfId="1857" priority="40" operator="equal">
      <formula>0</formula>
    </cfRule>
  </conditionalFormatting>
  <conditionalFormatting sqref="V4:W42">
    <cfRule type="cellIs" dxfId="1856" priority="38" operator="equal">
      <formula>0</formula>
    </cfRule>
  </conditionalFormatting>
  <conditionalFormatting sqref="S4:S42">
    <cfRule type="cellIs" dxfId="1855" priority="37" operator="lessThan">
      <formula>0.01</formula>
    </cfRule>
  </conditionalFormatting>
  <conditionalFormatting sqref="Q4:Q42">
    <cfRule type="cellIs" dxfId="1854" priority="36" operator="equal">
      <formula>0</formula>
    </cfRule>
  </conditionalFormatting>
  <conditionalFormatting sqref="Y4:Y42">
    <cfRule type="cellIs" dxfId="1853" priority="35" operator="equal">
      <formula>0</formula>
    </cfRule>
  </conditionalFormatting>
  <conditionalFormatting sqref="Z4:Z42">
    <cfRule type="cellIs" dxfId="1852" priority="34" operator="equal">
      <formula>0</formula>
    </cfRule>
  </conditionalFormatting>
  <conditionalFormatting sqref="R4:R42">
    <cfRule type="expression" dxfId="1851" priority="32">
      <formula>Q4&gt;0</formula>
    </cfRule>
  </conditionalFormatting>
  <conditionalFormatting sqref="R4:R42">
    <cfRule type="expression" dxfId="1850" priority="33">
      <formula>Q4&lt;0</formula>
    </cfRule>
  </conditionalFormatting>
  <conditionalFormatting sqref="AM3">
    <cfRule type="cellIs" dxfId="1849" priority="29" operator="equal">
      <formula>0</formula>
    </cfRule>
  </conditionalFormatting>
  <conditionalFormatting sqref="AM4:AM17">
    <cfRule type="cellIs" dxfId="1848"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1847" priority="10" operator="lessThan">
      <formula>AE3</formula>
    </cfRule>
    <cfRule type="cellIs" dxfId="1846" priority="11" operator="equal">
      <formula>0</formula>
    </cfRule>
  </conditionalFormatting>
  <conditionalFormatting sqref="AJ3">
    <cfRule type="cellIs" dxfId="1845" priority="9" operator="lessThan">
      <formula>AB3</formula>
    </cfRule>
  </conditionalFormatting>
  <conditionalFormatting sqref="AJ4:AJ17">
    <cfRule type="cellIs" dxfId="1844" priority="8" operator="lessThan">
      <formula>AB4</formula>
    </cfRule>
  </conditionalFormatting>
  <conditionalFormatting sqref="X3">
    <cfRule type="cellIs" dxfId="1843" priority="7" operator="equal">
      <formula>0</formula>
    </cfRule>
  </conditionalFormatting>
  <conditionalFormatting sqref="X4:X17">
    <cfRule type="cellIs" dxfId="1842"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9"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3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2024-03-17T00:33:15Z</dcterms:modified>
</cp:coreProperties>
</file>