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1327212D-5183-4DEF-9CAE-E21BEC921683}" xr6:coauthVersionLast="47" xr6:coauthVersionMax="47" xr10:uidLastSave="{00000000-0000-0000-0000-000000000000}"/>
  <bookViews>
    <workbookView xWindow="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" i="38" l="1"/>
  <c r="AC1" i="38" s="1"/>
  <c r="AE1" i="38"/>
  <c r="N48" i="46" s="1"/>
  <c r="W1" i="38"/>
  <c r="Y30" i="38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2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B1" i="38" l="1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<sst xmlns="http://schemas.openxmlformats.org/spreadsheetml/2006/main" count="1536" uniqueCount="675">
  <si>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</si>
  <si>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</si>
  <si>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</si>
  <si>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</si>
  <si>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</si>
  <si>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</si>
  <si>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</si>
  <si>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</si>
  <si>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</si>
  <si>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</si>
  <si>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</si>
  <si>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</si>
  <si>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</si>
  <si>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</si>
  <si>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</si>
  <si>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</si>
  <si>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</si>
  <si>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</si>
  <si>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</si>
  <si>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</si>
  <si>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</si>
  <si>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</si>
  <si>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</si>
  <si>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</si>
  <si>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</si>
  <si>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</si>
  <si>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</si>
  <si>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</si>
  <si>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</si>
  <si>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</si>
  <si>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</si>
  <si>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</si>
  <si>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</si>
  <si>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</si>
  <si>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</si>
  <si>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</si>
  <si>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</si>
  <si>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</si>
  <si>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</si>
  <si>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</si>
  <si>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</si>
  <si>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</si>
  <si>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</si>
  <si>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</si>
  <si>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</si>
  <si>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</si>
  <si>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</si>
  <si>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</si>
  <si>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</si>
  <si>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</si>
  <si>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</si>
  <si>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</si>
  <si>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</si>
  <si>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</si>
  <si>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</si>
  <si>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</si>
  <si>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</si>
  <si>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</si>
  <si>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</si>
  <si>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</si>
  <si>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</si>
  <si>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</si>
  <si>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</si>
  <si>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</si>
  <si>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</si>
  <si>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</si>
  <si>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</si>
  <si>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</si>
  <si>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</si>
  <si>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</si>
  <si>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</si>
  <si>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</si>
  <si>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</si>
  <si>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</si>
  <si>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</si>
  <si>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</si>
  <si>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</si>
  <si>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</si>
  <si>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</si>
  <si>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</si>
  <si>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</si>
  <si>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</si>
  <si>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</si>
  <si>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</si>
  <si>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</si>
  <si>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</si>
  <si>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</si>
  <si>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</si>
  <si>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</si>
  <si>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</si>
  <si>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</si>
  <si>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</si>
  <si>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</si>
  <si>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</si>
  <si>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</si>
  <si>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</si>
  <si>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</si>
  <si>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</si>
  <si>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</si>
  <si>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</si>
  <si>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</si>
  <si>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</si>
  <si>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</si>
  <si>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</si>
  <si>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</si>
  <si>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</si>
  <si>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</si>
  <si>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</si>
  <si>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</si>
  <si>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</si>
  <si>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</si>
  <si>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</si>
  <si>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</si>
  <si>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</si>
  <si>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</si>
  <si>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</si>
  <si>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</si>
  <si>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</si>
  <si>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</si>
  <si>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</si>
  <si>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</si>
  <si>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</si>
  <si>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</si>
  <si>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</si>
  <si>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</si>
  <si>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</si>
  <si>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</si>
  <si>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</si>
  <si>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</si>
  <si>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</si>
  <si>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</si>
  <si>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</si>
  <si>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</si>
  <si>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</si>
  <si>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</si>
  <si>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</si>
  <si>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</si>
  <si>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</si>
  <si>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</si>
  <si>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</si>
  <si>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</si>
  <si>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</si>
  <si>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</si>
  <si>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</si>
  <si>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</si>
  <si>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</si>
  <si>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</si>
  <si>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</si>
  <si>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</si>
  <si>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</si>
  <si>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</si>
  <si>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</si>
  <si>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</si>
  <si>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</si>
  <si>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</si>
  <si>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</si>
  <si>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</si>
  <si>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</si>
  <si>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</si>
  <si>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</si>
  <si>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</si>
  <si>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</si>
  <si>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</si>
  <si>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</si>
  <si>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</si>
  <si>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</si>
  <si>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</si>
  <si>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</si>
  <si>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</si>
  <si>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</si>
  <si>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</si>
  <si>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</si>
  <si>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</si>
  <si>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</si>
  <si>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</si>
  <si>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</si>
  <si>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</si>
  <si>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</si>
  <si>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</si>
  <si>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</si>
  <si>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</si>
  <si>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</si>
  <si>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</si>
  <si>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</si>
  <si>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</si>
  <si>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</si>
  <si>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</si>
  <si>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</si>
  <si>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</si>
  <si>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</si>
  <si>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</si>
  <si>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</si>
  <si>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</si>
  <si>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</si>
  <si>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</si>
  <si>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</si>
  <si>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</si>
  <si>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</si>
  <si>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</si>
  <si>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</si>
  <si>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</si>
  <si>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</si>
  <si>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</si>
  <si>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</si>
  <si>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</si>
  <si>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</si>
  <si>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</si>
  <si>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</si>
  <si>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</si>
  <si>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</si>
  <si>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</si>
  <si>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</si>
  <si>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</si>
  <si>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</si>
  <si>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</si>
  <si>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</si>
  <si>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</si>
  <si>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</si>
  <si>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</si>
  <si>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</si>
  <si>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</si>
  <si>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</si>
  <si>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</si>
  <si>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</si>
  <si>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</si>
  <si>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</si>
  <si>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</si>
  <si>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</si>
  <si>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</si>
  <si>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</si>
  <si>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</si>
  <si>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</si>
  <si>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</si>
  <si>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</si>
  <si>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</si>
  <si>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</si>
  <si>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</si>
  <si>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</si>
  <si>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</si>
  <si>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</si>
  <si>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</si>
  <si>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</si>
  <si>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</si>
  <si>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</si>
  <si>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</si>
  <si>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</si>
  <si>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</si>
  <si>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</si>
  <si>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</si>
  <si>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</si>
  <si>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</si>
  <si>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</si>
  <si>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</si>
  <si>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</si>
  <si>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</si>
  <si>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</si>
  <si>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</si>
  <si>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</si>
  <si>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</si>
  <si>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</si>
  <si>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</si>
  <si>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</si>
  <si>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</si>
  <si>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</si>
  <si>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</si>
  <si>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</si>
  <si>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</si>
  <si>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</si>
  <si>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</si>
  <si>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</si>
  <si>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</si>
  <si>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</si>
  <si>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</si>
  <si>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</si>
  <si>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</si>
  <si>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</si>
  <si>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</si>
  <si>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</si>
  <si>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</si>
  <si>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</si>
  <si>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</si>
  <si>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</si>
  <si>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</si>
  <si>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</si>
  <si>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</si>
  <si>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</si>
  <si>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</si>
  <si>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</si>
  <si>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</si>
  <si>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</si>
  <si>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</si>
  <si>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</si>
  <si>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</si>
  <si>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</si>
  <si>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</si>
  <si>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</si>
  <si>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</si>
  <si>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</si>
  <si>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</si>
  <si>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</si>
  <si>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</si>
  <si>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</si>
  <si>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</si>
  <si>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</si>
  <si>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</si>
  <si>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</si>
  <si>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</si>
  <si>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</si>
  <si>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</si>
  <si>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</si>
  <si>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</si>
  <si>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</si>
  <si>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</si>
  <si>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</si>
  <si>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</si>
  <si>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</si>
  <si>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</si>
  <si>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</si>
  <si>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</si>
  <si>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</si>
  <si>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</si>
  <si>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</si>
  <si>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</si>
  <si>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</si>
  <si>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</si>
  <si>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</si>
  <si>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</si>
  <si>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</si>
  <si>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</si>
  <si>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</si>
  <si>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</si>
  <si>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</si>
  <si>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</si>
  <si>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</si>
  <si>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</si>
  <si>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</si>
  <si>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</si>
  <si>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</si>
  <si>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</si>
  <si>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</si>
  <si>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</si>
  <si>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</si>
  <si>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</si>
  <si>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</si>
  <si>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</si>
  <si>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</si>
  <si>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</si>
  <si>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</si>
  <si>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</si>
  <si>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</si>
  <si>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</si>
  <si>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</si>
  <si>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</si>
  <si>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</si>
  <si>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</si>
  <si>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</si>
  <si>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</si>
  <si>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</si>
  <si>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</si>
  <si>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</si>
  <si>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</si>
  <si>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</si>
  <si>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</si>
  <si>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</si>
  <si>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</si>
  <si>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</si>
  <si>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</si>
  <si>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</si>
  <si>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</si>
  <si>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</si>
  <si>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</si>
  <si>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</si>
  <si>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</si>
  <si>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</si>
  <si>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</si>
  <si>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</si>
  <si>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</si>
  <si>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</si>
  <si>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</si>
  <si>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</si>
  <si>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</si>
  <si>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</si>
  <si>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</si>
  <si>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</si>
  <si>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</si>
  <si>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</si>
  <si>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</si>
  <si>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</si>
  <si>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</si>
  <si>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</si>
  <si>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</si>
  <si>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</si>
  <si>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</si>
  <si>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</si>
  <si>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</si>
  <si>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</si>
  <si>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</si>
  <si>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</si>
  <si>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</si>
  <si>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</si>
  <si>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</si>
  <si>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</si>
  <si>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</si>
  <si>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</si>
  <si>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</si>
  <si>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</si>
  <si>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</si>
  <si>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</si>
  <si>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</si>
  <si>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</si>
  <si>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</si>
  <si>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</si>
  <si>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</si>
  <si>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</si>
  <si>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</si>
  <si>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</si>
  <si>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</si>
  <si>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</si>
  <si>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</si>
  <si>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</si>
  <si>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</si>
  <si>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</si>
  <si>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</si>
  <si>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</si>
  <si>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</si>
  <si>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</si>
  <si>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</si>
  <si>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</si>
  <si>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</si>
  <si>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</si>
  <si>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</si>
  <si>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</si>
  <si>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</si>
  <si>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</si>
  <si>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</si>
  <si>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</si>
  <si>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</si>
  <si>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</si>
  <si>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</si>
  <si>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</si>
  <si>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</si>
  <si>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</si>
  <si>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</si>
  <si>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</si>
  <si>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</si>
  <si>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</si>
  <si>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</si>
  <si>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</si>
  <si>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</si>
  <si>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</si>
  <si>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</si>
  <si>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</si>
  <si>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</si>
  <si>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</si>
  <si>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</si>
  <si>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</si>
  <si>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</si>
  <si>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</si>
  <si>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</si>
  <si>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</si>
  <si>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</si>
  <si>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</si>
  <si>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</si>
  <si>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</si>
  <si>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</si>
  <si>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</si>
  <si>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</si>
  <si>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</si>
  <si>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</si>
  <si>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</si>
  <si>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</si>
  <si>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</si>
  <si>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</si>
  <si>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</si>
  <si>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</si>
  <si>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</si>
  <si>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</si>
  <si>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</si>
  <si>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</si>
  <si>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</si>
  <si>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</si>
  <si>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</si>
  <si>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</si>
  <si>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</si>
  <si>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</si>
  <si>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</si>
  <si>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</si>
  <si>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</si>
  <si>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</si>
  <si>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</si>
  <si>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</si>
  <si>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</si>
  <si>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</si>
  <si>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</si>
  <si>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</si>
  <si>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</si>
  <si>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</si>
  <si>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</si>
  <si>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</si>
  <si>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</si>
  <si>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</si>
  <si>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</si>
  <si>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</si>
  <si>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</si>
  <si>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</si>
  <si>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</si>
  <si>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</si>
  <si>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</si>
  <si>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</si>
  <si>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</si>
  <si>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</si>
  <si>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</si>
  <si>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</si>
  <si>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</si>
  <si>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</si>
  <si>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</si>
  <si>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</si>
  <si>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</si>
  <si>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</si>
  <si>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</si>
  <si>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</si>
  <si>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</si>
  <si>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</si>
  <si>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</si>
  <si>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</si>
  <si>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</si>
  <si>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</si>
  <si>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</si>
  <si>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</si>
  <si>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</si>
  <si>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</si>
  <si>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</si>
  <si>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</si>
  <si>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</si>
  <si>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</si>
  <si>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</si>
  <si>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</si>
  <si>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</si>
  <si>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</si>
  <si>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</si>
  <si>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</si>
  <si>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</si>
  <si>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</si>
  <si>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</si>
  <si>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</si>
  <si>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</si>
  <si>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</si>
  <si>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</si>
  <si>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</si>
  <si>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</si>
  <si>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</si>
  <si>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</si>
  <si>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</si>
  <si>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</si>
  <si>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</si>
  <si>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</si>
  <si>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</si>
  <si>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</si>
  <si>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</si>
  <si>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</si>
  <si>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</si>
  <si>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</si>
  <si>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</si>
  <si>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</si>
  <si>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</si>
  <si>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</si>
  <si>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</si>
  <si>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</si>
  <si>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</si>
  <si>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</si>
  <si>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</si>
  <si>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</si>
  <si>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</si>
  <si>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</si>
  <si>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</si>
  <si>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</si>
  <si>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</si>
  <si>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</si>
  <si>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</si>
  <si>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</si>
  <si>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</si>
  <si>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</si>
  <si>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</si>
  <si>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</si>
  <si>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</si>
  <si>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</si>
  <si>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</si>
  <si>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</si>
  <si>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</si>
  <si>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</si>
  <si>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</si>
  <si>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</si>
  <si>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</si>
  <si>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</si>
  <si>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</si>
  <si>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</si>
  <si>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</si>
  <si>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</si>
  <si>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</si>
  <si>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</si>
  <si>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</si>
  <si>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</si>
  <si>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</si>
  <si>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</si>
  <si>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</si>
  <si>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</si>
  <si>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</si>
  <si>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</si>
  <si>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</si>
  <si>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</si>
  <si>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</si>
  <si>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</si>
  <si>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</si>
  <si>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</si>
  <si>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</si>
  <si>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</si>
  <si>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</si>
  <si>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</si>
  <si>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</si>
  <si>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</si>
  <si>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</si>
  <si>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</si>
  <si>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</si>
  <si>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</si>
  <si>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</si>
  <si>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</si>
  <si>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</si>
  <si>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</si>
  <si>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</si>
  <si>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</si>
  <si>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</si>
  <si>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</si>
  <si>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</si>
  <si>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</si>
  <si>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</si>
  <si>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</si>
  <si>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</si>
  <si>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</si>
  <si>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</si>
  <si>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</si>
  <si>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</si>
  <si>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</si>
  <si>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</si>
  <si>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</si>
  <si>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</si>
  <si>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</si>
  <si>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</si>
  <si>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</si>
  <si>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</si>
  <si>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</si>
  <si>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</si>
  <si>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</si>
  <si>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</si>
  <si>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</si>
  <si>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</si>
  <si>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</si>
  <si>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</si>
  <si>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</si>
  <si>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</si>
  <si>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</si>
  <si>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</si>
  <si>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</si>
  <si>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</si>
  <si>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</si>
  <si>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PAMC1480JU</t>
  </si>
  <si>
    <t>PAMC2200JU</t>
  </si>
  <si>
    <t>PAMC2260JU</t>
  </si>
  <si>
    <t>PAMC2490JU</t>
  </si>
  <si>
    <t>PAMC2820JU</t>
  </si>
  <si>
    <t>PAMV1600JU</t>
  </si>
  <si>
    <t>PAMV1840JU</t>
  </si>
  <si>
    <t>PAMV1900JU</t>
  </si>
  <si>
    <t>PAMV2200JU</t>
  </si>
  <si>
    <t>PAMV2260JU</t>
  </si>
  <si>
    <t>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</si>
</sst>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5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/>
      <top style="thin">
        <color theme="1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theme="1" tint="0.249977111117893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8" fillId="39" borderId="0" applyNumberFormat="0" applyBorder="0" applyAlignment="0" applyProtection="0"/>
    <xf numFmtId="0" fontId="88" fillId="40" borderId="0" applyNumberFormat="0" applyBorder="0" applyAlignment="0" applyProtection="0"/>
  </cellStyleXfs>
  <cellXfs count="91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168" fontId="40" fillId="13" borderId="8" xfId="15" applyNumberFormat="1" applyFont="1" applyFill="1" applyBorder="1" applyAlignment="1">
      <alignment horizontal="center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10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20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1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20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5" fillId="10" borderId="122" xfId="55" applyNumberFormat="1" applyFont="1" applyFill="1" applyBorder="1" applyAlignment="1">
      <alignment horizontal="right" vertical="center"/>
    </xf>
    <xf numFmtId="10" fontId="29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5" fillId="10" borderId="124" xfId="55" applyNumberFormat="1" applyFont="1" applyFill="1" applyBorder="1" applyAlignment="1">
      <alignment horizontal="right" vertical="center"/>
    </xf>
    <xf numFmtId="10" fontId="29" fillId="10" borderId="124" xfId="114" applyNumberFormat="1" applyFont="1" applyFill="1" applyBorder="1" applyAlignment="1">
      <alignment horizontal="right" vertical="center"/>
    </xf>
    <xf numFmtId="10" fontId="70" fillId="10" borderId="122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5" xfId="77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4" xfId="77" applyNumberFormat="1" applyFont="1" applyFill="1" applyBorder="1" applyAlignment="1">
      <alignment horizontal="center" vertical="center"/>
    </xf>
    <xf numFmtId="1" fontId="75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3" xfId="0" applyFont="1" applyFill="1" applyBorder="1" applyAlignment="1">
      <alignment horizontal="right" vertical="center"/>
    </xf>
    <xf numFmtId="0" fontId="69" fillId="9" borderId="116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10" fontId="78" fillId="10" borderId="95" xfId="114" applyNumberFormat="1" applyFont="1" applyFill="1" applyBorder="1" applyAlignment="1">
      <alignment horizontal="center" vertical="center"/>
    </xf>
    <xf numFmtId="10" fontId="78" fillId="10" borderId="94" xfId="114" applyNumberFormat="1" applyFont="1" applyFill="1" applyBorder="1" applyAlignment="1">
      <alignment horizontal="center" vertical="center"/>
    </xf>
    <xf numFmtId="10" fontId="78" fillId="10" borderId="96" xfId="114" applyNumberFormat="1" applyFont="1" applyFill="1" applyBorder="1" applyAlignment="1">
      <alignment horizontal="center" vertical="center"/>
    </xf>
    <xf numFmtId="10" fontId="78" fillId="10" borderId="98" xfId="114" applyNumberFormat="1" applyFont="1" applyFill="1" applyBorder="1" applyAlignment="1">
      <alignment horizontal="center" vertical="center"/>
    </xf>
    <xf numFmtId="0" fontId="81" fillId="0" borderId="0" xfId="0" applyFont="1" applyAlignment="1">
      <alignment vertical="top"/>
    </xf>
    <xf numFmtId="0" fontId="64" fillId="10" borderId="110" xfId="0" applyFont="1" applyFill="1" applyBorder="1" applyAlignment="1">
      <alignment horizontal="right" vertical="center"/>
    </xf>
    <xf numFmtId="0" fontId="69" fillId="9" borderId="127" xfId="55" applyNumberFormat="1" applyFont="1" applyFill="1" applyBorder="1" applyAlignment="1">
      <alignment horizontal="right" vertical="center"/>
    </xf>
    <xf numFmtId="10" fontId="78" fillId="10" borderId="112" xfId="114" applyNumberFormat="1" applyFont="1" applyFill="1" applyBorder="1" applyAlignment="1">
      <alignment horizontal="center" vertical="center"/>
    </xf>
    <xf numFmtId="166" fontId="35" fillId="10" borderId="113" xfId="0" applyNumberFormat="1" applyFont="1" applyFill="1" applyBorder="1" applyAlignment="1">
      <alignment horizontal="center" vertical="center"/>
    </xf>
    <xf numFmtId="2" fontId="76" fillId="9" borderId="116" xfId="55" applyNumberFormat="1" applyFont="1" applyFill="1" applyBorder="1" applyAlignment="1">
      <alignment horizontal="right" vertical="center"/>
    </xf>
    <xf numFmtId="2" fontId="76" fillId="9" borderId="117" xfId="55" applyNumberFormat="1" applyFont="1" applyFill="1" applyBorder="1" applyAlignment="1">
      <alignment horizontal="right" vertical="center"/>
    </xf>
    <xf numFmtId="10" fontId="83" fillId="10" borderId="95" xfId="114" applyNumberFormat="1" applyFont="1" applyFill="1" applyBorder="1" applyAlignment="1">
      <alignment horizontal="center" vertical="center"/>
    </xf>
    <xf numFmtId="0" fontId="84" fillId="10" borderId="3" xfId="0" applyFont="1" applyFill="1" applyBorder="1" applyAlignment="1">
      <alignment horizontal="right" vertical="center"/>
    </xf>
    <xf numFmtId="0" fontId="84" fillId="10" borderId="95" xfId="0" applyFont="1" applyFill="1" applyBorder="1" applyAlignment="1">
      <alignment horizontal="right" vertical="center"/>
    </xf>
    <xf numFmtId="0" fontId="84" fillId="10" borderId="91" xfId="0" applyFont="1" applyFill="1" applyBorder="1" applyAlignment="1">
      <alignment horizontal="right" vertical="center"/>
    </xf>
    <xf numFmtId="0" fontId="85" fillId="10" borderId="95" xfId="0" applyFont="1" applyFill="1" applyBorder="1" applyAlignment="1">
      <alignment horizontal="right" vertical="center"/>
    </xf>
    <xf numFmtId="3" fontId="85" fillId="10" borderId="95" xfId="0" applyNumberFormat="1" applyFont="1" applyFill="1" applyBorder="1" applyAlignment="1">
      <alignment horizontal="right" vertical="center"/>
    </xf>
    <xf numFmtId="10" fontId="83" fillId="10" borderId="94" xfId="114" applyNumberFormat="1" applyFont="1" applyFill="1" applyBorder="1" applyAlignment="1">
      <alignment horizontal="center" vertical="center"/>
    </xf>
    <xf numFmtId="0" fontId="84" fillId="10" borderId="104" xfId="0" applyFont="1" applyFill="1" applyBorder="1" applyAlignment="1">
      <alignment horizontal="right" vertical="center"/>
    </xf>
    <xf numFmtId="0" fontId="84" fillId="10" borderId="103" xfId="0" applyFont="1" applyFill="1" applyBorder="1" applyAlignment="1">
      <alignment horizontal="right" vertical="center"/>
    </xf>
    <xf numFmtId="0" fontId="84" fillId="10" borderId="120" xfId="0" applyFont="1" applyFill="1" applyBorder="1" applyAlignment="1">
      <alignment horizontal="right" vertical="center"/>
    </xf>
    <xf numFmtId="0" fontId="85" fillId="10" borderId="103" xfId="0" applyFont="1" applyFill="1" applyBorder="1" applyAlignment="1">
      <alignment horizontal="right" vertical="center"/>
    </xf>
    <xf numFmtId="3" fontId="85" fillId="10" borderId="103" xfId="0" applyNumberFormat="1" applyFont="1" applyFill="1" applyBorder="1" applyAlignment="1">
      <alignment horizontal="right" vertical="center"/>
    </xf>
    <xf numFmtId="0" fontId="84" fillId="10" borderId="93" xfId="0" applyFont="1" applyFill="1" applyBorder="1" applyAlignment="1">
      <alignment horizontal="right" vertical="center"/>
    </xf>
    <xf numFmtId="0" fontId="84" fillId="10" borderId="92" xfId="0" applyFont="1" applyFill="1" applyBorder="1" applyAlignment="1">
      <alignment horizontal="right" vertical="center"/>
    </xf>
    <xf numFmtId="0" fontId="84" fillId="10" borderId="119" xfId="0" applyFont="1" applyFill="1" applyBorder="1" applyAlignment="1">
      <alignment horizontal="right" vertical="center"/>
    </xf>
    <xf numFmtId="0" fontId="85" fillId="10" borderId="92" xfId="0" applyFont="1" applyFill="1" applyBorder="1" applyAlignment="1">
      <alignment horizontal="right" vertical="center"/>
    </xf>
    <xf numFmtId="3" fontId="85" fillId="10" borderId="92" xfId="0" applyNumberFormat="1" applyFont="1" applyFill="1" applyBorder="1" applyAlignment="1">
      <alignment horizontal="right" vertical="center"/>
    </xf>
    <xf numFmtId="0" fontId="84" fillId="10" borderId="89" xfId="0" applyFont="1" applyFill="1" applyBorder="1" applyAlignment="1">
      <alignment horizontal="right" vertical="center"/>
    </xf>
    <xf numFmtId="0" fontId="84" fillId="10" borderId="96" xfId="0" applyFont="1" applyFill="1" applyBorder="1" applyAlignment="1">
      <alignment horizontal="right" vertical="center"/>
    </xf>
    <xf numFmtId="0" fontId="84" fillId="10" borderId="90" xfId="0" applyFont="1" applyFill="1" applyBorder="1" applyAlignment="1">
      <alignment horizontal="right" vertical="center"/>
    </xf>
    <xf numFmtId="0" fontId="85" fillId="10" borderId="96" xfId="0" applyFont="1" applyFill="1" applyBorder="1" applyAlignment="1">
      <alignment horizontal="right" vertical="center"/>
    </xf>
    <xf numFmtId="3" fontId="85" fillId="10" borderId="96" xfId="0" applyNumberFormat="1" applyFont="1" applyFill="1" applyBorder="1" applyAlignment="1">
      <alignment horizontal="right" vertical="center"/>
    </xf>
    <xf numFmtId="0" fontId="86" fillId="27" borderId="34" xfId="0" applyFont="1" applyFill="1" applyBorder="1" applyAlignment="1">
      <alignment horizontal="center" vertical="center"/>
    </xf>
    <xf numFmtId="4" fontId="86" fillId="30" borderId="34" xfId="0" applyNumberFormat="1" applyFont="1" applyFill="1" applyBorder="1" applyAlignment="1">
      <alignment horizontal="center" vertical="center"/>
    </xf>
    <xf numFmtId="0" fontId="86" fillId="23" borderId="34" xfId="0" applyFont="1" applyFill="1" applyBorder="1" applyAlignment="1">
      <alignment horizontal="center" vertical="center"/>
    </xf>
    <xf numFmtId="0" fontId="86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3" fontId="35" fillId="10" borderId="130" xfId="0" applyNumberFormat="1" applyFont="1" applyFill="1" applyBorder="1" applyAlignment="1">
      <alignment horizontal="right" vertical="center"/>
    </xf>
    <xf numFmtId="166" fontId="35" fillId="10" borderId="132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4" fillId="10" borderId="130" xfId="0" applyFont="1" applyFill="1" applyBorder="1" applyAlignment="1">
      <alignment horizontal="right" vertical="center"/>
    </xf>
    <xf numFmtId="0" fontId="37" fillId="10" borderId="132" xfId="0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0" fontId="35" fillId="10" borderId="130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10" fontId="78" fillId="10" borderId="130" xfId="114" applyNumberFormat="1" applyFont="1" applyFill="1" applyBorder="1" applyAlignment="1">
      <alignment horizontal="center" vertical="center"/>
    </xf>
    <xf numFmtId="0" fontId="35" fillId="10" borderId="13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0" fillId="11" borderId="115" xfId="77" applyNumberFormat="1" applyFont="1" applyFill="1" applyBorder="1" applyAlignment="1">
      <alignment horizontal="center" vertical="center"/>
    </xf>
    <xf numFmtId="1" fontId="68" fillId="11" borderId="138" xfId="77" applyNumberFormat="1" applyFont="1" applyFill="1" applyBorder="1" applyAlignment="1">
      <alignment horizontal="center" vertical="center"/>
    </xf>
    <xf numFmtId="1" fontId="87" fillId="11" borderId="114" xfId="77" applyNumberFormat="1" applyFont="1" applyFill="1" applyBorder="1" applyAlignment="1">
      <alignment horizontal="center" vertical="center"/>
    </xf>
    <xf numFmtId="1" fontId="73" fillId="11" borderId="137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5" fillId="9" borderId="0" xfId="0" applyNumberFormat="1" applyFont="1" applyFill="1"/>
    <xf numFmtId="0" fontId="95" fillId="9" borderId="0" xfId="0" applyFont="1" applyFill="1" applyAlignment="1">
      <alignment horizontal="center"/>
    </xf>
    <xf numFmtId="1" fontId="91" fillId="11" borderId="114" xfId="77" applyNumberFormat="1" applyFont="1" applyFill="1" applyBorder="1" applyAlignment="1">
      <alignment horizontal="center" vertical="center"/>
    </xf>
    <xf numFmtId="1" fontId="97" fillId="11" borderId="114" xfId="77" applyNumberFormat="1" applyFont="1" applyFill="1" applyBorder="1" applyAlignment="1">
      <alignment horizontal="center" vertical="center"/>
    </xf>
    <xf numFmtId="1" fontId="89" fillId="11" borderId="138" xfId="77" applyNumberFormat="1" applyFont="1" applyFill="1" applyBorder="1" applyAlignment="1">
      <alignment horizontal="center" vertical="center"/>
    </xf>
    <xf numFmtId="1" fontId="91" fillId="11" borderId="137" xfId="77" applyNumberFormat="1" applyFont="1" applyFill="1" applyBorder="1" applyAlignment="1">
      <alignment horizontal="center" vertical="center"/>
    </xf>
    <xf numFmtId="1" fontId="97" fillId="11" borderId="115" xfId="77" applyNumberFormat="1" applyFont="1" applyFill="1" applyBorder="1" applyAlignment="1">
      <alignment horizontal="center" vertical="center"/>
    </xf>
    <xf numFmtId="1" fontId="89" fillId="11" borderId="115" xfId="77" applyNumberFormat="1" applyFont="1" applyFill="1" applyBorder="1" applyAlignment="1">
      <alignment horizontal="center" vertical="center"/>
    </xf>
    <xf numFmtId="0" fontId="64" fillId="10" borderId="133" xfId="0" applyFont="1" applyFill="1" applyBorder="1" applyAlignment="1">
      <alignment horizontal="right" vertical="center"/>
    </xf>
    <xf numFmtId="0" fontId="64" fillId="10" borderId="90" xfId="0" applyFont="1" applyFill="1" applyBorder="1" applyAlignment="1">
      <alignment horizontal="right" vertical="center"/>
    </xf>
    <xf numFmtId="0" fontId="98" fillId="0" borderId="0" xfId="0" applyFont="1"/>
    <xf numFmtId="0" fontId="2" fillId="0" borderId="0" xfId="0" applyFont="1"/>
    <xf numFmtId="0" fontId="35" fillId="10" borderId="133" xfId="55" applyNumberFormat="1" applyFont="1" applyFill="1" applyBorder="1" applyAlignment="1">
      <alignment horizontal="right" vertical="center"/>
    </xf>
    <xf numFmtId="0" fontId="38" fillId="9" borderId="118" xfId="0" applyNumberFormat="1" applyFont="1" applyFill="1" applyBorder="1" applyAlignment="1">
      <alignment vertical="center"/>
    </xf>
    <xf numFmtId="3" fontId="94" fillId="7" borderId="139" xfId="0" applyNumberFormat="1" applyFont="1" applyFill="1" applyBorder="1" applyAlignment="1">
      <alignment horizontal="center" vertical="center"/>
    </xf>
    <xf numFmtId="3" fontId="80" fillId="7" borderId="139" xfId="0" applyNumberFormat="1" applyFont="1" applyFill="1" applyBorder="1" applyAlignment="1">
      <alignment horizontal="center" vertical="center"/>
    </xf>
    <xf numFmtId="3" fontId="80" fillId="7" borderId="140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46" xfId="77" applyNumberFormat="1" applyFont="1" applyFill="1" applyBorder="1" applyAlignment="1">
      <alignment horizontal="center" vertical="center"/>
    </xf>
    <xf numFmtId="0" fontId="8" fillId="4" borderId="148" xfId="31" applyFont="1" applyFill="1" applyBorder="1" applyAlignment="1">
      <alignment horizontal="center"/>
    </xf>
    <xf numFmtId="0" fontId="54" fillId="28" borderId="34" xfId="0" applyNumberFormat="1" applyFont="1" applyFill="1" applyBorder="1" applyAlignment="1">
      <alignment horizontal="center" vertical="center"/>
    </xf>
    <xf numFmtId="0" fontId="86" fillId="27" borderId="34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vertical="top"/>
    </xf>
    <xf numFmtId="0" fontId="30" fillId="9" borderId="118" xfId="0" applyNumberFormat="1" applyFont="1" applyFill="1" applyBorder="1" applyAlignment="1">
      <alignment vertical="center"/>
    </xf>
    <xf numFmtId="2" fontId="93" fillId="9" borderId="129" xfId="0" applyNumberFormat="1" applyFont="1" applyFill="1" applyBorder="1" applyAlignment="1">
      <alignment vertical="center"/>
    </xf>
    <xf numFmtId="0" fontId="68" fillId="9" borderId="118" xfId="0" applyNumberFormat="1" applyFont="1" applyFill="1" applyBorder="1" applyAlignment="1">
      <alignment vertical="center"/>
    </xf>
    <xf numFmtId="0" fontId="87" fillId="9" borderId="118" xfId="0" applyNumberFormat="1" applyFont="1" applyFill="1" applyBorder="1" applyAlignment="1">
      <alignment vertical="center"/>
    </xf>
    <xf numFmtId="2" fontId="92" fillId="9" borderId="134" xfId="0" applyNumberFormat="1" applyFont="1" applyFill="1" applyBorder="1" applyAlignment="1">
      <alignment vertical="center"/>
    </xf>
    <xf numFmtId="1" fontId="90" fillId="11" borderId="114" xfId="77" applyNumberFormat="1" applyFont="1" applyFill="1" applyBorder="1" applyAlignment="1">
      <alignment horizontal="center" vertical="center"/>
    </xf>
    <xf numFmtId="0" fontId="100" fillId="9" borderId="118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55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57" xfId="0" applyFont="1" applyFill="1" applyBorder="1" applyAlignment="1">
      <alignment horizontal="center" vertical="center"/>
    </xf>
    <xf numFmtId="0" fontId="53" fillId="23" borderId="158" xfId="0" applyFont="1" applyFill="1" applyBorder="1" applyAlignment="1">
      <alignment horizontal="center" vertical="center"/>
    </xf>
    <xf numFmtId="0" fontId="53" fillId="24" borderId="157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center" vertical="center"/>
    </xf>
    <xf numFmtId="0" fontId="101" fillId="24" borderId="81" xfId="0" applyFont="1" applyFill="1" applyBorder="1" applyAlignment="1">
      <alignment horizontal="center" vertical="center"/>
    </xf>
    <xf numFmtId="0" fontId="103" fillId="20" borderId="32" xfId="0" applyFont="1" applyFill="1" applyBorder="1" applyAlignment="1">
      <alignment horizontal="center" vertical="center"/>
    </xf>
    <xf numFmtId="0" fontId="103" fillId="20" borderId="156" xfId="0" applyFont="1" applyFill="1" applyBorder="1" applyAlignment="1">
      <alignment horizontal="center" vertical="center"/>
    </xf>
    <xf numFmtId="0" fontId="102" fillId="31" borderId="32" xfId="0" applyFont="1" applyFill="1" applyBorder="1" applyAlignment="1">
      <alignment horizontal="center" vertical="center" wrapText="1"/>
    </xf>
    <xf numFmtId="0" fontId="104" fillId="30" borderId="34" xfId="0" applyNumberFormat="1" applyFont="1" applyFill="1" applyBorder="1" applyAlignment="1">
      <alignment horizontal="center" vertical="center"/>
    </xf>
    <xf numFmtId="4" fontId="104" fillId="30" borderId="34" xfId="0" applyNumberFormat="1" applyFont="1" applyFill="1" applyBorder="1" applyAlignment="1">
      <alignment horizontal="center" vertical="center"/>
    </xf>
    <xf numFmtId="0" fontId="105" fillId="27" borderId="34" xfId="0" applyFont="1" applyFill="1" applyBorder="1" applyAlignment="1">
      <alignment horizontal="center" vertical="center"/>
    </xf>
    <xf numFmtId="0" fontId="105" fillId="27" borderId="34" xfId="0" applyNumberFormat="1" applyFont="1" applyFill="1" applyBorder="1" applyAlignment="1">
      <alignment horizontal="center" vertical="center"/>
    </xf>
    <xf numFmtId="0" fontId="86" fillId="27" borderId="161" xfId="0" applyFont="1" applyFill="1" applyBorder="1" applyAlignment="1">
      <alignment horizontal="center" vertical="center"/>
    </xf>
    <xf numFmtId="0" fontId="86" fillId="27" borderId="162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6" fillId="28" borderId="34" xfId="0" applyNumberFormat="1" applyFont="1" applyFill="1" applyBorder="1" applyAlignment="1">
      <alignment horizontal="center" vertical="center"/>
    </xf>
    <xf numFmtId="0" fontId="106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59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60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38" xfId="0" applyFont="1" applyFill="1" applyBorder="1" applyAlignment="1">
      <alignment vertical="center"/>
    </xf>
    <xf numFmtId="0" fontId="42" fillId="20" borderId="158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38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0" fontId="42" fillId="31" borderId="64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38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1" fontId="42" fillId="32" borderId="79" xfId="0" applyNumberFormat="1" applyFont="1" applyFill="1" applyBorder="1" applyAlignment="1">
      <alignment vertical="center"/>
    </xf>
    <xf numFmtId="0" fontId="107" fillId="18" borderId="25" xfId="0" applyFont="1" applyFill="1" applyBorder="1" applyAlignment="1">
      <alignment horizontal="center" vertical="center"/>
    </xf>
    <xf numFmtId="0" fontId="108" fillId="18" borderId="25" xfId="0" applyFont="1" applyFill="1" applyBorder="1" applyAlignment="1">
      <alignment horizontal="center" vertical="center"/>
    </xf>
    <xf numFmtId="3" fontId="109" fillId="26" borderId="40" xfId="0" applyNumberFormat="1" applyFont="1" applyFill="1" applyBorder="1" applyAlignment="1">
      <alignment horizontal="right" vertical="center"/>
    </xf>
    <xf numFmtId="3" fontId="109" fillId="26" borderId="49" xfId="0" applyNumberFormat="1" applyFont="1" applyFill="1" applyBorder="1" applyAlignment="1">
      <alignment horizontal="right" vertical="center"/>
    </xf>
    <xf numFmtId="3" fontId="109" fillId="26" borderId="50" xfId="0" applyNumberFormat="1" applyFont="1" applyFill="1" applyBorder="1" applyAlignment="1">
      <alignment horizontal="right" vertical="center"/>
    </xf>
    <xf numFmtId="3" fontId="109" fillId="26" borderId="55" xfId="0" applyNumberFormat="1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left" vertical="center"/>
    </xf>
    <xf numFmtId="0" fontId="64" fillId="10" borderId="145" xfId="0" applyFont="1" applyFill="1" applyBorder="1" applyAlignment="1">
      <alignment horizontal="left" vertical="center"/>
    </xf>
    <xf numFmtId="0" fontId="48" fillId="19" borderId="163" xfId="0" applyFont="1" applyFill="1" applyBorder="1" applyAlignment="1">
      <alignment horizontal="center" vertical="center"/>
    </xf>
    <xf numFmtId="0" fontId="48" fillId="17" borderId="164" xfId="0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8" xfId="0" applyNumberFormat="1" applyFont="1" applyFill="1" applyBorder="1" applyAlignment="1">
      <alignment horizontal="right" vertical="center"/>
    </xf>
    <xf numFmtId="3" fontId="35" fillId="10" borderId="129" xfId="0" applyNumberFormat="1" applyFont="1" applyFill="1" applyBorder="1" applyAlignment="1">
      <alignment horizontal="right" vertical="center"/>
    </xf>
    <xf numFmtId="3" fontId="35" fillId="10" borderId="150" xfId="0" applyNumberFormat="1" applyFont="1" applyFill="1" applyBorder="1" applyAlignment="1">
      <alignment horizontal="right" vertical="center"/>
    </xf>
    <xf numFmtId="0" fontId="111" fillId="12" borderId="108" xfId="55" applyNumberFormat="1" applyFont="1" applyFill="1" applyBorder="1" applyAlignment="1">
      <alignment horizontal="center" vertical="center"/>
    </xf>
    <xf numFmtId="0" fontId="111" fillId="12" borderId="125" xfId="55" applyNumberFormat="1" applyFont="1" applyFill="1" applyBorder="1" applyAlignment="1">
      <alignment horizontal="center" vertical="center"/>
    </xf>
    <xf numFmtId="0" fontId="37" fillId="10" borderId="173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74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74" xfId="0" applyNumberFormat="1" applyFont="1" applyFill="1" applyBorder="1" applyAlignment="1">
      <alignment horizontal="center" vertical="center"/>
    </xf>
    <xf numFmtId="0" fontId="110" fillId="9" borderId="89" xfId="55" applyNumberFormat="1" applyFont="1" applyFill="1" applyBorder="1" applyAlignment="1">
      <alignment horizontal="center" vertical="center"/>
    </xf>
    <xf numFmtId="0" fontId="110" fillId="9" borderId="129" xfId="55" applyNumberFormat="1" applyFont="1" applyFill="1" applyBorder="1" applyAlignment="1">
      <alignment horizontal="center" vertical="center"/>
    </xf>
    <xf numFmtId="0" fontId="110" fillId="9" borderId="142" xfId="55" applyNumberFormat="1" applyFont="1" applyFill="1" applyBorder="1" applyAlignment="1">
      <alignment horizontal="center" vertical="center"/>
    </xf>
    <xf numFmtId="1" fontId="73" fillId="11" borderId="132" xfId="77" applyNumberFormat="1" applyFont="1" applyFill="1" applyBorder="1" applyAlignment="1">
      <alignment horizontal="center" vertical="center"/>
    </xf>
    <xf numFmtId="0" fontId="91" fillId="9" borderId="153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horizontal="center" vertical="center"/>
    </xf>
    <xf numFmtId="0" fontId="30" fillId="9" borderId="118" xfId="0" applyNumberFormat="1" applyFont="1" applyFill="1" applyBorder="1" applyAlignment="1">
      <alignment horizontal="center" vertical="center"/>
    </xf>
    <xf numFmtId="2" fontId="93" fillId="9" borderId="129" xfId="0" applyNumberFormat="1" applyFont="1" applyFill="1" applyBorder="1" applyAlignment="1">
      <alignment horizontal="center" vertical="center"/>
    </xf>
    <xf numFmtId="0" fontId="68" fillId="9" borderId="118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3" fontId="113" fillId="10" borderId="176" xfId="0" applyNumberFormat="1" applyFont="1" applyFill="1" applyBorder="1" applyAlignment="1">
      <alignment horizontal="center" vertical="center"/>
    </xf>
    <xf numFmtId="3" fontId="114" fillId="10" borderId="175" xfId="0" applyNumberFormat="1" applyFont="1" applyFill="1" applyBorder="1" applyAlignment="1">
      <alignment horizontal="center" vertical="center"/>
    </xf>
    <xf numFmtId="0" fontId="100" fillId="9" borderId="153" xfId="0" applyNumberFormat="1" applyFont="1" applyFill="1" applyBorder="1" applyAlignment="1">
      <alignment horizontal="center" vertical="center"/>
    </xf>
    <xf numFmtId="0" fontId="100" fillId="9" borderId="129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top"/>
    </xf>
    <xf numFmtId="0" fontId="79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0" fillId="9" borderId="180" xfId="0" applyNumberFormat="1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50" xfId="0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0" fillId="9" borderId="181" xfId="0" applyNumberFormat="1" applyFont="1" applyFill="1" applyBorder="1" applyAlignment="1">
      <alignment horizontal="center" vertical="center"/>
    </xf>
    <xf numFmtId="0" fontId="23" fillId="9" borderId="182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83" xfId="0" applyFont="1" applyFill="1" applyBorder="1" applyAlignment="1">
      <alignment horizontal="center" vertical="center"/>
    </xf>
    <xf numFmtId="0" fontId="69" fillId="9" borderId="117" xfId="55" applyNumberFormat="1" applyFont="1" applyFill="1" applyBorder="1" applyAlignment="1">
      <alignment horizontal="right" vertical="center"/>
    </xf>
    <xf numFmtId="3" fontId="94" fillId="7" borderId="139" xfId="0" applyNumberFormat="1" applyFont="1" applyFill="1" applyBorder="1" applyAlignment="1">
      <alignment horizontal="right" vertical="center"/>
    </xf>
    <xf numFmtId="0" fontId="29" fillId="9" borderId="92" xfId="0" applyFont="1" applyFill="1" applyBorder="1" applyAlignment="1">
      <alignment horizontal="right" vertical="center"/>
    </xf>
    <xf numFmtId="0" fontId="29" fillId="9" borderId="90" xfId="0" applyFont="1" applyFill="1" applyBorder="1" applyAlignment="1">
      <alignment horizontal="right" vertical="center"/>
    </xf>
    <xf numFmtId="0" fontId="29" fillId="9" borderId="127" xfId="0" applyFont="1" applyFill="1" applyBorder="1" applyAlignment="1">
      <alignment horizontal="right" vertical="center"/>
    </xf>
    <xf numFmtId="0" fontId="82" fillId="9" borderId="92" xfId="0" applyFont="1" applyFill="1" applyBorder="1" applyAlignment="1">
      <alignment horizontal="right" vertical="center"/>
    </xf>
    <xf numFmtId="0" fontId="82" fillId="9" borderId="90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0" fillId="7" borderId="139" xfId="0" applyNumberFormat="1" applyFont="1" applyFill="1" applyBorder="1" applyAlignment="1">
      <alignment horizontal="right" vertical="center"/>
    </xf>
    <xf numFmtId="2" fontId="76" fillId="9" borderId="128" xfId="55" applyNumberFormat="1" applyFont="1" applyFill="1" applyBorder="1" applyAlignment="1">
      <alignment horizontal="left" vertical="center"/>
    </xf>
    <xf numFmtId="2" fontId="76" fillId="9" borderId="179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15" fillId="11" borderId="115" xfId="77" applyNumberFormat="1" applyFont="1" applyFill="1" applyBorder="1" applyAlignment="1">
      <alignment horizontal="center" vertical="center"/>
    </xf>
    <xf numFmtId="1" fontId="115" fillId="11" borderId="114" xfId="77" applyNumberFormat="1" applyFont="1" applyFill="1" applyBorder="1" applyAlignment="1">
      <alignment horizontal="center" vertical="center"/>
    </xf>
    <xf numFmtId="1" fontId="115" fillId="11" borderId="132" xfId="77" applyNumberFormat="1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left" vertical="center"/>
    </xf>
    <xf numFmtId="0" fontId="69" fillId="9" borderId="117" xfId="55" applyNumberFormat="1" applyFont="1" applyFill="1" applyBorder="1" applyAlignment="1">
      <alignment horizontal="left" vertical="center"/>
    </xf>
    <xf numFmtId="0" fontId="100" fillId="9" borderId="150" xfId="0" applyNumberFormat="1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64" fillId="10" borderId="185" xfId="0" applyFont="1" applyFill="1" applyBorder="1" applyAlignment="1">
      <alignment horizontal="right" vertical="center"/>
    </xf>
    <xf numFmtId="10" fontId="78" fillId="10" borderId="185" xfId="114" applyNumberFormat="1" applyFont="1" applyFill="1" applyBorder="1" applyAlignment="1">
      <alignment horizontal="center" vertical="center"/>
    </xf>
    <xf numFmtId="0" fontId="37" fillId="10" borderId="186" xfId="0" applyFont="1" applyFill="1" applyBorder="1" applyAlignment="1">
      <alignment horizontal="right" vertical="center"/>
    </xf>
    <xf numFmtId="0" fontId="37" fillId="10" borderId="185" xfId="0" applyFont="1" applyFill="1" applyBorder="1" applyAlignment="1">
      <alignment horizontal="right" vertical="center"/>
    </xf>
    <xf numFmtId="0" fontId="37" fillId="10" borderId="184" xfId="0" applyFont="1" applyFill="1" applyBorder="1" applyAlignment="1">
      <alignment horizontal="right" vertical="center"/>
    </xf>
    <xf numFmtId="0" fontId="35" fillId="10" borderId="185" xfId="0" applyFont="1" applyFill="1" applyBorder="1" applyAlignment="1">
      <alignment horizontal="right" vertical="center"/>
    </xf>
    <xf numFmtId="3" fontId="35" fillId="10" borderId="185" xfId="0" applyNumberFormat="1" applyFont="1" applyFill="1" applyBorder="1" applyAlignment="1">
      <alignment horizontal="right" vertical="center"/>
    </xf>
    <xf numFmtId="166" fontId="35" fillId="10" borderId="186" xfId="0" applyNumberFormat="1" applyFont="1" applyFill="1" applyBorder="1" applyAlignment="1">
      <alignment horizontal="center" vertical="center"/>
    </xf>
    <xf numFmtId="0" fontId="26" fillId="9" borderId="185" xfId="0" applyFont="1" applyFill="1" applyBorder="1" applyAlignment="1">
      <alignment horizontal="center" vertical="center"/>
    </xf>
    <xf numFmtId="0" fontId="23" fillId="9" borderId="187" xfId="0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0" fontId="100" fillId="9" borderId="189" xfId="0" applyNumberFormat="1" applyFont="1" applyFill="1" applyBorder="1" applyAlignment="1">
      <alignment horizontal="center" vertical="center"/>
    </xf>
    <xf numFmtId="0" fontId="64" fillId="10" borderId="191" xfId="0" applyFont="1" applyFill="1" applyBorder="1" applyAlignment="1">
      <alignment horizontal="left" vertical="center"/>
    </xf>
    <xf numFmtId="3" fontId="35" fillId="10" borderId="187" xfId="0" applyNumberFormat="1" applyFont="1" applyFill="1" applyBorder="1" applyAlignment="1">
      <alignment horizontal="right" vertical="center"/>
    </xf>
    <xf numFmtId="0" fontId="26" fillId="9" borderId="184" xfId="0" applyFont="1" applyFill="1" applyBorder="1" applyAlignment="1">
      <alignment horizontal="center" vertical="center"/>
    </xf>
    <xf numFmtId="0" fontId="23" fillId="9" borderId="189" xfId="0" applyFont="1" applyFill="1" applyBorder="1" applyAlignment="1">
      <alignment horizontal="center" vertical="center"/>
    </xf>
    <xf numFmtId="0" fontId="116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2" fontId="76" fillId="9" borderId="192" xfId="55" applyNumberFormat="1" applyFont="1" applyFill="1" applyBorder="1" applyAlignment="1">
      <alignment horizontal="left" vertical="center"/>
    </xf>
    <xf numFmtId="0" fontId="69" fillId="9" borderId="193" xfId="55" applyNumberFormat="1" applyFont="1" applyFill="1" applyBorder="1" applyAlignment="1">
      <alignment horizontal="right" vertical="center"/>
    </xf>
    <xf numFmtId="0" fontId="29" fillId="9" borderId="193" xfId="0" applyFont="1" applyFill="1" applyBorder="1" applyAlignment="1">
      <alignment horizontal="right" vertical="center"/>
    </xf>
    <xf numFmtId="10" fontId="78" fillId="10" borderId="190" xfId="114" applyNumberFormat="1" applyFont="1" applyFill="1" applyBorder="1" applyAlignment="1">
      <alignment horizontal="center" vertical="center"/>
    </xf>
    <xf numFmtId="166" fontId="35" fillId="10" borderId="184" xfId="0" applyNumberFormat="1" applyFont="1" applyFill="1" applyBorder="1" applyAlignment="1">
      <alignment horizontal="center" vertical="center"/>
    </xf>
    <xf numFmtId="0" fontId="23" fillId="9" borderId="185" xfId="0" applyFont="1" applyFill="1" applyBorder="1" applyAlignment="1">
      <alignment horizontal="center" vertical="center"/>
    </xf>
    <xf numFmtId="0" fontId="76" fillId="9" borderId="116" xfId="55" applyNumberFormat="1" applyFont="1" applyFill="1" applyBorder="1" applyAlignment="1">
      <alignment horizontal="right" vertical="center"/>
    </xf>
    <xf numFmtId="0" fontId="76" fillId="9" borderId="117" xfId="55" applyNumberFormat="1" applyFont="1" applyFill="1" applyBorder="1" applyAlignment="1">
      <alignment horizontal="right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10" fillId="9" borderId="116" xfId="55" applyNumberFormat="1" applyFont="1" applyFill="1" applyBorder="1" applyAlignment="1">
      <alignment horizontal="right" vertical="center"/>
    </xf>
    <xf numFmtId="167" fontId="110" fillId="9" borderId="117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90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0" fontId="35" fillId="10" borderId="130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8" xfId="55" applyNumberFormat="1" applyFont="1" applyFill="1" applyBorder="1" applyAlignment="1">
      <alignment horizontal="center" vertical="center"/>
    </xf>
    <xf numFmtId="165" fontId="77" fillId="9" borderId="153" xfId="55" applyNumberFormat="1" applyFont="1" applyFill="1" applyBorder="1" applyAlignment="1">
      <alignment horizontal="center" vertical="center"/>
    </xf>
    <xf numFmtId="2" fontId="77" fillId="9" borderId="150" xfId="55" applyNumberFormat="1" applyFont="1" applyFill="1" applyBorder="1" applyAlignment="1">
      <alignment horizontal="center" vertical="center"/>
    </xf>
    <xf numFmtId="2" fontId="77" fillId="9" borderId="153" xfId="55" applyNumberFormat="1" applyFont="1" applyFill="1" applyBorder="1" applyAlignment="1">
      <alignment horizontal="center" vertical="center"/>
    </xf>
    <xf numFmtId="2" fontId="77" fillId="9" borderId="189" xfId="55" applyNumberFormat="1" applyFont="1" applyFill="1" applyBorder="1" applyAlignment="1">
      <alignment horizontal="center" vertical="center"/>
    </xf>
    <xf numFmtId="2" fontId="77" fillId="9" borderId="118" xfId="55" applyNumberFormat="1" applyFont="1" applyFill="1" applyBorder="1" applyAlignment="1">
      <alignment horizontal="center" vertical="center"/>
    </xf>
    <xf numFmtId="167" fontId="79" fillId="9" borderId="118" xfId="55" applyNumberFormat="1" applyFont="1" applyFill="1" applyBorder="1" applyAlignment="1">
      <alignment horizontal="center" vertical="center"/>
    </xf>
    <xf numFmtId="167" fontId="79" fillId="9" borderId="153" xfId="55" applyNumberFormat="1" applyFont="1" applyFill="1" applyBorder="1" applyAlignment="1">
      <alignment horizontal="center" vertical="center"/>
    </xf>
    <xf numFmtId="167" fontId="79" fillId="9" borderId="189" xfId="55" applyNumberFormat="1" applyFont="1" applyFill="1" applyBorder="1" applyAlignment="1">
      <alignment horizontal="center" vertical="center"/>
    </xf>
    <xf numFmtId="0" fontId="79" fillId="9" borderId="151" xfId="55" applyNumberFormat="1" applyFont="1" applyFill="1" applyBorder="1" applyAlignment="1">
      <alignment horizontal="center" vertical="center"/>
    </xf>
    <xf numFmtId="2" fontId="79" fillId="9" borderId="144" xfId="55" applyNumberFormat="1" applyFont="1" applyFill="1" applyBorder="1" applyAlignment="1">
      <alignment horizontal="center" vertical="center"/>
    </xf>
    <xf numFmtId="2" fontId="79" fillId="9" borderId="143" xfId="55" applyNumberFormat="1" applyFont="1" applyFill="1" applyBorder="1" applyAlignment="1">
      <alignment horizontal="center" vertical="center"/>
    </xf>
    <xf numFmtId="0" fontId="117" fillId="9" borderId="121" xfId="0" applyFont="1" applyFill="1" applyBorder="1" applyAlignment="1">
      <alignment vertical="center"/>
    </xf>
    <xf numFmtId="1" fontId="79" fillId="9" borderId="129" xfId="55" applyNumberFormat="1" applyFont="1" applyFill="1" applyBorder="1" applyAlignment="1">
      <alignment vertical="center"/>
    </xf>
    <xf numFmtId="0" fontId="117" fillId="9" borderId="96" xfId="0" applyFont="1" applyFill="1" applyBorder="1" applyAlignment="1">
      <alignment vertical="center"/>
    </xf>
    <xf numFmtId="0" fontId="110" fillId="9" borderId="152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10" fillId="9" borderId="152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2" fontId="77" fillId="9" borderId="131" xfId="55" applyNumberFormat="1" applyFont="1" applyFill="1" applyBorder="1" applyAlignment="1">
      <alignment horizontal="center" vertical="center"/>
    </xf>
    <xf numFmtId="2" fontId="65" fillId="9" borderId="131" xfId="0" applyNumberFormat="1" applyFont="1" applyFill="1" applyBorder="1" applyAlignment="1">
      <alignment horizontal="center" vertical="center"/>
    </xf>
    <xf numFmtId="2" fontId="79" fillId="9" borderId="141" xfId="55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95" xfId="0" applyNumberFormat="1" applyFont="1" applyFill="1" applyBorder="1" applyAlignment="1">
      <alignment horizontal="center" vertical="center"/>
    </xf>
    <xf numFmtId="1" fontId="25" fillId="9" borderId="151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112" fillId="9" borderId="150" xfId="0" applyNumberFormat="1" applyFont="1" applyFill="1" applyBorder="1" applyAlignment="1">
      <alignment horizontal="center" vertical="center"/>
    </xf>
    <xf numFmtId="1" fontId="25" fillId="9" borderId="180" xfId="0" applyNumberFormat="1" applyFont="1" applyFill="1" applyBorder="1" applyAlignment="1">
      <alignment horizontal="center" vertical="center"/>
    </xf>
    <xf numFmtId="1" fontId="23" fillId="9" borderId="197" xfId="0" applyNumberFormat="1" applyFont="1" applyFill="1" applyBorder="1" applyAlignment="1">
      <alignment horizontal="center" vertical="center"/>
    </xf>
    <xf numFmtId="1" fontId="23" fillId="9" borderId="198" xfId="0" applyNumberFormat="1" applyFont="1" applyFill="1" applyBorder="1" applyAlignment="1">
      <alignment horizontal="center" vertical="center"/>
    </xf>
    <xf numFmtId="1" fontId="23" fillId="9" borderId="199" xfId="0" applyNumberFormat="1" applyFont="1" applyFill="1" applyBorder="1" applyAlignment="1">
      <alignment horizontal="center" vertical="center"/>
    </xf>
    <xf numFmtId="1" fontId="23" fillId="9" borderId="200" xfId="0" applyNumberFormat="1" applyFont="1" applyFill="1" applyBorder="1" applyAlignment="1">
      <alignment horizontal="center" vertical="center"/>
    </xf>
    <xf numFmtId="1" fontId="23" fillId="9" borderId="201" xfId="0" applyNumberFormat="1" applyFont="1" applyFill="1" applyBorder="1" applyAlignment="1">
      <alignment horizontal="center" vertical="center"/>
    </xf>
    <xf numFmtId="1" fontId="23" fillId="9" borderId="202" xfId="0" applyNumberFormat="1" applyFont="1" applyFill="1" applyBorder="1" applyAlignment="1">
      <alignment horizontal="center" vertical="center"/>
    </xf>
    <xf numFmtId="1" fontId="23" fillId="9" borderId="203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67" fillId="9" borderId="199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0" fontId="79" fillId="9" borderId="209" xfId="55" applyNumberFormat="1" applyFont="1" applyFill="1" applyBorder="1" applyAlignment="1">
      <alignment horizontal="center" vertical="center"/>
    </xf>
    <xf numFmtId="0" fontId="79" fillId="9" borderId="129" xfId="0" applyNumberFormat="1" applyFont="1" applyFill="1" applyBorder="1" applyAlignment="1">
      <alignment horizontal="center" vertical="center"/>
    </xf>
    <xf numFmtId="0" fontId="79" fillId="9" borderId="150" xfId="0" applyNumberFormat="1" applyFont="1" applyFill="1" applyBorder="1" applyAlignment="1">
      <alignment horizontal="center" vertical="center"/>
    </xf>
    <xf numFmtId="0" fontId="79" fillId="9" borderId="118" xfId="55" applyNumberFormat="1" applyFont="1" applyFill="1" applyBorder="1" applyAlignment="1">
      <alignment horizontal="center" vertical="center"/>
    </xf>
    <xf numFmtId="0" fontId="79" fillId="9" borderId="153" xfId="55" applyNumberFormat="1" applyFont="1" applyFill="1" applyBorder="1" applyAlignment="1">
      <alignment horizontal="center" vertical="center"/>
    </xf>
    <xf numFmtId="0" fontId="79" fillId="9" borderId="210" xfId="0" applyNumberFormat="1" applyFont="1" applyFill="1" applyBorder="1" applyAlignment="1">
      <alignment horizontal="center" vertical="center"/>
    </xf>
    <xf numFmtId="0" fontId="79" fillId="9" borderId="20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center"/>
    </xf>
    <xf numFmtId="0" fontId="79" fillId="9" borderId="208" xfId="0" applyNumberFormat="1" applyFont="1" applyFill="1" applyBorder="1" applyAlignment="1">
      <alignment horizontal="center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79" fillId="9" borderId="206" xfId="0" applyNumberFormat="1" applyFont="1" applyFill="1" applyBorder="1" applyAlignment="1">
      <alignment horizontal="center" vertical="center"/>
    </xf>
    <xf numFmtId="0" fontId="79" fillId="9" borderId="21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80" fillId="9" borderId="199" xfId="0" applyNumberFormat="1" applyFont="1" applyFill="1" applyBorder="1" applyAlignment="1">
      <alignment vertical="top"/>
    </xf>
    <xf numFmtId="2" fontId="76" fillId="9" borderId="214" xfId="55" applyNumberFormat="1" applyFont="1" applyFill="1" applyBorder="1" applyAlignment="1">
      <alignment horizontal="center" vertical="center"/>
    </xf>
    <xf numFmtId="2" fontId="76" fillId="9" borderId="215" xfId="55" applyNumberFormat="1" applyFont="1" applyFill="1" applyBorder="1" applyAlignment="1">
      <alignment horizontal="center" vertical="center"/>
    </xf>
    <xf numFmtId="0" fontId="69" fillId="9" borderId="135" xfId="55" applyNumberFormat="1" applyFont="1" applyFill="1" applyBorder="1" applyAlignment="1">
      <alignment horizontal="left" vertical="center"/>
    </xf>
    <xf numFmtId="0" fontId="118" fillId="9" borderId="116" xfId="55" applyNumberFormat="1" applyFont="1" applyFill="1" applyBorder="1" applyAlignment="1">
      <alignment horizontal="left" vertical="center"/>
    </xf>
    <xf numFmtId="0" fontId="119" fillId="9" borderId="116" xfId="55" applyNumberFormat="1" applyFont="1" applyFill="1" applyBorder="1" applyAlignment="1">
      <alignment horizontal="left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82" fillId="9" borderId="127" xfId="0" applyFont="1" applyFill="1" applyBorder="1" applyAlignment="1">
      <alignment horizontal="right" vertical="center"/>
    </xf>
    <xf numFmtId="10" fontId="83" fillId="10" borderId="112" xfId="114" applyNumberFormat="1" applyFont="1" applyFill="1" applyBorder="1" applyAlignment="1">
      <alignment horizontal="center" vertical="center"/>
    </xf>
    <xf numFmtId="0" fontId="84" fillId="10" borderId="111" xfId="0" applyFont="1" applyFill="1" applyBorder="1" applyAlignment="1">
      <alignment horizontal="right" vertical="center"/>
    </xf>
    <xf numFmtId="0" fontId="84" fillId="10" borderId="110" xfId="0" applyFont="1" applyFill="1" applyBorder="1" applyAlignment="1">
      <alignment horizontal="right" vertical="center"/>
    </xf>
    <xf numFmtId="0" fontId="84" fillId="10" borderId="113" xfId="0" applyFont="1" applyFill="1" applyBorder="1" applyAlignment="1">
      <alignment horizontal="right" vertical="center"/>
    </xf>
    <xf numFmtId="0" fontId="85" fillId="10" borderId="110" xfId="0" applyFont="1" applyFill="1" applyBorder="1" applyAlignment="1">
      <alignment horizontal="right" vertical="center"/>
    </xf>
    <xf numFmtId="3" fontId="85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0" fillId="9" borderId="21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center"/>
    </xf>
    <xf numFmtId="2" fontId="76" fillId="9" borderId="217" xfId="55" applyNumberFormat="1" applyFont="1" applyFill="1" applyBorder="1" applyAlignment="1">
      <alignment horizontal="center" vertical="center"/>
    </xf>
    <xf numFmtId="2" fontId="77" fillId="9" borderId="216" xfId="55" applyNumberFormat="1" applyFont="1" applyFill="1" applyBorder="1" applyAlignment="1">
      <alignment horizontal="center" vertical="center"/>
    </xf>
    <xf numFmtId="3" fontId="120" fillId="7" borderId="139" xfId="0" applyNumberFormat="1" applyFont="1" applyFill="1" applyBorder="1" applyAlignment="1">
      <alignment horizontal="center" vertical="center"/>
    </xf>
    <xf numFmtId="167" fontId="121" fillId="10" borderId="95" xfId="55" applyNumberFormat="1" applyFont="1" applyFill="1" applyBorder="1" applyAlignment="1">
      <alignment horizontal="right" vertical="center"/>
    </xf>
    <xf numFmtId="167" fontId="121" fillId="10" borderId="94" xfId="55" applyNumberFormat="1" applyFont="1" applyFill="1" applyBorder="1" applyAlignment="1">
      <alignment horizontal="right" vertical="center"/>
    </xf>
    <xf numFmtId="167" fontId="121" fillId="10" borderId="92" xfId="55" applyNumberFormat="1" applyFont="1" applyFill="1" applyBorder="1" applyAlignment="1">
      <alignment horizontal="right" vertical="center"/>
    </xf>
    <xf numFmtId="167" fontId="122" fillId="9" borderId="116" xfId="55" applyNumberFormat="1" applyFont="1" applyFill="1" applyBorder="1" applyAlignment="1">
      <alignment horizontal="right" vertical="center"/>
    </xf>
    <xf numFmtId="167" fontId="122" fillId="9" borderId="117" xfId="55" applyNumberFormat="1" applyFont="1" applyFill="1" applyBorder="1" applyAlignment="1">
      <alignment horizontal="right" vertical="center"/>
    </xf>
    <xf numFmtId="3" fontId="121" fillId="10" borderId="95" xfId="0" applyNumberFormat="1" applyFont="1" applyFill="1" applyBorder="1" applyAlignment="1">
      <alignment horizontal="right" vertical="center"/>
    </xf>
    <xf numFmtId="3" fontId="121" fillId="10" borderId="94" xfId="0" applyNumberFormat="1" applyFont="1" applyFill="1" applyBorder="1" applyAlignment="1">
      <alignment horizontal="right" vertical="center"/>
    </xf>
    <xf numFmtId="3" fontId="121" fillId="10" borderId="92" xfId="0" applyNumberFormat="1" applyFont="1" applyFill="1" applyBorder="1" applyAlignment="1">
      <alignment horizontal="right" vertical="center"/>
    </xf>
    <xf numFmtId="0" fontId="121" fillId="10" borderId="95" xfId="0" applyFont="1" applyFill="1" applyBorder="1" applyAlignment="1">
      <alignment horizontal="right" vertical="center"/>
    </xf>
    <xf numFmtId="0" fontId="121" fillId="10" borderId="96" xfId="0" applyFont="1" applyFill="1" applyBorder="1" applyAlignment="1">
      <alignment horizontal="right" vertical="center"/>
    </xf>
    <xf numFmtId="3" fontId="121" fillId="10" borderId="96" xfId="0" applyNumberFormat="1" applyFont="1" applyFill="1" applyBorder="1" applyAlignment="1">
      <alignment horizontal="right" vertical="center"/>
    </xf>
    <xf numFmtId="0" fontId="121" fillId="10" borderId="110" xfId="0" applyFont="1" applyFill="1" applyBorder="1" applyAlignment="1">
      <alignment horizontal="right" vertical="center"/>
    </xf>
    <xf numFmtId="3" fontId="121" fillId="10" borderId="112" xfId="0" applyNumberFormat="1" applyFont="1" applyFill="1" applyBorder="1" applyAlignment="1">
      <alignment horizontal="right" vertical="center"/>
    </xf>
    <xf numFmtId="0" fontId="121" fillId="10" borderId="92" xfId="0" applyFont="1" applyFill="1" applyBorder="1" applyAlignment="1">
      <alignment horizontal="right" vertical="center"/>
    </xf>
    <xf numFmtId="0" fontId="121" fillId="10" borderId="101" xfId="0" applyFont="1" applyFill="1" applyBorder="1" applyAlignment="1">
      <alignment horizontal="right" vertical="center"/>
    </xf>
    <xf numFmtId="0" fontId="121" fillId="10" borderId="185" xfId="0" applyFont="1" applyFill="1" applyBorder="1" applyAlignment="1">
      <alignment horizontal="right" vertical="center"/>
    </xf>
    <xf numFmtId="3" fontId="121" fillId="10" borderId="185" xfId="0" applyNumberFormat="1" applyFont="1" applyFill="1" applyBorder="1" applyAlignment="1">
      <alignment horizontal="right" vertical="center"/>
    </xf>
    <xf numFmtId="3" fontId="121" fillId="10" borderId="110" xfId="0" applyNumberFormat="1" applyFont="1" applyFill="1" applyBorder="1" applyAlignment="1">
      <alignment horizontal="right" vertical="center"/>
    </xf>
    <xf numFmtId="0" fontId="121" fillId="10" borderId="103" xfId="0" applyFont="1" applyFill="1" applyBorder="1" applyAlignment="1">
      <alignment horizontal="right" vertical="center"/>
    </xf>
    <xf numFmtId="3" fontId="121" fillId="10" borderId="103" xfId="0" applyNumberFormat="1" applyFont="1" applyFill="1" applyBorder="1" applyAlignment="1">
      <alignment horizontal="right" vertical="center"/>
    </xf>
    <xf numFmtId="0" fontId="123" fillId="10" borderId="95" xfId="0" applyFont="1" applyFill="1" applyBorder="1" applyAlignment="1">
      <alignment horizontal="right" vertical="center"/>
    </xf>
    <xf numFmtId="0" fontId="123" fillId="10" borderId="103" xfId="0" applyFont="1" applyFill="1" applyBorder="1" applyAlignment="1">
      <alignment horizontal="right" vertical="center"/>
    </xf>
    <xf numFmtId="0" fontId="123" fillId="10" borderId="92" xfId="0" applyFont="1" applyFill="1" applyBorder="1" applyAlignment="1">
      <alignment horizontal="right" vertical="center"/>
    </xf>
    <xf numFmtId="0" fontId="123" fillId="10" borderId="110" xfId="0" applyFont="1" applyFill="1" applyBorder="1" applyAlignment="1">
      <alignment horizontal="right" vertical="center"/>
    </xf>
    <xf numFmtId="0" fontId="122" fillId="9" borderId="116" xfId="55" applyNumberFormat="1" applyFont="1" applyFill="1" applyBorder="1" applyAlignment="1">
      <alignment horizontal="right" vertical="center"/>
    </xf>
    <xf numFmtId="0" fontId="121" fillId="10" borderId="103" xfId="55" applyNumberFormat="1" applyFont="1" applyFill="1" applyBorder="1" applyAlignment="1">
      <alignment horizontal="right" vertical="center"/>
    </xf>
    <xf numFmtId="0" fontId="121" fillId="10" borderId="110" xfId="55" applyNumberFormat="1" applyFont="1" applyFill="1" applyBorder="1" applyAlignment="1">
      <alignment horizontal="right" vertical="center"/>
    </xf>
    <xf numFmtId="0" fontId="121" fillId="10" borderId="185" xfId="55" applyNumberFormat="1" applyFont="1" applyFill="1" applyBorder="1" applyAlignment="1">
      <alignment horizontal="right" vertical="center"/>
    </xf>
    <xf numFmtId="0" fontId="121" fillId="10" borderId="95" xfId="55" applyNumberFormat="1" applyFont="1" applyFill="1" applyBorder="1" applyAlignment="1">
      <alignment horizontal="right" vertical="center"/>
    </xf>
    <xf numFmtId="0" fontId="122" fillId="9" borderId="94" xfId="55" applyNumberFormat="1" applyFont="1" applyFill="1" applyBorder="1" applyAlignment="1">
      <alignment horizontal="right" vertical="center"/>
    </xf>
    <xf numFmtId="0" fontId="121" fillId="10" borderId="92" xfId="55" applyNumberFormat="1" applyFont="1" applyFill="1" applyBorder="1" applyAlignment="1">
      <alignment horizontal="right" vertical="center"/>
    </xf>
    <xf numFmtId="0" fontId="122" fillId="9" borderId="127" xfId="55" applyNumberFormat="1" applyFont="1" applyFill="1" applyBorder="1" applyAlignment="1">
      <alignment horizontal="right" vertical="center"/>
    </xf>
    <xf numFmtId="0" fontId="122" fillId="9" borderId="193" xfId="55" applyNumberFormat="1" applyFont="1" applyFill="1" applyBorder="1" applyAlignment="1">
      <alignment horizontal="right" vertical="center"/>
    </xf>
    <xf numFmtId="0" fontId="124" fillId="0" borderId="0" xfId="0" applyFont="1"/>
    <xf numFmtId="0" fontId="125" fillId="0" borderId="0" xfId="0" applyFont="1" applyAlignment="1">
      <alignment vertical="center" wrapText="1"/>
    </xf>
    <xf numFmtId="0" fontId="77" fillId="9" borderId="189" xfId="0" applyNumberFormat="1" applyFont="1" applyFill="1" applyBorder="1" applyAlignment="1">
      <alignment horizontal="center" vertical="center"/>
    </xf>
    <xf numFmtId="0" fontId="80" fillId="9" borderId="190" xfId="0" applyNumberFormat="1" applyFont="1" applyFill="1" applyBorder="1" applyAlignment="1">
      <alignment horizontal="center" vertical="center"/>
    </xf>
    <xf numFmtId="0" fontId="126" fillId="12" borderId="125" xfId="55" applyNumberFormat="1" applyFont="1" applyFill="1" applyBorder="1" applyAlignment="1">
      <alignment horizontal="center" vertical="center"/>
    </xf>
    <xf numFmtId="0" fontId="126" fillId="12" borderId="108" xfId="55" applyNumberFormat="1" applyFont="1" applyFill="1" applyBorder="1" applyAlignment="1">
      <alignment horizontal="center" vertical="center"/>
    </xf>
    <xf numFmtId="0" fontId="77" fillId="9" borderId="149" xfId="0" applyNumberFormat="1" applyFont="1" applyFill="1" applyBorder="1" applyAlignment="1">
      <alignment horizontal="center" vertical="center"/>
    </xf>
    <xf numFmtId="0" fontId="80" fillId="9" borderId="172" xfId="0" applyNumberFormat="1" applyFont="1" applyFill="1" applyBorder="1" applyAlignment="1">
      <alignment horizontal="center" vertical="center"/>
    </xf>
    <xf numFmtId="0" fontId="77" fillId="9" borderId="129" xfId="0" applyNumberFormat="1" applyFont="1" applyFill="1" applyBorder="1" applyAlignment="1">
      <alignment horizontal="center" vertical="center"/>
    </xf>
    <xf numFmtId="0" fontId="80" fillId="9" borderId="96" xfId="0" applyNumberFormat="1" applyFont="1" applyFill="1" applyBorder="1" applyAlignment="1">
      <alignment horizontal="center" vertical="center"/>
    </xf>
    <xf numFmtId="0" fontId="77" fillId="9" borderId="150" xfId="0" applyNumberFormat="1" applyFont="1" applyFill="1" applyBorder="1" applyAlignment="1">
      <alignment horizontal="center" vertical="center"/>
    </xf>
    <xf numFmtId="0" fontId="80" fillId="9" borderId="98" xfId="0" applyNumberFormat="1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2" fontId="76" fillId="9" borderId="218" xfId="55" applyNumberFormat="1" applyFont="1" applyFill="1" applyBorder="1" applyAlignment="1">
      <alignment horizontal="left" vertical="center"/>
    </xf>
    <xf numFmtId="0" fontId="121" fillId="10" borderId="219" xfId="55" applyNumberFormat="1" applyFont="1" applyFill="1" applyBorder="1" applyAlignment="1">
      <alignment horizontal="right" vertical="center"/>
    </xf>
    <xf numFmtId="0" fontId="64" fillId="10" borderId="219" xfId="0" applyFont="1" applyFill="1" applyBorder="1" applyAlignment="1">
      <alignment horizontal="right" vertical="center"/>
    </xf>
    <xf numFmtId="0" fontId="69" fillId="9" borderId="220" xfId="55" applyNumberFormat="1" applyFont="1" applyFill="1" applyBorder="1" applyAlignment="1">
      <alignment horizontal="right" vertical="center"/>
    </xf>
    <xf numFmtId="0" fontId="122" fillId="9" borderId="220" xfId="55" applyNumberFormat="1" applyFont="1" applyFill="1" applyBorder="1" applyAlignment="1">
      <alignment horizontal="right" vertical="center"/>
    </xf>
    <xf numFmtId="0" fontId="29" fillId="9" borderId="220" xfId="0" applyFont="1" applyFill="1" applyBorder="1" applyAlignment="1">
      <alignment horizontal="right" vertical="center"/>
    </xf>
    <xf numFmtId="10" fontId="83" fillId="10" borderId="221" xfId="114" applyNumberFormat="1" applyFont="1" applyFill="1" applyBorder="1" applyAlignment="1">
      <alignment horizontal="center" vertical="center"/>
    </xf>
    <xf numFmtId="0" fontId="84" fillId="10" borderId="222" xfId="0" applyFont="1" applyFill="1" applyBorder="1" applyAlignment="1">
      <alignment horizontal="right" vertical="center"/>
    </xf>
    <xf numFmtId="0" fontId="84" fillId="10" borderId="219" xfId="0" applyFont="1" applyFill="1" applyBorder="1" applyAlignment="1">
      <alignment horizontal="right" vertical="center"/>
    </xf>
    <xf numFmtId="0" fontId="84" fillId="10" borderId="223" xfId="0" applyFont="1" applyFill="1" applyBorder="1" applyAlignment="1">
      <alignment horizontal="right" vertical="center"/>
    </xf>
    <xf numFmtId="0" fontId="85" fillId="10" borderId="219" xfId="0" applyFont="1" applyFill="1" applyBorder="1" applyAlignment="1">
      <alignment horizontal="right" vertical="center"/>
    </xf>
    <xf numFmtId="3" fontId="85" fillId="10" borderId="219" xfId="0" applyNumberFormat="1" applyFont="1" applyFill="1" applyBorder="1" applyAlignment="1">
      <alignment horizontal="right" vertical="center"/>
    </xf>
    <xf numFmtId="167" fontId="121" fillId="10" borderId="219" xfId="55" applyNumberFormat="1" applyFont="1" applyFill="1" applyBorder="1" applyAlignment="1">
      <alignment horizontal="right" vertical="center"/>
    </xf>
    <xf numFmtId="3" fontId="121" fillId="10" borderId="219" xfId="0" applyNumberFormat="1" applyFont="1" applyFill="1" applyBorder="1" applyAlignment="1">
      <alignment horizontal="right" vertical="center"/>
    </xf>
    <xf numFmtId="166" fontId="35" fillId="10" borderId="222" xfId="0" applyNumberFormat="1" applyFont="1" applyFill="1" applyBorder="1" applyAlignment="1">
      <alignment horizontal="center" vertical="center"/>
    </xf>
    <xf numFmtId="0" fontId="26" fillId="9" borderId="223" xfId="0" applyFont="1" applyFill="1" applyBorder="1" applyAlignment="1">
      <alignment horizontal="center" vertical="center"/>
    </xf>
    <xf numFmtId="0" fontId="23" fillId="9" borderId="219" xfId="0" applyFont="1" applyFill="1" applyBorder="1" applyAlignment="1">
      <alignment horizontal="center" vertical="center"/>
    </xf>
    <xf numFmtId="1" fontId="23" fillId="9" borderId="224" xfId="0" applyNumberFormat="1" applyFont="1" applyFill="1" applyBorder="1" applyAlignment="1">
      <alignment horizontal="center" vertical="center"/>
    </xf>
    <xf numFmtId="1" fontId="25" fillId="9" borderId="225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0" fontId="100" fillId="9" borderId="227" xfId="0" applyNumberFormat="1" applyFont="1" applyFill="1" applyBorder="1" applyAlignment="1">
      <alignment horizontal="center" vertical="center"/>
    </xf>
    <xf numFmtId="0" fontId="79" fillId="9" borderId="224" xfId="0" applyNumberFormat="1" applyFont="1" applyFill="1" applyBorder="1" applyAlignment="1">
      <alignment horizontal="center" vertical="center"/>
    </xf>
    <xf numFmtId="2" fontId="76" fillId="9" borderId="228" xfId="55" applyNumberFormat="1" applyFont="1" applyFill="1" applyBorder="1" applyAlignment="1">
      <alignment horizontal="center" vertical="center"/>
    </xf>
    <xf numFmtId="2" fontId="77" fillId="9" borderId="227" xfId="55" applyNumberFormat="1" applyFont="1" applyFill="1" applyBorder="1" applyAlignment="1">
      <alignment horizontal="center" vertical="center"/>
    </xf>
    <xf numFmtId="0" fontId="69" fillId="9" borderId="218" xfId="55" applyNumberFormat="1" applyFont="1" applyFill="1" applyBorder="1" applyAlignment="1">
      <alignment horizontal="right" vertical="center"/>
    </xf>
    <xf numFmtId="167" fontId="122" fillId="9" borderId="218" xfId="55" applyNumberFormat="1" applyFont="1" applyFill="1" applyBorder="1" applyAlignment="1">
      <alignment horizontal="right" vertical="center"/>
    </xf>
    <xf numFmtId="0" fontId="69" fillId="9" borderId="221" xfId="55" applyNumberFormat="1" applyFont="1" applyFill="1" applyBorder="1" applyAlignment="1">
      <alignment horizontal="right" vertical="center"/>
    </xf>
    <xf numFmtId="0" fontId="76" fillId="9" borderId="218" xfId="55" applyNumberFormat="1" applyFont="1" applyFill="1" applyBorder="1" applyAlignment="1">
      <alignment horizontal="right" vertical="center"/>
    </xf>
    <xf numFmtId="10" fontId="78" fillId="10" borderId="221" xfId="114" applyNumberFormat="1" applyFont="1" applyFill="1" applyBorder="1" applyAlignment="1">
      <alignment horizontal="center" vertical="center"/>
    </xf>
    <xf numFmtId="0" fontId="37" fillId="10" borderId="222" xfId="0" applyFont="1" applyFill="1" applyBorder="1" applyAlignment="1">
      <alignment horizontal="right" vertical="center"/>
    </xf>
    <xf numFmtId="0" fontId="37" fillId="10" borderId="219" xfId="0" applyFont="1" applyFill="1" applyBorder="1" applyAlignment="1">
      <alignment horizontal="right" vertical="center"/>
    </xf>
    <xf numFmtId="0" fontId="37" fillId="10" borderId="223" xfId="0" applyFont="1" applyFill="1" applyBorder="1" applyAlignment="1">
      <alignment horizontal="right" vertical="center"/>
    </xf>
    <xf numFmtId="0" fontId="35" fillId="10" borderId="219" xfId="0" applyFont="1" applyFill="1" applyBorder="1" applyAlignment="1">
      <alignment horizontal="right" vertical="center"/>
    </xf>
    <xf numFmtId="3" fontId="35" fillId="10" borderId="219" xfId="0" applyNumberFormat="1" applyFont="1" applyFill="1" applyBorder="1" applyAlignment="1">
      <alignment horizontal="right" vertical="center"/>
    </xf>
    <xf numFmtId="166" fontId="35" fillId="10" borderId="223" xfId="0" applyNumberFormat="1" applyFont="1" applyFill="1" applyBorder="1" applyAlignment="1">
      <alignment horizontal="center" vertical="center"/>
    </xf>
    <xf numFmtId="1" fontId="23" fillId="9" borderId="229" xfId="0" applyNumberFormat="1" applyFont="1" applyFill="1" applyBorder="1" applyAlignment="1">
      <alignment horizontal="center" vertical="center"/>
    </xf>
    <xf numFmtId="1" fontId="25" fillId="9" borderId="230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95" xfId="0" applyNumberFormat="1" applyFont="1" applyFill="1" applyBorder="1" applyAlignment="1">
      <alignment horizontal="center" vertical="center"/>
    </xf>
    <xf numFmtId="0" fontId="79" fillId="9" borderId="227" xfId="55" applyNumberFormat="1" applyFont="1" applyFill="1" applyBorder="1" applyAlignment="1">
      <alignment horizontal="center" vertical="center"/>
    </xf>
    <xf numFmtId="0" fontId="79" fillId="9" borderId="221" xfId="0" applyNumberFormat="1" applyFont="1" applyFill="1" applyBorder="1" applyAlignment="1">
      <alignment horizontal="center" vertical="top"/>
    </xf>
    <xf numFmtId="167" fontId="79" fillId="9" borderId="227" xfId="55" applyNumberFormat="1" applyFont="1" applyFill="1" applyBorder="1" applyAlignment="1">
      <alignment horizontal="center" vertical="center"/>
    </xf>
    <xf numFmtId="0" fontId="35" fillId="10" borderId="232" xfId="55" applyNumberFormat="1" applyFont="1" applyFill="1" applyBorder="1" applyAlignment="1">
      <alignment horizontal="right" vertical="center"/>
    </xf>
    <xf numFmtId="0" fontId="64" fillId="10" borderId="221" xfId="0" applyFont="1" applyFill="1" applyBorder="1" applyAlignment="1">
      <alignment horizontal="right" vertical="center"/>
    </xf>
    <xf numFmtId="0" fontId="64" fillId="10" borderId="232" xfId="0" applyFont="1" applyFill="1" applyBorder="1" applyAlignment="1">
      <alignment horizontal="right" vertical="center"/>
    </xf>
    <xf numFmtId="10" fontId="78" fillId="10" borderId="219" xfId="114" applyNumberFormat="1" applyFont="1" applyFill="1" applyBorder="1" applyAlignment="1">
      <alignment horizontal="center" vertical="center"/>
    </xf>
    <xf numFmtId="1" fontId="25" fillId="9" borderId="222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0" fontId="26" fillId="9" borderId="219" xfId="0" applyFont="1" applyFill="1" applyBorder="1" applyAlignment="1">
      <alignment horizontal="center" vertical="center"/>
    </xf>
    <xf numFmtId="0" fontId="23" fillId="9" borderId="225" xfId="0" applyFont="1" applyFill="1" applyBorder="1" applyAlignment="1">
      <alignment horizontal="center" vertical="center"/>
    </xf>
    <xf numFmtId="0" fontId="77" fillId="9" borderId="228" xfId="0" applyNumberFormat="1" applyFont="1" applyFill="1" applyBorder="1" applyAlignment="1">
      <alignment horizontal="center" vertical="center"/>
    </xf>
    <xf numFmtId="0" fontId="80" fillId="9" borderId="221" xfId="0" applyNumberFormat="1" applyFont="1" applyFill="1" applyBorder="1" applyAlignment="1">
      <alignment horizontal="center" vertical="center"/>
    </xf>
    <xf numFmtId="168" fontId="128" fillId="9" borderId="177" xfId="0" applyNumberFormat="1" applyFont="1" applyFill="1" applyBorder="1" applyAlignment="1">
      <alignment horizontal="center" vertical="center" wrapText="1"/>
    </xf>
    <xf numFmtId="0" fontId="129" fillId="10" borderId="147" xfId="0" applyNumberFormat="1" applyFont="1" applyFill="1" applyBorder="1" applyAlignment="1">
      <alignment horizontal="center" vertical="center"/>
    </xf>
    <xf numFmtId="0" fontId="64" fillId="10" borderId="190" xfId="0" applyFont="1" applyFill="1" applyBorder="1" applyAlignment="1">
      <alignment horizontal="right" vertical="center"/>
    </xf>
    <xf numFmtId="0" fontId="35" fillId="10" borderId="223" xfId="55" applyNumberFormat="1" applyFont="1" applyFill="1" applyBorder="1" applyAlignment="1">
      <alignment horizontal="right" vertical="center"/>
    </xf>
    <xf numFmtId="0" fontId="64" fillId="10" borderId="223" xfId="0" applyNumberFormat="1" applyFont="1" applyFill="1" applyBorder="1" applyAlignment="1">
      <alignment horizontal="right" vertical="center"/>
    </xf>
    <xf numFmtId="166" fontId="35" fillId="10" borderId="225" xfId="0" applyNumberFormat="1" applyFont="1" applyFill="1" applyBorder="1" applyAlignment="1">
      <alignment horizontal="center" vertical="center"/>
    </xf>
    <xf numFmtId="0" fontId="87" fillId="9" borderId="118" xfId="0" applyNumberFormat="1" applyFont="1" applyFill="1" applyBorder="1" applyAlignment="1">
      <alignment horizontal="center" vertical="center"/>
    </xf>
    <xf numFmtId="0" fontId="79" fillId="9" borderId="238" xfId="55" applyNumberFormat="1" applyFont="1" applyFill="1" applyBorder="1" applyAlignment="1">
      <alignment horizontal="center" vertical="center"/>
    </xf>
    <xf numFmtId="2" fontId="79" fillId="9" borderId="239" xfId="55" applyNumberFormat="1" applyFont="1" applyFill="1" applyBorder="1" applyAlignment="1">
      <alignment horizontal="center" vertical="center"/>
    </xf>
    <xf numFmtId="0" fontId="38" fillId="9" borderId="225" xfId="0" applyNumberFormat="1" applyFont="1" applyFill="1" applyBorder="1" applyAlignment="1">
      <alignment vertical="center"/>
    </xf>
    <xf numFmtId="0" fontId="80" fillId="9" borderId="229" xfId="0" applyNumberFormat="1" applyFont="1" applyFill="1" applyBorder="1" applyAlignment="1">
      <alignment vertical="top"/>
    </xf>
    <xf numFmtId="0" fontId="79" fillId="9" borderId="234" xfId="55" applyNumberFormat="1" applyFont="1" applyFill="1" applyBorder="1" applyAlignment="1">
      <alignment horizontal="center" vertical="center"/>
    </xf>
    <xf numFmtId="1" fontId="79" fillId="9" borderId="241" xfId="55" applyNumberFormat="1" applyFont="1" applyFill="1" applyBorder="1" applyAlignment="1">
      <alignment vertical="center"/>
    </xf>
    <xf numFmtId="0" fontId="35" fillId="10" borderId="243" xfId="55" applyNumberFormat="1" applyFont="1" applyFill="1" applyBorder="1" applyAlignment="1">
      <alignment horizontal="right" vertical="center"/>
    </xf>
    <xf numFmtId="0" fontId="64" fillId="10" borderId="112" xfId="0" applyFont="1" applyFill="1" applyBorder="1" applyAlignment="1">
      <alignment horizontal="right" vertical="center"/>
    </xf>
    <xf numFmtId="0" fontId="64" fillId="10" borderId="243" xfId="0" applyFont="1" applyFill="1" applyBorder="1" applyAlignment="1">
      <alignment horizontal="right" vertical="center"/>
    </xf>
    <xf numFmtId="10" fontId="78" fillId="10" borderId="110" xfId="114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0" fontId="100" fillId="9" borderId="23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top"/>
    </xf>
    <xf numFmtId="0" fontId="110" fillId="9" borderId="245" xfId="55" applyNumberFormat="1" applyFont="1" applyFill="1" applyBorder="1" applyAlignment="1">
      <alignment horizontal="center" vertical="center"/>
    </xf>
    <xf numFmtId="1" fontId="79" fillId="9" borderId="195" xfId="55" applyNumberFormat="1" applyFont="1" applyFill="1" applyBorder="1" applyAlignment="1">
      <alignment vertical="center"/>
    </xf>
    <xf numFmtId="0" fontId="35" fillId="10" borderId="246" xfId="55" applyNumberFormat="1" applyFont="1" applyFill="1" applyBorder="1" applyAlignment="1">
      <alignment horizontal="right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219" xfId="55" applyNumberFormat="1" applyFont="1" applyFill="1" applyBorder="1" applyAlignment="1">
      <alignment horizontal="right" vertical="center"/>
    </xf>
    <xf numFmtId="0" fontId="35" fillId="10" borderId="247" xfId="55" applyNumberFormat="1" applyFont="1" applyFill="1" applyBorder="1" applyAlignment="1">
      <alignment horizontal="right" vertical="center"/>
    </xf>
    <xf numFmtId="0" fontId="35" fillId="10" borderId="221" xfId="55" applyNumberFormat="1" applyFont="1" applyFill="1" applyBorder="1" applyAlignment="1">
      <alignment horizontal="right" vertical="center"/>
    </xf>
    <xf numFmtId="167" fontId="110" fillId="9" borderId="95" xfId="55" applyNumberFormat="1" applyFont="1" applyFill="1" applyBorder="1" applyAlignment="1">
      <alignment horizontal="right" vertical="center"/>
    </xf>
    <xf numFmtId="167" fontId="110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1" fontId="112" fillId="9" borderId="165" xfId="0" applyNumberFormat="1" applyFont="1" applyFill="1" applyBorder="1" applyAlignment="1">
      <alignment horizontal="center" vertical="center"/>
    </xf>
    <xf numFmtId="0" fontId="79" fillId="9" borderId="23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top"/>
    </xf>
    <xf numFmtId="0" fontId="64" fillId="10" borderId="248" xfId="0" applyFont="1" applyFill="1" applyBorder="1" applyAlignment="1">
      <alignment horizontal="left" vertical="center"/>
    </xf>
    <xf numFmtId="0" fontId="35" fillId="10" borderId="249" xfId="55" applyNumberFormat="1" applyFont="1" applyFill="1" applyBorder="1" applyAlignment="1">
      <alignment horizontal="right" vertical="center"/>
    </xf>
    <xf numFmtId="0" fontId="64" fillId="10" borderId="250" xfId="0" applyFont="1" applyFill="1" applyBorder="1" applyAlignment="1">
      <alignment horizontal="right" vertical="center"/>
    </xf>
    <xf numFmtId="0" fontId="35" fillId="10" borderId="250" xfId="55" applyNumberFormat="1" applyFont="1" applyFill="1" applyBorder="1" applyAlignment="1">
      <alignment horizontal="right" vertical="center"/>
    </xf>
    <xf numFmtId="10" fontId="78" fillId="10" borderId="250" xfId="114" applyNumberFormat="1" applyFont="1" applyFill="1" applyBorder="1" applyAlignment="1">
      <alignment horizontal="center" vertical="center"/>
    </xf>
    <xf numFmtId="0" fontId="37" fillId="10" borderId="252" xfId="0" applyFont="1" applyFill="1" applyBorder="1" applyAlignment="1">
      <alignment horizontal="right" vertical="center"/>
    </xf>
    <xf numFmtId="0" fontId="37" fillId="10" borderId="250" xfId="0" applyFont="1" applyFill="1" applyBorder="1" applyAlignment="1">
      <alignment horizontal="right" vertical="center"/>
    </xf>
    <xf numFmtId="0" fontId="37" fillId="10" borderId="249" xfId="0" applyFont="1" applyFill="1" applyBorder="1" applyAlignment="1">
      <alignment horizontal="right" vertical="center"/>
    </xf>
    <xf numFmtId="0" fontId="35" fillId="10" borderId="250" xfId="0" applyFont="1" applyFill="1" applyBorder="1" applyAlignment="1">
      <alignment horizontal="right" vertical="center"/>
    </xf>
    <xf numFmtId="3" fontId="35" fillId="10" borderId="250" xfId="0" applyNumberFormat="1" applyFont="1" applyFill="1" applyBorder="1" applyAlignment="1">
      <alignment horizontal="right" vertical="center"/>
    </xf>
    <xf numFmtId="166" fontId="35" fillId="10" borderId="252" xfId="0" applyNumberFormat="1" applyFont="1" applyFill="1" applyBorder="1" applyAlignment="1">
      <alignment horizontal="center" vertical="center"/>
    </xf>
    <xf numFmtId="0" fontId="26" fillId="9" borderId="250" xfId="0" applyFont="1" applyFill="1" applyBorder="1" applyAlignment="1">
      <alignment horizontal="center" vertical="center"/>
    </xf>
    <xf numFmtId="0" fontId="23" fillId="9" borderId="251" xfId="0" applyFont="1" applyFill="1" applyBorder="1" applyAlignment="1">
      <alignment horizontal="center" vertical="center"/>
    </xf>
    <xf numFmtId="1" fontId="23" fillId="9" borderId="253" xfId="0" applyNumberFormat="1" applyFont="1" applyFill="1" applyBorder="1" applyAlignment="1">
      <alignment horizontal="center" vertical="center"/>
    </xf>
    <xf numFmtId="1" fontId="25" fillId="9" borderId="251" xfId="0" applyNumberFormat="1" applyFont="1" applyFill="1" applyBorder="1" applyAlignment="1">
      <alignment horizontal="center" vertical="center"/>
    </xf>
    <xf numFmtId="1" fontId="25" fillId="9" borderId="254" xfId="0" applyNumberFormat="1" applyFont="1" applyFill="1" applyBorder="1" applyAlignment="1">
      <alignment horizontal="center" vertical="center"/>
    </xf>
    <xf numFmtId="0" fontId="79" fillId="9" borderId="198" xfId="0" applyNumberFormat="1" applyFont="1" applyFill="1" applyBorder="1" applyAlignment="1">
      <alignment horizontal="center" vertical="center"/>
    </xf>
    <xf numFmtId="0" fontId="79" fillId="9" borderId="96" xfId="0" applyNumberFormat="1" applyFont="1" applyFill="1" applyBorder="1" applyAlignment="1">
      <alignment horizontal="center" vertical="center"/>
    </xf>
    <xf numFmtId="167" fontId="79" fillId="9" borderId="129" xfId="55" applyNumberFormat="1" applyFont="1" applyFill="1" applyBorder="1" applyAlignment="1">
      <alignment horizontal="center" vertical="center"/>
    </xf>
    <xf numFmtId="0" fontId="100" fillId="9" borderId="251" xfId="0" applyNumberFormat="1" applyFont="1" applyFill="1" applyBorder="1" applyAlignment="1">
      <alignment horizontal="center" vertical="center"/>
    </xf>
    <xf numFmtId="0" fontId="79" fillId="9" borderId="253" xfId="0" applyNumberFormat="1" applyFont="1" applyFill="1" applyBorder="1" applyAlignment="1">
      <alignment horizontal="center" vertical="center"/>
    </xf>
    <xf numFmtId="0" fontId="77" fillId="9" borderId="251" xfId="0" applyNumberFormat="1" applyFont="1" applyFill="1" applyBorder="1" applyAlignment="1">
      <alignment horizontal="center" vertical="center"/>
    </xf>
    <xf numFmtId="0" fontId="80" fillId="9" borderId="250" xfId="0" applyNumberFormat="1" applyFont="1" applyFill="1" applyBorder="1" applyAlignment="1">
      <alignment horizontal="center" vertical="center"/>
    </xf>
    <xf numFmtId="167" fontId="79" fillId="9" borderId="251" xfId="55" applyNumberFormat="1" applyFont="1" applyFill="1" applyBorder="1" applyAlignment="1">
      <alignment horizontal="center" vertical="center"/>
    </xf>
    <xf numFmtId="0" fontId="128" fillId="9" borderId="95" xfId="55" applyNumberFormat="1" applyFont="1" applyFill="1" applyBorder="1" applyAlignment="1">
      <alignment horizontal="center" vertical="center" wrapText="1"/>
    </xf>
    <xf numFmtId="0" fontId="130" fillId="10" borderId="242" xfId="0" applyFont="1" applyFill="1" applyBorder="1" applyAlignment="1">
      <alignment horizontal="right" vertical="center"/>
    </xf>
    <xf numFmtId="0" fontId="130" fillId="10" borderId="231" xfId="0" applyFont="1" applyFill="1" applyBorder="1" applyAlignment="1">
      <alignment horizontal="right" vertical="center"/>
    </xf>
    <xf numFmtId="0" fontId="87" fillId="9" borderId="116" xfId="55" applyNumberFormat="1" applyFont="1" applyFill="1" applyBorder="1" applyAlignment="1">
      <alignment horizontal="left" vertical="center"/>
    </xf>
    <xf numFmtId="0" fontId="87" fillId="9" borderId="218" xfId="55" applyNumberFormat="1" applyFont="1" applyFill="1" applyBorder="1" applyAlignment="1">
      <alignment horizontal="left" vertical="center"/>
    </xf>
    <xf numFmtId="3" fontId="132" fillId="10" borderId="178" xfId="0" applyNumberFormat="1" applyFont="1" applyFill="1" applyBorder="1" applyAlignment="1">
      <alignment horizontal="center" vertical="center"/>
    </xf>
    <xf numFmtId="0" fontId="13" fillId="38" borderId="3" xfId="55" applyNumberFormat="1" applyFont="1" applyFill="1" applyBorder="1" applyAlignment="1">
      <alignment horizontal="center" vertical="center"/>
    </xf>
    <xf numFmtId="2" fontId="79" fillId="9" borderId="213" xfId="55" applyNumberFormat="1" applyFont="1" applyFill="1" applyBorder="1" applyAlignment="1">
      <alignment horizontal="center" vertical="center"/>
    </xf>
    <xf numFmtId="2" fontId="79" fillId="9" borderId="219" xfId="55" applyNumberFormat="1" applyFont="1" applyFill="1" applyBorder="1" applyAlignment="1">
      <alignment horizontal="center" vertical="center"/>
    </xf>
    <xf numFmtId="0" fontId="96" fillId="0" borderId="3" xfId="0" applyFont="1" applyBorder="1" applyAlignment="1">
      <alignment horizontal="center"/>
    </xf>
    <xf numFmtId="2" fontId="79" fillId="9" borderId="121" xfId="55" applyNumberFormat="1" applyFont="1" applyFill="1" applyBorder="1" applyAlignment="1">
      <alignment horizontal="center" vertical="center"/>
    </xf>
    <xf numFmtId="2" fontId="79" fillId="9" borderId="96" xfId="55" applyNumberFormat="1" applyFont="1" applyFill="1" applyBorder="1" applyAlignment="1">
      <alignment horizontal="center" vertical="center"/>
    </xf>
    <xf numFmtId="2" fontId="79" fillId="9" borderId="185" xfId="55" applyNumberFormat="1" applyFont="1" applyFill="1" applyBorder="1" applyAlignment="1">
      <alignment horizontal="center" vertical="center"/>
    </xf>
    <xf numFmtId="0" fontId="131" fillId="9" borderId="121" xfId="0" applyFont="1" applyFill="1" applyBorder="1" applyAlignment="1">
      <alignment horizontal="center" vertical="center"/>
    </xf>
    <xf numFmtId="0" fontId="131" fillId="9" borderId="219" xfId="0" applyFont="1" applyFill="1" applyBorder="1" applyAlignment="1">
      <alignment horizontal="center" vertical="center"/>
    </xf>
    <xf numFmtId="0" fontId="131" fillId="9" borderId="240" xfId="0" applyFont="1" applyFill="1" applyBorder="1" applyAlignment="1">
      <alignment horizontal="center" vertical="center"/>
    </xf>
    <xf numFmtId="0" fontId="131" fillId="9" borderId="110" xfId="0" applyFont="1" applyFill="1" applyBorder="1" applyAlignment="1">
      <alignment horizontal="center" vertical="center"/>
    </xf>
    <xf numFmtId="2" fontId="79" fillId="9" borderId="110" xfId="55" applyNumberFormat="1" applyFont="1" applyFill="1" applyBorder="1" applyAlignment="1">
      <alignment horizontal="center" vertical="center"/>
    </xf>
    <xf numFmtId="166" fontId="127" fillId="2" borderId="235" xfId="55" applyNumberFormat="1" applyFont="1" applyFill="1" applyBorder="1" applyAlignment="1">
      <alignment horizontal="center" vertical="center" wrapText="1"/>
    </xf>
    <xf numFmtId="166" fontId="127" fillId="2" borderId="3" xfId="55" applyNumberFormat="1" applyFont="1" applyFill="1" applyBorder="1" applyAlignment="1">
      <alignment horizontal="center" vertical="center" wrapText="1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6" fillId="36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42" fillId="36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0" fontId="87" fillId="9" borderId="117" xfId="55" applyNumberFormat="1" applyFont="1" applyFill="1" applyBorder="1" applyAlignment="1">
      <alignment horizontal="right" vertical="center"/>
    </xf>
    <xf numFmtId="9" fontId="53" fillId="23" borderId="61" xfId="114" applyFont="1" applyFill="1" applyBorder="1" applyAlignment="1">
      <alignment horizontal="center" vertical="center"/>
    </xf>
    <xf numFmtId="0" fontId="29" fillId="9" borderId="195" xfId="0" applyFont="1" applyFill="1" applyBorder="1" applyAlignment="1">
      <alignment horizontal="right" vertical="center"/>
    </xf>
    <xf numFmtId="0" fontId="29" fillId="9" borderId="221" xfId="0" applyFont="1" applyFill="1" applyBorder="1" applyAlignment="1">
      <alignment horizontal="right" vertical="center"/>
    </xf>
    <xf numFmtId="0" fontId="29" fillId="9" borderId="94" xfId="0" applyFont="1" applyFill="1" applyBorder="1" applyAlignment="1">
      <alignment horizontal="right" vertical="center"/>
    </xf>
    <xf numFmtId="0" fontId="29" fillId="9" borderId="112" xfId="0" applyFont="1" applyFill="1" applyBorder="1" applyAlignment="1">
      <alignment horizontal="right" vertical="center"/>
    </xf>
    <xf numFmtId="0" fontId="69" fillId="9" borderId="128" xfId="55" applyNumberFormat="1" applyFont="1" applyFill="1" applyBorder="1" applyAlignment="1">
      <alignment horizontal="left" vertical="center"/>
    </xf>
    <xf numFmtId="167" fontId="35" fillId="10" borderId="113" xfId="55" applyNumberFormat="1" applyFont="1" applyFill="1" applyBorder="1" applyAlignment="1">
      <alignment horizontal="right" vertical="center"/>
    </xf>
    <xf numFmtId="0" fontId="64" fillId="10" borderId="113" xfId="0" applyFont="1" applyFill="1" applyBorder="1" applyAlignment="1">
      <alignment horizontal="right" vertical="center"/>
    </xf>
    <xf numFmtId="167" fontId="35" fillId="10" borderId="110" xfId="55" applyNumberFormat="1" applyFont="1" applyFill="1" applyBorder="1" applyAlignment="1">
      <alignment horizontal="right" vertical="center"/>
    </xf>
    <xf numFmtId="2" fontId="69" fillId="9" borderId="216" xfId="0" applyNumberFormat="1" applyFont="1" applyFill="1" applyBorder="1" applyAlignment="1">
      <alignment horizontal="center" vertical="center"/>
    </xf>
    <xf numFmtId="0" fontId="110" fillId="9" borderId="195" xfId="55" applyNumberFormat="1" applyFont="1" applyFill="1" applyBorder="1" applyAlignment="1">
      <alignment horizontal="center" vertical="center"/>
    </xf>
    <xf numFmtId="2" fontId="77" fillId="9" borderId="112" xfId="55" applyNumberFormat="1" applyFont="1" applyFill="1" applyBorder="1" applyAlignment="1">
      <alignment horizontal="center" vertical="center"/>
    </xf>
    <xf numFmtId="2" fontId="65" fillId="9" borderId="112" xfId="0" applyNumberFormat="1" applyFont="1" applyFill="1" applyBorder="1" applyAlignment="1">
      <alignment horizontal="center" vertical="center"/>
    </xf>
    <xf numFmtId="3" fontId="35" fillId="10" borderId="112" xfId="0" applyNumberFormat="1" applyFont="1" applyFill="1" applyBorder="1" applyAlignment="1">
      <alignment horizontal="right" vertical="center"/>
    </xf>
    <xf numFmtId="0" fontId="35" fillId="10" borderId="113" xfId="55" applyNumberFormat="1" applyFont="1" applyFill="1" applyBorder="1" applyAlignment="1">
      <alignment horizontal="right" vertical="center"/>
    </xf>
    <xf numFmtId="0" fontId="35" fillId="10" borderId="110" xfId="55" applyNumberFormat="1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2" fontId="92" fillId="9" borderId="216" xfId="0" applyNumberFormat="1" applyFont="1" applyFill="1" applyBorder="1" applyAlignment="1">
      <alignment vertical="center"/>
    </xf>
    <xf numFmtId="2" fontId="99" fillId="9" borderId="216" xfId="0" applyNumberFormat="1" applyFont="1" applyFill="1" applyBorder="1" applyAlignment="1">
      <alignment vertical="center"/>
    </xf>
    <xf numFmtId="2" fontId="69" fillId="9" borderId="216" xfId="0" applyNumberFormat="1" applyFont="1" applyFill="1" applyBorder="1" applyAlignment="1">
      <alignment horizontal="center" vertical="top"/>
    </xf>
    <xf numFmtId="0" fontId="69" fillId="9" borderId="218" xfId="55" applyNumberFormat="1" applyFont="1" applyFill="1" applyBorder="1" applyAlignment="1">
      <alignment horizontal="left" vertical="center"/>
    </xf>
    <xf numFmtId="0" fontId="64" fillId="10" borderId="223" xfId="0" applyFont="1" applyFill="1" applyBorder="1" applyAlignment="1">
      <alignment horizontal="right" vertical="center"/>
    </xf>
    <xf numFmtId="0" fontId="35" fillId="10" borderId="222" xfId="0" applyFont="1" applyFill="1" applyBorder="1" applyAlignment="1">
      <alignment horizontal="right" vertical="center"/>
    </xf>
    <xf numFmtId="2" fontId="92" fillId="9" borderId="227" xfId="0" applyNumberFormat="1" applyFont="1" applyFill="1" applyBorder="1" applyAlignment="1">
      <alignment vertical="center"/>
    </xf>
    <xf numFmtId="0" fontId="110" fillId="9" borderId="225" xfId="55" applyNumberFormat="1" applyFont="1" applyFill="1" applyBorder="1" applyAlignment="1">
      <alignment horizontal="center" vertical="center"/>
    </xf>
    <xf numFmtId="2" fontId="77" fillId="9" borderId="221" xfId="55" applyNumberFormat="1" applyFont="1" applyFill="1" applyBorder="1" applyAlignment="1">
      <alignment horizontal="center" vertical="center"/>
    </xf>
    <xf numFmtId="2" fontId="65" fillId="9" borderId="221" xfId="0" applyNumberFormat="1" applyFont="1" applyFill="1" applyBorder="1" applyAlignment="1">
      <alignment horizontal="center" vertical="center"/>
    </xf>
    <xf numFmtId="0" fontId="64" fillId="9" borderId="255" xfId="0" applyFont="1" applyFill="1" applyBorder="1" applyAlignment="1">
      <alignment horizontal="right" vertical="center"/>
    </xf>
    <xf numFmtId="0" fontId="64" fillId="9" borderId="94" xfId="0" applyFont="1" applyFill="1" applyBorder="1" applyAlignment="1">
      <alignment horizontal="right" vertical="center"/>
    </xf>
    <xf numFmtId="0" fontId="64" fillId="9" borderId="190" xfId="0" applyFont="1" applyFill="1" applyBorder="1" applyAlignment="1">
      <alignment horizontal="right" vertical="center"/>
    </xf>
    <xf numFmtId="0" fontId="64" fillId="9" borderId="110" xfId="0" applyFont="1" applyFill="1" applyBorder="1" applyAlignment="1">
      <alignment horizontal="right" vertical="center"/>
    </xf>
    <xf numFmtId="0" fontId="64" fillId="9" borderId="250" xfId="0" applyFont="1" applyFill="1" applyBorder="1" applyAlignment="1">
      <alignment horizontal="right" vertical="center"/>
    </xf>
    <xf numFmtId="0" fontId="64" fillId="9" borderId="96" xfId="0" applyFont="1" applyFill="1" applyBorder="1" applyAlignment="1">
      <alignment horizontal="right" vertical="center"/>
    </xf>
    <xf numFmtId="0" fontId="64" fillId="9" borderId="221" xfId="0" applyFont="1" applyFill="1" applyBorder="1" applyAlignment="1">
      <alignment horizontal="right" vertical="center"/>
    </xf>
    <xf numFmtId="0" fontId="64" fillId="9" borderId="195" xfId="0" applyFont="1" applyFill="1" applyBorder="1" applyAlignment="1">
      <alignment horizontal="right" vertical="center"/>
    </xf>
    <xf numFmtId="0" fontId="64" fillId="9" borderId="216" xfId="0" applyFont="1" applyFill="1" applyBorder="1" applyAlignment="1">
      <alignment horizontal="right" vertical="center"/>
    </xf>
    <xf numFmtId="0" fontId="133" fillId="10" borderId="102" xfId="0" applyFont="1" applyFill="1" applyBorder="1" applyAlignment="1">
      <alignment horizontal="left" vertical="center"/>
    </xf>
    <xf numFmtId="0" fontId="133" fillId="10" borderId="154" xfId="0" applyFont="1" applyFill="1" applyBorder="1" applyAlignment="1">
      <alignment horizontal="left" vertical="center"/>
    </xf>
    <xf numFmtId="0" fontId="133" fillId="10" borderId="97" xfId="0" applyFont="1" applyFill="1" applyBorder="1" applyAlignment="1">
      <alignment horizontal="left" vertical="center"/>
    </xf>
    <xf numFmtId="0" fontId="133" fillId="10" borderId="191" xfId="0" applyFont="1" applyFill="1" applyBorder="1" applyAlignment="1">
      <alignment horizontal="left" vertical="center"/>
    </xf>
    <xf numFmtId="0" fontId="133" fillId="10" borderId="231" xfId="0" applyFont="1" applyFill="1" applyBorder="1" applyAlignment="1">
      <alignment horizontal="left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216"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70E03"/>
      <color rgb="FF12782D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A35" sqref="A35"/>
    </sheetView>
  </sheetViews>
  <sheetFormatPr baseColWidth="10" defaultRowHeight="12.75" customHeight="1"/>
  <cols>
    <col min="1" max="1" width="14.28515625" style="38" bestFit="1" customWidth="1"/>
    <col min="2" max="2" width="9.71093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518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5.42578125" style="12" bestFit="1" customWidth="1"/>
    <col min="11" max="11" width="5" style="12" customWidth="1"/>
    <col min="12" max="12" width="9.140625" style="12" hidden="1" customWidth="1"/>
    <col min="13" max="13" width="8.85546875" style="12" bestFit="1" customWidth="1"/>
    <col min="14" max="14" width="6.7109375" style="12" hidden="1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4.42578125" style="39" customWidth="1"/>
    <col min="19" max="19" width="4.42578125" style="34" customWidth="1"/>
    <col min="20" max="20" width="4.5703125" style="11" bestFit="1" customWidth="1"/>
    <col min="21" max="21" width="3.85546875" style="11" bestFit="1" customWidth="1"/>
    <col min="22" max="22" width="4.85546875" style="11" bestFit="1" customWidth="1"/>
    <col min="23" max="23" width="9.140625" bestFit="1" customWidth="1"/>
    <col min="24" max="24" width="7.5703125" style="308" bestFit="1" customWidth="1"/>
    <col min="25" max="25" width="7.42578125" style="522" bestFit="1" customWidth="1"/>
    <col min="26" max="26" width="8" style="299" bestFit="1" customWidth="1"/>
    <col min="27" max="27" width="8.28515625" style="40" bestFit="1" customWidth="1"/>
    <col min="28" max="28" width="8.285156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77" t="s">
        <v>126</v>
      </c>
      <c r="B1" s="519" t="s">
        <v>337</v>
      </c>
      <c r="C1" s="512" t="s">
        <v>306</v>
      </c>
      <c r="D1" s="512" t="s">
        <v>307</v>
      </c>
      <c r="E1" s="519" t="s">
        <v>338</v>
      </c>
      <c r="F1" s="512" t="s">
        <v>127</v>
      </c>
      <c r="G1" s="378" t="s">
        <v>304</v>
      </c>
      <c r="H1" s="378" t="s">
        <v>128</v>
      </c>
      <c r="I1" s="378" t="s">
        <v>129</v>
      </c>
      <c r="J1" s="378" t="s">
        <v>130</v>
      </c>
      <c r="K1" s="378" t="s">
        <v>308</v>
      </c>
      <c r="L1" s="378" t="s">
        <v>305</v>
      </c>
      <c r="M1" s="378" t="s">
        <v>131</v>
      </c>
      <c r="N1" s="661" t="s">
        <v>132</v>
      </c>
      <c r="O1" s="378" t="s">
        <v>133</v>
      </c>
      <c r="P1" s="379"/>
      <c r="Q1" s="490" t="s">
        <v>674</v>
      </c>
      <c r="R1" s="826" t="s">
        <v>662</v>
      </c>
      <c r="S1" s="491" t="s">
        <v>663</v>
      </c>
      <c r="T1" s="764">
        <v>5</v>
      </c>
      <c r="U1" s="821">
        <v>1E-3</v>
      </c>
      <c r="V1" s="763">
        <v>0</v>
      </c>
      <c r="W1" s="839">
        <f>IF(O65&lt;&gt;"",O65,O35)</f>
        <v>45401.708587962959</v>
      </c>
      <c r="X1" s="840"/>
      <c r="Y1" s="827">
        <f>AA69</f>
        <v>102576.15317667536</v>
      </c>
      <c r="Z1" s="351">
        <v>100</v>
      </c>
      <c r="AA1" s="341">
        <v>100</v>
      </c>
      <c r="AB1" s="298">
        <f>IF(Y1&lt;&gt;"",Y1*($AE$1*$AD$1),100000*($AE$1*$AD$1))</f>
        <v>539.57866876497724</v>
      </c>
      <c r="AC1" s="38">
        <f>AD1</f>
        <v>3</v>
      </c>
      <c r="AD1" s="54">
        <f>IF(AJ3&lt;&gt;0,2,IF(AJ4&lt;&gt;0,3,IF(AJ5&lt;&gt;0,4,IF(AJ6&lt;&gt;0,5,IF(AJ7&lt;&gt;0,6,IF(AJ8&lt;&gt;0,7,IF(AJ9&lt;&gt;0,8,IF(AJ10&lt;&gt;0,9,IF(AJ11&lt;&gt;0,10,1)))))))))</f>
        <v>3</v>
      </c>
      <c r="AE1" s="53">
        <f>IF(AJ3&lt;&gt;0,AJ3/365,IF(AJ4&lt;&gt;0,AJ5/365,IF(AJ5&lt;&gt;0,AJ6/365,IF(AJ6&lt;&gt;0,AJ7/365,IF(AJ7&lt;&gt;0,AJ8/365,IF(AJ8&lt;&gt;0,AJ9/365,IF(AJ9&lt;&gt;0,AJ10/365,IF(AJ10&lt;&gt;0,AJ11/365,IF(AJ11&lt;&gt;0,AJ12/365,60/365)))))))))</f>
        <v>1.7534246575342466E-3</v>
      </c>
      <c r="AF1" s="266" t="s">
        <v>315</v>
      </c>
      <c r="AG1" s="266" t="s">
        <v>316</v>
      </c>
      <c r="AH1" s="266" t="s">
        <v>317</v>
      </c>
      <c r="AI1" s="266" t="s">
        <v>318</v>
      </c>
      <c r="AJ1" s="267" t="s">
        <v>313</v>
      </c>
      <c r="AK1" s="265" t="s">
        <v>314</v>
      </c>
      <c r="AL1" s="209" t="s">
        <v>312</v>
      </c>
    </row>
    <row r="2" spans="1:42" ht="12.75" hidden="1" customHeight="1">
      <c r="A2" s="521" t="s">
        <v>555</v>
      </c>
      <c r="B2" s="686">
        <f t="shared" ref="B2:B29" si="0">IF(A2&lt;&gt;"",VLOOKUP($A2,$A$64:$N$201,2,0),"")</f>
        <v>2436</v>
      </c>
      <c r="C2" s="302">
        <f t="shared" ref="C2:C29" si="1">IF(A2&lt;&gt;"",VLOOKUP($A2,$A$60:$N$201,3,0),"")</f>
        <v>61.57</v>
      </c>
      <c r="D2" s="248">
        <f t="shared" ref="D2:D29" si="2">IF(A2&lt;&gt;"",VLOOKUP($A2,$A$60:$N$201,4,0),"")</f>
        <v>63.14</v>
      </c>
      <c r="E2" s="690">
        <f t="shared" ref="E2:E29" si="3">IF(A2&lt;&gt;"",VLOOKUP($A2,$A$60:$N$201,5,0),"")</f>
        <v>2007</v>
      </c>
      <c r="F2" s="513">
        <f t="shared" ref="F2:F29" si="4">IF($A2&lt;&gt;"",VLOOKUP($A2,$A$60:$N$201,6,0),"")</f>
        <v>62.43</v>
      </c>
      <c r="G2" s="304">
        <f t="shared" ref="G2:G29" si="5">IF($A2&lt;&gt;"",VLOOKUP($A2,$A$60:$N$201,7,0),"")</f>
        <v>-9.0000000000000011E-3</v>
      </c>
      <c r="H2" s="236">
        <f t="shared" ref="H2:H29" si="6">IF($A2&lt;&gt;"",VLOOKUP($A2,$A$60:$N$201,8,0),"")</f>
        <v>63</v>
      </c>
      <c r="I2" s="228">
        <f t="shared" ref="I2:I29" si="7">IF($A2&lt;&gt;"",VLOOKUP($A2,$A$60:$N$201,9,0),"")</f>
        <v>63.33</v>
      </c>
      <c r="J2" s="278">
        <f t="shared" ref="J2:J29" si="8">IF($A2&lt;&gt;"",VLOOKUP($A2,$A$60:$N$201,10,0),"")</f>
        <v>61.4</v>
      </c>
      <c r="K2" s="232">
        <f t="shared" ref="K2:K29" si="9">IF($A2&lt;&gt;"",VLOOKUP($A2,$A$60:$N$201,11,0),"")</f>
        <v>63</v>
      </c>
      <c r="L2" s="249">
        <f t="shared" ref="L2:L29" si="10">IF($A2&lt;&gt;"",VLOOKUP($A2,$A$60:$N$201,12,0),"")</f>
        <v>18672</v>
      </c>
      <c r="M2" s="670">
        <f t="shared" ref="M2:M29" si="11">IF($A2&lt;&gt;"",VLOOKUP($A2,$A$60:$N$201,13,0),"")</f>
        <v>29896</v>
      </c>
      <c r="N2" s="667">
        <f t="shared" ref="N2:N18" si="12">IF($A2&lt;&gt;"",VLOOKUP($A2,$A$60:$N$201,14,0),"")</f>
        <v>21</v>
      </c>
      <c r="O2" s="272">
        <f t="shared" ref="O2:O17" si="13">IF($A2&lt;&gt;"",VLOOKUP($A2,$A$60:$O$201,15,0),"")</f>
        <v>45401.647905092592</v>
      </c>
      <c r="P2" s="283">
        <v>1</v>
      </c>
      <c r="Q2" s="507"/>
      <c r="R2" s="611"/>
      <c r="S2" s="601"/>
      <c r="T2" s="460"/>
      <c r="U2" s="645"/>
      <c r="V2" s="294"/>
      <c r="W2" s="492"/>
      <c r="X2" s="628"/>
      <c r="Y2" s="623">
        <f>IFERROR(IF($Y$1&lt;&gt;"",INT($Y$1/(D5/100)),100),100)</f>
        <v>162</v>
      </c>
      <c r="Z2" s="575">
        <f>IFERROR($C2*(1-$V$1)/100*$Y2,"")</f>
        <v>99.743400000000008</v>
      </c>
      <c r="AA2" s="831">
        <f>IFERROR($Z2-$Z3,"")</f>
        <v>0.5338000000000136</v>
      </c>
      <c r="AD2" s="286" t="s">
        <v>319</v>
      </c>
      <c r="AE2" s="292">
        <v>45402</v>
      </c>
      <c r="AF2" s="284"/>
      <c r="AG2" s="285"/>
      <c r="AH2" s="285"/>
      <c r="AI2" s="284"/>
      <c r="AJ2" s="289"/>
      <c r="AK2" s="284"/>
    </row>
    <row r="3" spans="1:42" ht="12.75" hidden="1" customHeight="1">
      <c r="A3" s="314" t="s">
        <v>14</v>
      </c>
      <c r="B3" s="687">
        <f t="shared" si="0"/>
        <v>14</v>
      </c>
      <c r="C3" s="301">
        <f t="shared" si="1"/>
        <v>57.6</v>
      </c>
      <c r="D3" s="303">
        <f t="shared" si="2"/>
        <v>57.68</v>
      </c>
      <c r="E3" s="691">
        <f t="shared" si="3"/>
        <v>1000</v>
      </c>
      <c r="F3" s="514">
        <f t="shared" si="4"/>
        <v>57.62</v>
      </c>
      <c r="G3" s="305">
        <f t="shared" si="5"/>
        <v>-4.7999999999999996E-3</v>
      </c>
      <c r="H3" s="235">
        <f t="shared" si="6"/>
        <v>57.95</v>
      </c>
      <c r="I3" s="226">
        <f t="shared" si="7"/>
        <v>58.38</v>
      </c>
      <c r="J3" s="276">
        <f t="shared" si="8"/>
        <v>57.55</v>
      </c>
      <c r="K3" s="230">
        <f t="shared" si="9"/>
        <v>57.9</v>
      </c>
      <c r="L3" s="233">
        <f t="shared" si="10"/>
        <v>67571040</v>
      </c>
      <c r="M3" s="671">
        <f t="shared" si="11"/>
        <v>116705850</v>
      </c>
      <c r="N3" s="672">
        <f t="shared" si="12"/>
        <v>50041</v>
      </c>
      <c r="O3" s="273">
        <f t="shared" si="13"/>
        <v>45401.687777777777</v>
      </c>
      <c r="P3" s="282">
        <v>2</v>
      </c>
      <c r="Q3" s="260"/>
      <c r="R3" s="612"/>
      <c r="S3" s="602"/>
      <c r="T3" s="461"/>
      <c r="U3" s="646"/>
      <c r="V3" s="295"/>
      <c r="W3" s="492"/>
      <c r="X3" s="629"/>
      <c r="Y3" s="624">
        <f>IFERROR(INT($Z2/($D3*(1+$V$1)/100)),0)</f>
        <v>172</v>
      </c>
      <c r="Z3" s="576">
        <f>IFERROR($D3/100*INT($Y3),"")</f>
        <v>99.209599999999995</v>
      </c>
      <c r="AA3" s="832"/>
      <c r="AD3" s="49" t="s">
        <v>320</v>
      </c>
      <c r="AE3" s="293">
        <v>45403</v>
      </c>
      <c r="AF3" s="48"/>
      <c r="AG3" s="52"/>
      <c r="AH3" s="52"/>
      <c r="AI3" s="48"/>
      <c r="AJ3" s="290"/>
      <c r="AK3" s="48"/>
    </row>
    <row r="4" spans="1:42" ht="12.75" hidden="1" customHeight="1">
      <c r="A4" s="313" t="s">
        <v>13</v>
      </c>
      <c r="B4" s="686">
        <f t="shared" si="0"/>
        <v>443</v>
      </c>
      <c r="C4" s="302">
        <f t="shared" si="1"/>
        <v>58580</v>
      </c>
      <c r="D4" s="300">
        <f t="shared" si="2"/>
        <v>58680</v>
      </c>
      <c r="E4" s="692">
        <f t="shared" si="3"/>
        <v>1677</v>
      </c>
      <c r="F4" s="513">
        <f t="shared" si="4"/>
        <v>58660</v>
      </c>
      <c r="G4" s="304">
        <f t="shared" si="5"/>
        <v>-5.9999999999999995E-4</v>
      </c>
      <c r="H4" s="236">
        <f t="shared" si="6"/>
        <v>59010</v>
      </c>
      <c r="I4" s="228">
        <f t="shared" si="7"/>
        <v>59220</v>
      </c>
      <c r="J4" s="278">
        <f t="shared" si="8"/>
        <v>58470</v>
      </c>
      <c r="K4" s="232">
        <f t="shared" si="9"/>
        <v>58700</v>
      </c>
      <c r="L4" s="249">
        <f t="shared" si="10"/>
        <v>80916922560</v>
      </c>
      <c r="M4" s="670">
        <f t="shared" si="11"/>
        <v>137633621</v>
      </c>
      <c r="N4" s="667">
        <f t="shared" si="12"/>
        <v>54948</v>
      </c>
      <c r="O4" s="272">
        <f t="shared" si="13"/>
        <v>45401.6875</v>
      </c>
      <c r="P4" s="283">
        <v>3</v>
      </c>
      <c r="Q4" s="262"/>
      <c r="R4" s="613"/>
      <c r="S4" s="603"/>
      <c r="T4" s="460"/>
      <c r="U4" s="645"/>
      <c r="V4" s="294"/>
      <c r="W4" s="493"/>
      <c r="X4" s="630"/>
      <c r="Y4" s="625">
        <f t="shared" ref="Y4:Y12" si="14">Y3</f>
        <v>172</v>
      </c>
      <c r="Z4" s="577">
        <f>IFERROR($C4*(1-$V$1)/100*INT($Y4),"")</f>
        <v>100757.59999999999</v>
      </c>
      <c r="AA4" s="828">
        <f>IFERROR($Z4-$Z5,"")</f>
        <v>428.59999999999127</v>
      </c>
      <c r="AD4" s="286" t="s">
        <v>321</v>
      </c>
      <c r="AE4" s="293">
        <v>45404</v>
      </c>
      <c r="AF4" s="284">
        <v>866565770.38999999</v>
      </c>
      <c r="AG4" s="285">
        <v>0.63100000000000001</v>
      </c>
      <c r="AH4" s="285">
        <v>0.64500000000000002</v>
      </c>
      <c r="AI4" s="284">
        <v>241325.23</v>
      </c>
      <c r="AJ4" s="289">
        <v>0.63109999999999999</v>
      </c>
      <c r="AK4" s="284"/>
      <c r="AL4" s="47"/>
    </row>
    <row r="5" spans="1:42" ht="12.75" hidden="1" customHeight="1">
      <c r="A5" s="520" t="s">
        <v>553</v>
      </c>
      <c r="B5" s="688">
        <f t="shared" si="0"/>
        <v>320</v>
      </c>
      <c r="C5" s="309">
        <f t="shared" si="1"/>
        <v>62500</v>
      </c>
      <c r="D5" s="310">
        <f t="shared" si="2"/>
        <v>63100</v>
      </c>
      <c r="E5" s="693">
        <f t="shared" si="3"/>
        <v>3730</v>
      </c>
      <c r="F5" s="515">
        <f t="shared" si="4"/>
        <v>62600</v>
      </c>
      <c r="G5" s="311">
        <f t="shared" si="5"/>
        <v>-4.4000000000000003E-3</v>
      </c>
      <c r="H5" s="250">
        <f t="shared" si="6"/>
        <v>62690</v>
      </c>
      <c r="I5" s="251">
        <f t="shared" si="7"/>
        <v>63250</v>
      </c>
      <c r="J5" s="280">
        <f t="shared" si="8"/>
        <v>62200</v>
      </c>
      <c r="K5" s="252">
        <f t="shared" si="9"/>
        <v>62880</v>
      </c>
      <c r="L5" s="254">
        <f t="shared" si="10"/>
        <v>36473378</v>
      </c>
      <c r="M5" s="673">
        <f t="shared" si="11"/>
        <v>58053</v>
      </c>
      <c r="N5" s="674">
        <f t="shared" si="12"/>
        <v>107</v>
      </c>
      <c r="O5" s="275">
        <f t="shared" si="13"/>
        <v>45401.68236111111</v>
      </c>
      <c r="P5" s="282">
        <v>4</v>
      </c>
      <c r="Q5" s="508"/>
      <c r="R5" s="614"/>
      <c r="S5" s="604"/>
      <c r="T5" s="463"/>
      <c r="U5" s="647"/>
      <c r="V5" s="295"/>
      <c r="W5" s="492"/>
      <c r="X5" s="629"/>
      <c r="Y5" s="640">
        <f>IFERROR($Z4/($D5*(1+$V$1)/100),0)</f>
        <v>159.67923930269413</v>
      </c>
      <c r="Z5" s="578">
        <f>IFERROR($D5/100*INT($Y5),"")</f>
        <v>100329</v>
      </c>
      <c r="AA5" s="832"/>
      <c r="AD5" s="49" t="s">
        <v>322</v>
      </c>
      <c r="AE5" s="293">
        <v>45405</v>
      </c>
      <c r="AF5" s="48">
        <v>81960471.129999995</v>
      </c>
      <c r="AG5" s="52">
        <v>0.63749999999999996</v>
      </c>
      <c r="AH5" s="52">
        <v>0.64900000000000002</v>
      </c>
      <c r="AI5" s="48">
        <v>230190.52</v>
      </c>
      <c r="AJ5" s="290">
        <v>0.64</v>
      </c>
      <c r="AK5" s="48">
        <v>8960020363</v>
      </c>
      <c r="AL5" s="47"/>
    </row>
    <row r="6" spans="1:42" ht="12.75" hidden="1" customHeight="1">
      <c r="A6" s="521" t="s">
        <v>540</v>
      </c>
      <c r="B6" s="686">
        <f t="shared" si="0"/>
        <v>321</v>
      </c>
      <c r="C6" s="302">
        <f t="shared" si="1"/>
        <v>46.14</v>
      </c>
      <c r="D6" s="248">
        <f t="shared" si="2"/>
        <v>46.15</v>
      </c>
      <c r="E6" s="690">
        <f t="shared" si="3"/>
        <v>6598</v>
      </c>
      <c r="F6" s="513">
        <f t="shared" si="4"/>
        <v>46.15</v>
      </c>
      <c r="G6" s="304">
        <f t="shared" si="5"/>
        <v>3.2000000000000002E-3</v>
      </c>
      <c r="H6" s="234">
        <f t="shared" si="6"/>
        <v>46.899000000000001</v>
      </c>
      <c r="I6" s="225">
        <f t="shared" si="7"/>
        <v>46.9</v>
      </c>
      <c r="J6" s="277">
        <f t="shared" si="8"/>
        <v>44.32</v>
      </c>
      <c r="K6" s="229">
        <f t="shared" si="9"/>
        <v>46</v>
      </c>
      <c r="L6" s="256">
        <f t="shared" si="10"/>
        <v>146120</v>
      </c>
      <c r="M6" s="675">
        <f t="shared" si="11"/>
        <v>316887</v>
      </c>
      <c r="N6" s="669">
        <f t="shared" si="12"/>
        <v>92</v>
      </c>
      <c r="O6" s="269">
        <f t="shared" si="13"/>
        <v>45401.708414351851</v>
      </c>
      <c r="P6" s="283">
        <v>5</v>
      </c>
      <c r="Q6" s="497"/>
      <c r="R6" s="615"/>
      <c r="S6" s="605"/>
      <c r="T6" s="464"/>
      <c r="U6" s="648"/>
      <c r="V6" s="294"/>
      <c r="W6" s="493"/>
      <c r="X6" s="630"/>
      <c r="Y6" s="626">
        <f>IFERROR(IF($Y$1&lt;&gt;"",INT($Y$1/(D9/100)),100),100)</f>
        <v>218</v>
      </c>
      <c r="Z6" s="577">
        <f>IFERROR($C6*(1-$V$1)/100*$Y6,"")</f>
        <v>100.5852</v>
      </c>
      <c r="AA6" s="831">
        <f>IFERROR($Z6-$Z7,"")</f>
        <v>4.769999999999186E-2</v>
      </c>
      <c r="AB6" s="224"/>
      <c r="AD6" s="286" t="s">
        <v>323</v>
      </c>
      <c r="AE6" s="293">
        <v>45406</v>
      </c>
      <c r="AF6" s="284">
        <v>13623000</v>
      </c>
      <c r="AG6" s="285">
        <v>0.62020000000000008</v>
      </c>
      <c r="AH6" s="285">
        <v>0.65</v>
      </c>
      <c r="AI6" s="284">
        <v>5600000</v>
      </c>
      <c r="AJ6" s="289">
        <v>0.63</v>
      </c>
      <c r="AK6" s="284">
        <v>3564848014</v>
      </c>
    </row>
    <row r="7" spans="1:42" ht="12.75" hidden="1" customHeight="1">
      <c r="A7" s="314" t="s">
        <v>4</v>
      </c>
      <c r="B7" s="687">
        <f t="shared" si="0"/>
        <v>4583</v>
      </c>
      <c r="C7" s="301">
        <f t="shared" si="1"/>
        <v>57.4</v>
      </c>
      <c r="D7" s="303">
        <f t="shared" si="2"/>
        <v>57.45</v>
      </c>
      <c r="E7" s="691">
        <f t="shared" si="3"/>
        <v>8780</v>
      </c>
      <c r="F7" s="514">
        <f t="shared" si="4"/>
        <v>57.41</v>
      </c>
      <c r="G7" s="305">
        <f t="shared" si="5"/>
        <v>-9.300000000000001E-3</v>
      </c>
      <c r="H7" s="235">
        <f t="shared" si="6"/>
        <v>57.62</v>
      </c>
      <c r="I7" s="226">
        <f t="shared" si="7"/>
        <v>58.3</v>
      </c>
      <c r="J7" s="276">
        <f t="shared" si="8"/>
        <v>57.41</v>
      </c>
      <c r="K7" s="230">
        <f t="shared" si="9"/>
        <v>57.95</v>
      </c>
      <c r="L7" s="233">
        <f t="shared" si="10"/>
        <v>20249404</v>
      </c>
      <c r="M7" s="676">
        <f t="shared" si="11"/>
        <v>34978885</v>
      </c>
      <c r="N7" s="672">
        <f t="shared" si="12"/>
        <v>12530</v>
      </c>
      <c r="O7" s="268">
        <f t="shared" si="13"/>
        <v>45401.708622685182</v>
      </c>
      <c r="P7" s="282">
        <v>6</v>
      </c>
      <c r="Q7" s="260"/>
      <c r="R7" s="612"/>
      <c r="S7" s="602"/>
      <c r="T7" s="461"/>
      <c r="U7" s="646"/>
      <c r="V7" s="295"/>
      <c r="W7" s="492"/>
      <c r="X7" s="629"/>
      <c r="Y7" s="624">
        <f>IFERROR(INT($Z6/($D7*(1+$V$1)/100)),0)</f>
        <v>175</v>
      </c>
      <c r="Z7" s="578">
        <f>IFERROR($D7/100*INT($Y7),"")</f>
        <v>100.53750000000001</v>
      </c>
      <c r="AA7" s="832"/>
      <c r="AD7" s="49" t="s">
        <v>324</v>
      </c>
      <c r="AE7" s="293">
        <v>45407</v>
      </c>
      <c r="AF7" s="48">
        <v>49520401.969999999</v>
      </c>
      <c r="AG7" s="52">
        <v>0.61719999999999997</v>
      </c>
      <c r="AH7" s="52">
        <v>0.66</v>
      </c>
      <c r="AI7" s="48">
        <v>99259990.560000002</v>
      </c>
      <c r="AJ7" s="290">
        <v>0.61719999999999997</v>
      </c>
      <c r="AK7" s="48">
        <v>447799538</v>
      </c>
    </row>
    <row r="8" spans="1:42" hidden="1">
      <c r="A8" s="313" t="s">
        <v>2</v>
      </c>
      <c r="B8" s="686">
        <f t="shared" si="0"/>
        <v>286</v>
      </c>
      <c r="C8" s="302">
        <f t="shared" si="1"/>
        <v>58930</v>
      </c>
      <c r="D8" s="300">
        <f t="shared" si="2"/>
        <v>58940</v>
      </c>
      <c r="E8" s="692">
        <f t="shared" si="3"/>
        <v>22641</v>
      </c>
      <c r="F8" s="513">
        <f t="shared" si="4"/>
        <v>58940</v>
      </c>
      <c r="G8" s="304">
        <f t="shared" si="5"/>
        <v>-4.6999999999999993E-3</v>
      </c>
      <c r="H8" s="234">
        <f t="shared" si="6"/>
        <v>59310</v>
      </c>
      <c r="I8" s="225">
        <f t="shared" si="7"/>
        <v>59590</v>
      </c>
      <c r="J8" s="277">
        <f t="shared" si="8"/>
        <v>58800</v>
      </c>
      <c r="K8" s="229">
        <f t="shared" si="9"/>
        <v>59220</v>
      </c>
      <c r="L8" s="256">
        <f t="shared" si="10"/>
        <v>59497560616</v>
      </c>
      <c r="M8" s="675">
        <f t="shared" si="11"/>
        <v>100553501</v>
      </c>
      <c r="N8" s="669">
        <f t="shared" si="12"/>
        <v>22244</v>
      </c>
      <c r="O8" s="269">
        <f t="shared" si="13"/>
        <v>45401.708587962959</v>
      </c>
      <c r="P8" s="283">
        <v>7</v>
      </c>
      <c r="Q8" s="497"/>
      <c r="R8" s="615"/>
      <c r="S8" s="605"/>
      <c r="T8" s="464"/>
      <c r="U8" s="645"/>
      <c r="V8" s="294"/>
      <c r="W8" s="506"/>
      <c r="X8" s="631"/>
      <c r="Y8" s="625">
        <f t="shared" si="14"/>
        <v>175</v>
      </c>
      <c r="Z8" s="577">
        <f>IFERROR($C8*(1-$V$1)/100*INT($Y8),"")</f>
        <v>103127.49999999999</v>
      </c>
      <c r="AA8" s="828">
        <f>IFERROR($Z8-$Z9,"")</f>
        <v>285.09999999997672</v>
      </c>
      <c r="AD8" s="286" t="s">
        <v>325</v>
      </c>
      <c r="AE8" s="293">
        <v>45408</v>
      </c>
      <c r="AF8" s="284">
        <v>299176866.41000003</v>
      </c>
      <c r="AG8" s="285">
        <v>0.62109999999999999</v>
      </c>
      <c r="AH8" s="285">
        <v>0.64900000000000002</v>
      </c>
      <c r="AI8" s="284">
        <v>407405</v>
      </c>
      <c r="AJ8" s="289">
        <v>0.62109999999999999</v>
      </c>
      <c r="AK8" s="284">
        <v>50911789438</v>
      </c>
    </row>
    <row r="9" spans="1:42" ht="12.75" hidden="1" customHeight="1">
      <c r="A9" s="555" t="s">
        <v>536</v>
      </c>
      <c r="B9" s="689">
        <f t="shared" si="0"/>
        <v>517</v>
      </c>
      <c r="C9" s="531">
        <f t="shared" si="1"/>
        <v>46940</v>
      </c>
      <c r="D9" s="556">
        <f t="shared" si="2"/>
        <v>46960</v>
      </c>
      <c r="E9" s="694">
        <f t="shared" si="3"/>
        <v>5956</v>
      </c>
      <c r="F9" s="557">
        <f t="shared" si="4"/>
        <v>46960</v>
      </c>
      <c r="G9" s="558">
        <f t="shared" si="5"/>
        <v>-2.0000000000000001E-4</v>
      </c>
      <c r="H9" s="533">
        <f t="shared" si="6"/>
        <v>46990</v>
      </c>
      <c r="I9" s="534">
        <f t="shared" si="7"/>
        <v>47300</v>
      </c>
      <c r="J9" s="535">
        <f t="shared" si="8"/>
        <v>46160</v>
      </c>
      <c r="K9" s="536">
        <f t="shared" si="9"/>
        <v>46970</v>
      </c>
      <c r="L9" s="537">
        <f t="shared" si="10"/>
        <v>283545541</v>
      </c>
      <c r="M9" s="677">
        <f t="shared" si="11"/>
        <v>603117</v>
      </c>
      <c r="N9" s="678">
        <f t="shared" si="12"/>
        <v>397</v>
      </c>
      <c r="O9" s="559">
        <f t="shared" si="13"/>
        <v>45401.708587962959</v>
      </c>
      <c r="P9" s="545">
        <v>8</v>
      </c>
      <c r="Q9" s="560"/>
      <c r="R9" s="616"/>
      <c r="S9" s="606"/>
      <c r="T9" s="541"/>
      <c r="U9" s="647"/>
      <c r="V9" s="482"/>
      <c r="W9" s="542"/>
      <c r="X9" s="632"/>
      <c r="Y9" s="641">
        <f>IFERROR($Z8/($D9*(1+$V$1)/100),0)</f>
        <v>219.60711243611581</v>
      </c>
      <c r="Z9" s="579">
        <f>IFERROR($D9/100*INT($Y9),"")</f>
        <v>102842.40000000001</v>
      </c>
      <c r="AA9" s="833"/>
      <c r="AD9" s="49" t="s">
        <v>602</v>
      </c>
      <c r="AE9" s="293">
        <v>45409</v>
      </c>
      <c r="AF9" s="287"/>
      <c r="AG9" s="288"/>
      <c r="AH9" s="288"/>
      <c r="AI9" s="287"/>
      <c r="AJ9" s="291"/>
      <c r="AK9" s="287"/>
    </row>
    <row r="10" spans="1:42" ht="12.75" hidden="1" customHeight="1">
      <c r="A10" s="521" t="s">
        <v>555</v>
      </c>
      <c r="B10" s="686">
        <f t="shared" si="0"/>
        <v>2436</v>
      </c>
      <c r="C10" s="302">
        <f t="shared" si="1"/>
        <v>61.57</v>
      </c>
      <c r="D10" s="248">
        <f t="shared" si="2"/>
        <v>63.14</v>
      </c>
      <c r="E10" s="690">
        <f t="shared" si="3"/>
        <v>2007</v>
      </c>
      <c r="F10" s="513">
        <f t="shared" si="4"/>
        <v>62.43</v>
      </c>
      <c r="G10" s="304">
        <f t="shared" si="5"/>
        <v>-9.0000000000000011E-3</v>
      </c>
      <c r="H10" s="234">
        <f t="shared" si="6"/>
        <v>63</v>
      </c>
      <c r="I10" s="225">
        <f t="shared" si="7"/>
        <v>63.33</v>
      </c>
      <c r="J10" s="277">
        <f t="shared" si="8"/>
        <v>61.4</v>
      </c>
      <c r="K10" s="229">
        <f t="shared" si="9"/>
        <v>63</v>
      </c>
      <c r="L10" s="256">
        <f t="shared" si="10"/>
        <v>18672</v>
      </c>
      <c r="M10" s="675">
        <f t="shared" si="11"/>
        <v>29896</v>
      </c>
      <c r="N10" s="669">
        <f t="shared" si="12"/>
        <v>21</v>
      </c>
      <c r="O10" s="269">
        <f t="shared" si="13"/>
        <v>45401.647905092592</v>
      </c>
      <c r="P10" s="283">
        <v>9</v>
      </c>
      <c r="Q10" s="497"/>
      <c r="R10" s="615"/>
      <c r="S10" s="605"/>
      <c r="T10" s="464"/>
      <c r="U10" s="648"/>
      <c r="V10" s="294"/>
      <c r="W10" s="493"/>
      <c r="X10" s="630"/>
      <c r="Y10" s="626">
        <f>IFERROR(IF($Y$1&lt;&gt;"",INT($Y$1/(D13/100)),100),100)</f>
        <v>162</v>
      </c>
      <c r="Z10" s="580">
        <f>IFERROR($C10*(1-$V$1)/100*$Y10,"")</f>
        <v>99.743400000000008</v>
      </c>
      <c r="AA10" s="831">
        <f>IFERROR($Z10-$Z11,"")</f>
        <v>0.27740000000000009</v>
      </c>
      <c r="AB10" s="224"/>
      <c r="AD10" s="49" t="s">
        <v>603</v>
      </c>
      <c r="AE10" s="293">
        <v>45410</v>
      </c>
      <c r="AF10" s="287"/>
      <c r="AG10" s="288"/>
      <c r="AH10" s="288"/>
      <c r="AI10" s="287"/>
      <c r="AJ10" s="291"/>
      <c r="AK10" s="287"/>
    </row>
    <row r="11" spans="1:42" ht="12.75" hidden="1" customHeight="1">
      <c r="A11" s="314" t="s">
        <v>18</v>
      </c>
      <c r="B11" s="687">
        <f t="shared" si="0"/>
        <v>500</v>
      </c>
      <c r="C11" s="301">
        <f t="shared" si="1"/>
        <v>60.5</v>
      </c>
      <c r="D11" s="303">
        <f t="shared" si="2"/>
        <v>60.65</v>
      </c>
      <c r="E11" s="691">
        <f t="shared" si="3"/>
        <v>12147</v>
      </c>
      <c r="F11" s="514">
        <f t="shared" si="4"/>
        <v>60.65</v>
      </c>
      <c r="G11" s="305">
        <f t="shared" si="5"/>
        <v>9.300000000000001E-3</v>
      </c>
      <c r="H11" s="235">
        <f t="shared" si="6"/>
        <v>60.25</v>
      </c>
      <c r="I11" s="226">
        <f t="shared" si="7"/>
        <v>60.99</v>
      </c>
      <c r="J11" s="276">
        <f t="shared" si="8"/>
        <v>59.86</v>
      </c>
      <c r="K11" s="230">
        <f t="shared" si="9"/>
        <v>60.09</v>
      </c>
      <c r="L11" s="233">
        <f t="shared" si="10"/>
        <v>1762516</v>
      </c>
      <c r="M11" s="671">
        <f t="shared" si="11"/>
        <v>2919733</v>
      </c>
      <c r="N11" s="672">
        <f t="shared" si="12"/>
        <v>1818</v>
      </c>
      <c r="O11" s="268">
        <f t="shared" si="13"/>
        <v>45401.68309027778</v>
      </c>
      <c r="P11" s="282">
        <v>10</v>
      </c>
      <c r="Q11" s="260"/>
      <c r="R11" s="612"/>
      <c r="S11" s="602"/>
      <c r="T11" s="461"/>
      <c r="U11" s="646"/>
      <c r="V11" s="295"/>
      <c r="W11" s="492"/>
      <c r="X11" s="629"/>
      <c r="Y11" s="624">
        <f>IFERROR(INT($Z10/($D11*(1+$V$1)/100)),0)</f>
        <v>164</v>
      </c>
      <c r="Z11" s="578">
        <f>IFERROR($D11/100*INT($Y11),"")</f>
        <v>99.466000000000008</v>
      </c>
      <c r="AA11" s="832"/>
      <c r="AD11" s="49" t="s">
        <v>604</v>
      </c>
      <c r="AE11" s="293">
        <v>45411</v>
      </c>
      <c r="AF11" s="287">
        <v>46660970.920000002</v>
      </c>
      <c r="AG11" s="288">
        <v>0.61020000000000008</v>
      </c>
      <c r="AH11" s="288">
        <v>0.63219999999999998</v>
      </c>
      <c r="AI11" s="287">
        <v>51101.5</v>
      </c>
      <c r="AJ11" s="291">
        <v>0.61020000000000008</v>
      </c>
      <c r="AK11" s="287">
        <v>271455099</v>
      </c>
    </row>
    <row r="12" spans="1:42" ht="12.75" hidden="1" customHeight="1">
      <c r="A12" s="313" t="s">
        <v>16</v>
      </c>
      <c r="B12" s="686">
        <f t="shared" si="0"/>
        <v>477</v>
      </c>
      <c r="C12" s="302">
        <f t="shared" si="1"/>
        <v>61300</v>
      </c>
      <c r="D12" s="300">
        <f t="shared" si="2"/>
        <v>61310</v>
      </c>
      <c r="E12" s="692">
        <f t="shared" si="3"/>
        <v>4160</v>
      </c>
      <c r="F12" s="513">
        <f t="shared" si="4"/>
        <v>61310</v>
      </c>
      <c r="G12" s="304">
        <f t="shared" si="5"/>
        <v>1.7000000000000001E-3</v>
      </c>
      <c r="H12" s="234">
        <f t="shared" si="6"/>
        <v>62000</v>
      </c>
      <c r="I12" s="225">
        <f t="shared" si="7"/>
        <v>62000</v>
      </c>
      <c r="J12" s="277">
        <f t="shared" si="8"/>
        <v>60750</v>
      </c>
      <c r="K12" s="229">
        <f t="shared" si="9"/>
        <v>61200</v>
      </c>
      <c r="L12" s="256">
        <f t="shared" si="10"/>
        <v>3959958444</v>
      </c>
      <c r="M12" s="675">
        <f t="shared" si="11"/>
        <v>6459939</v>
      </c>
      <c r="N12" s="669">
        <f t="shared" si="12"/>
        <v>2877</v>
      </c>
      <c r="O12" s="269">
        <f t="shared" si="13"/>
        <v>45401.687800925924</v>
      </c>
      <c r="P12" s="283">
        <v>11</v>
      </c>
      <c r="Q12" s="497"/>
      <c r="R12" s="615"/>
      <c r="S12" s="605"/>
      <c r="T12" s="464"/>
      <c r="U12" s="645"/>
      <c r="V12" s="294"/>
      <c r="W12" s="493"/>
      <c r="X12" s="630"/>
      <c r="Y12" s="625">
        <f t="shared" si="14"/>
        <v>164</v>
      </c>
      <c r="Z12" s="577">
        <f>IFERROR($C12*(1-$V$1)/100*INT($Y12),"")</f>
        <v>100532</v>
      </c>
      <c r="AA12" s="828">
        <f>IFERROR($Z12-$Z13,"")</f>
        <v>203</v>
      </c>
    </row>
    <row r="13" spans="1:42" ht="12.75" hidden="1" customHeight="1">
      <c r="A13" s="520" t="s">
        <v>553</v>
      </c>
      <c r="B13" s="688">
        <f t="shared" si="0"/>
        <v>320</v>
      </c>
      <c r="C13" s="309">
        <f t="shared" si="1"/>
        <v>62500</v>
      </c>
      <c r="D13" s="310">
        <f t="shared" si="2"/>
        <v>63100</v>
      </c>
      <c r="E13" s="693">
        <f t="shared" si="3"/>
        <v>3730</v>
      </c>
      <c r="F13" s="515">
        <f t="shared" si="4"/>
        <v>62600</v>
      </c>
      <c r="G13" s="311">
        <f t="shared" si="5"/>
        <v>-4.4000000000000003E-3</v>
      </c>
      <c r="H13" s="250">
        <f t="shared" si="6"/>
        <v>62690</v>
      </c>
      <c r="I13" s="251">
        <f t="shared" si="7"/>
        <v>63250</v>
      </c>
      <c r="J13" s="280">
        <f t="shared" si="8"/>
        <v>62200</v>
      </c>
      <c r="K13" s="252">
        <f t="shared" si="9"/>
        <v>62880</v>
      </c>
      <c r="L13" s="254">
        <f t="shared" si="10"/>
        <v>36473378</v>
      </c>
      <c r="M13" s="673">
        <f t="shared" si="11"/>
        <v>58053</v>
      </c>
      <c r="N13" s="679">
        <f t="shared" si="12"/>
        <v>107</v>
      </c>
      <c r="O13" s="312">
        <f t="shared" si="13"/>
        <v>45401.68236111111</v>
      </c>
      <c r="P13" s="282">
        <v>12</v>
      </c>
      <c r="Q13" s="508"/>
      <c r="R13" s="617"/>
      <c r="S13" s="604"/>
      <c r="T13" s="466"/>
      <c r="U13" s="646"/>
      <c r="V13" s="295"/>
      <c r="W13" s="492"/>
      <c r="X13" s="629"/>
      <c r="Y13" s="640">
        <f>IFERROR($Z12/($D13*(1+$V$1)/100),0)</f>
        <v>159.32171156893818</v>
      </c>
      <c r="Z13" s="578">
        <f>IFERROR($D13/100*INT($Y13),"")</f>
        <v>100329</v>
      </c>
      <c r="AA13" s="832"/>
    </row>
    <row r="14" spans="1:42" ht="12.75" hidden="1" customHeight="1">
      <c r="A14" s="521" t="s">
        <v>540</v>
      </c>
      <c r="B14" s="686">
        <f t="shared" si="0"/>
        <v>321</v>
      </c>
      <c r="C14" s="302">
        <f t="shared" si="1"/>
        <v>46.14</v>
      </c>
      <c r="D14" s="248">
        <f t="shared" si="2"/>
        <v>46.15</v>
      </c>
      <c r="E14" s="690">
        <f t="shared" si="3"/>
        <v>6598</v>
      </c>
      <c r="F14" s="513">
        <f t="shared" si="4"/>
        <v>46.15</v>
      </c>
      <c r="G14" s="304">
        <f t="shared" si="5"/>
        <v>3.2000000000000002E-3</v>
      </c>
      <c r="H14" s="236">
        <f t="shared" si="6"/>
        <v>46.899000000000001</v>
      </c>
      <c r="I14" s="228">
        <f t="shared" si="7"/>
        <v>46.9</v>
      </c>
      <c r="J14" s="278">
        <f t="shared" si="8"/>
        <v>44.32</v>
      </c>
      <c r="K14" s="232">
        <f t="shared" si="9"/>
        <v>46</v>
      </c>
      <c r="L14" s="249">
        <f t="shared" si="10"/>
        <v>146120</v>
      </c>
      <c r="M14" s="670">
        <f t="shared" si="11"/>
        <v>316887</v>
      </c>
      <c r="N14" s="667">
        <f t="shared" si="12"/>
        <v>92</v>
      </c>
      <c r="O14" s="270">
        <f t="shared" si="13"/>
        <v>45401.708414351851</v>
      </c>
      <c r="P14" s="283">
        <v>13</v>
      </c>
      <c r="Q14" s="262"/>
      <c r="R14" s="613"/>
      <c r="S14" s="603"/>
      <c r="T14" s="460"/>
      <c r="U14" s="645"/>
      <c r="V14" s="294"/>
      <c r="W14" s="493"/>
      <c r="X14" s="630"/>
      <c r="Y14" s="626">
        <v>100</v>
      </c>
      <c r="Z14" s="580">
        <f>IFERROR($C14*(1-$V$1)/100*$Y14,"")</f>
        <v>46.14</v>
      </c>
      <c r="AA14" s="831">
        <f>IFERROR($Z14-$Z15,"")</f>
        <v>0.23600000000000421</v>
      </c>
      <c r="AN14" s="47"/>
      <c r="AO14" s="47"/>
      <c r="AP14" s="47"/>
    </row>
    <row r="15" spans="1:42" ht="12.75" hidden="1" customHeight="1">
      <c r="A15" s="314" t="s">
        <v>7</v>
      </c>
      <c r="B15" s="687">
        <f t="shared" si="0"/>
        <v>1017</v>
      </c>
      <c r="C15" s="301">
        <f t="shared" si="1"/>
        <v>60.31</v>
      </c>
      <c r="D15" s="303">
        <f t="shared" si="2"/>
        <v>60.4</v>
      </c>
      <c r="E15" s="691">
        <f t="shared" si="3"/>
        <v>640</v>
      </c>
      <c r="F15" s="514">
        <f t="shared" si="4"/>
        <v>60.31</v>
      </c>
      <c r="G15" s="305">
        <f t="shared" si="5"/>
        <v>-1.2999999999999999E-3</v>
      </c>
      <c r="H15" s="239">
        <f t="shared" si="6"/>
        <v>60.44</v>
      </c>
      <c r="I15" s="240">
        <f t="shared" si="7"/>
        <v>60.99</v>
      </c>
      <c r="J15" s="279">
        <f t="shared" si="8"/>
        <v>59.9</v>
      </c>
      <c r="K15" s="241">
        <f t="shared" si="9"/>
        <v>60.39</v>
      </c>
      <c r="L15" s="259">
        <f t="shared" si="10"/>
        <v>956231</v>
      </c>
      <c r="M15" s="680">
        <f t="shared" si="11"/>
        <v>1584097</v>
      </c>
      <c r="N15" s="681">
        <f t="shared" si="12"/>
        <v>795</v>
      </c>
      <c r="O15" s="271">
        <f t="shared" si="13"/>
        <v>45401.705891203703</v>
      </c>
      <c r="P15" s="282">
        <v>14</v>
      </c>
      <c r="Q15" s="509"/>
      <c r="R15" s="618"/>
      <c r="S15" s="607"/>
      <c r="T15" s="465"/>
      <c r="U15" s="646"/>
      <c r="V15" s="295"/>
      <c r="W15" s="492"/>
      <c r="X15" s="629"/>
      <c r="Y15" s="624">
        <f>IFERROR(INT($Z14/($D15*(1+$V$1)/100)),0)</f>
        <v>76</v>
      </c>
      <c r="Z15" s="578">
        <f>IFERROR($D15/100*INT($Y15),"")</f>
        <v>45.903999999999996</v>
      </c>
      <c r="AA15" s="832"/>
    </row>
    <row r="16" spans="1:42" ht="12.75" hidden="1" customHeight="1">
      <c r="A16" s="313" t="s">
        <v>5</v>
      </c>
      <c r="B16" s="686">
        <f t="shared" si="0"/>
        <v>595</v>
      </c>
      <c r="C16" s="302">
        <f t="shared" si="1"/>
        <v>61870</v>
      </c>
      <c r="D16" s="300">
        <f t="shared" si="2"/>
        <v>61940</v>
      </c>
      <c r="E16" s="692">
        <f t="shared" si="3"/>
        <v>2545</v>
      </c>
      <c r="F16" s="513">
        <f t="shared" si="4"/>
        <v>61940</v>
      </c>
      <c r="G16" s="304">
        <f t="shared" si="5"/>
        <v>1.04E-2</v>
      </c>
      <c r="H16" s="234">
        <f t="shared" si="6"/>
        <v>62490</v>
      </c>
      <c r="I16" s="225">
        <f t="shared" si="7"/>
        <v>62490</v>
      </c>
      <c r="J16" s="225">
        <f t="shared" si="8"/>
        <v>61160</v>
      </c>
      <c r="K16" s="229">
        <f t="shared" si="9"/>
        <v>61300</v>
      </c>
      <c r="L16" s="256">
        <f t="shared" si="10"/>
        <v>19963135257</v>
      </c>
      <c r="M16" s="675">
        <f t="shared" si="11"/>
        <v>32318366</v>
      </c>
      <c r="N16" s="669">
        <f t="shared" si="12"/>
        <v>4057</v>
      </c>
      <c r="O16" s="269">
        <f t="shared" si="13"/>
        <v>45401.708472222221</v>
      </c>
      <c r="P16" s="283">
        <v>15</v>
      </c>
      <c r="Q16" s="510"/>
      <c r="R16" s="615"/>
      <c r="S16" s="605"/>
      <c r="T16" s="464"/>
      <c r="U16" s="645"/>
      <c r="V16" s="294"/>
      <c r="W16" s="506"/>
      <c r="X16" s="631"/>
      <c r="Y16" s="625">
        <f t="shared" ref="Y16" si="15">Y15</f>
        <v>76</v>
      </c>
      <c r="Z16" s="577">
        <f>IFERROR($C16*(1-$V$1)/100*INT($Y16),"")</f>
        <v>47021.200000000004</v>
      </c>
      <c r="AA16" s="828">
        <f>IFERROR($Z16-$Z17,"")</f>
        <v>61.200000000004366</v>
      </c>
    </row>
    <row r="17" spans="1:41" ht="12.75" hidden="1" customHeight="1">
      <c r="A17" s="555" t="s">
        <v>536</v>
      </c>
      <c r="B17" s="689">
        <f t="shared" si="0"/>
        <v>517</v>
      </c>
      <c r="C17" s="531">
        <f t="shared" si="1"/>
        <v>46940</v>
      </c>
      <c r="D17" s="556">
        <f t="shared" si="2"/>
        <v>46960</v>
      </c>
      <c r="E17" s="694">
        <f t="shared" si="3"/>
        <v>5956</v>
      </c>
      <c r="F17" s="557">
        <f t="shared" si="4"/>
        <v>46960</v>
      </c>
      <c r="G17" s="558">
        <f t="shared" si="5"/>
        <v>-2.0000000000000001E-4</v>
      </c>
      <c r="H17" s="533">
        <f t="shared" si="6"/>
        <v>46990</v>
      </c>
      <c r="I17" s="534">
        <f t="shared" si="7"/>
        <v>47300</v>
      </c>
      <c r="J17" s="535">
        <f t="shared" si="8"/>
        <v>46160</v>
      </c>
      <c r="K17" s="536">
        <f t="shared" si="9"/>
        <v>46970</v>
      </c>
      <c r="L17" s="537">
        <f t="shared" si="10"/>
        <v>283545541</v>
      </c>
      <c r="M17" s="677">
        <f t="shared" si="11"/>
        <v>603117</v>
      </c>
      <c r="N17" s="678">
        <f t="shared" si="12"/>
        <v>397</v>
      </c>
      <c r="O17" s="559">
        <f t="shared" si="13"/>
        <v>45401.708587962959</v>
      </c>
      <c r="P17" s="545">
        <v>16</v>
      </c>
      <c r="Q17" s="560"/>
      <c r="R17" s="616"/>
      <c r="S17" s="606"/>
      <c r="T17" s="541"/>
      <c r="U17" s="646"/>
      <c r="V17" s="295"/>
      <c r="W17" s="542"/>
      <c r="X17" s="632"/>
      <c r="Y17" s="641">
        <f>IFERROR($Z16/($D17*(1+$V$1)/100),0)</f>
        <v>100.13032367972743</v>
      </c>
      <c r="Z17" s="579">
        <f>IFERROR($D17/100*INT($Y17),"")</f>
        <v>46960</v>
      </c>
      <c r="AA17" s="833"/>
      <c r="AO17" s="374"/>
    </row>
    <row r="18" spans="1:41" ht="12.75" hidden="1" customHeight="1">
      <c r="A18" s="521" t="s">
        <v>555</v>
      </c>
      <c r="B18" s="686">
        <f t="shared" si="0"/>
        <v>2436</v>
      </c>
      <c r="C18" s="302">
        <f t="shared" si="1"/>
        <v>61.57</v>
      </c>
      <c r="D18" s="248">
        <f t="shared" si="2"/>
        <v>63.14</v>
      </c>
      <c r="E18" s="690">
        <f t="shared" si="3"/>
        <v>2007</v>
      </c>
      <c r="F18" s="516">
        <f t="shared" si="4"/>
        <v>62.43</v>
      </c>
      <c r="G18" s="315">
        <f t="shared" si="5"/>
        <v>-9.0000000000000011E-3</v>
      </c>
      <c r="H18" s="316">
        <f t="shared" si="6"/>
        <v>63</v>
      </c>
      <c r="I18" s="317">
        <f t="shared" si="7"/>
        <v>63.33</v>
      </c>
      <c r="J18" s="318">
        <f t="shared" si="8"/>
        <v>61.4</v>
      </c>
      <c r="K18" s="319">
        <f t="shared" si="9"/>
        <v>63</v>
      </c>
      <c r="L18" s="320">
        <f t="shared" si="10"/>
        <v>18672</v>
      </c>
      <c r="M18" s="682">
        <f t="shared" si="11"/>
        <v>29896</v>
      </c>
      <c r="N18" s="667">
        <f t="shared" si="12"/>
        <v>21</v>
      </c>
      <c r="O18" s="270"/>
      <c r="P18" s="283">
        <v>17</v>
      </c>
      <c r="Q18" s="262"/>
      <c r="R18" s="619"/>
      <c r="S18" s="603"/>
      <c r="T18" s="460"/>
      <c r="U18" s="648"/>
      <c r="V18" s="294"/>
      <c r="W18" s="493"/>
      <c r="X18" s="630"/>
      <c r="Y18" s="626">
        <v>101</v>
      </c>
      <c r="Z18" s="580">
        <f>IFERROR($C18*(1-$V$1)/100*$Y18,"")</f>
        <v>62.185700000000004</v>
      </c>
      <c r="AA18" s="831">
        <f>IFERROR($Z18-$Z19,"")</f>
        <v>0.46810000000000684</v>
      </c>
    </row>
    <row r="19" spans="1:41" ht="12.75" hidden="1" customHeight="1">
      <c r="A19" s="314" t="s">
        <v>14</v>
      </c>
      <c r="B19" s="687">
        <f t="shared" si="0"/>
        <v>14</v>
      </c>
      <c r="C19" s="301">
        <f t="shared" si="1"/>
        <v>57.6</v>
      </c>
      <c r="D19" s="303">
        <f t="shared" si="2"/>
        <v>57.68</v>
      </c>
      <c r="E19" s="691">
        <f t="shared" si="3"/>
        <v>1000</v>
      </c>
      <c r="F19" s="517">
        <f t="shared" si="4"/>
        <v>57.62</v>
      </c>
      <c r="G19" s="321">
        <f t="shared" si="5"/>
        <v>-4.7999999999999996E-3</v>
      </c>
      <c r="H19" s="322">
        <f t="shared" si="6"/>
        <v>57.95</v>
      </c>
      <c r="I19" s="323">
        <f t="shared" si="7"/>
        <v>58.38</v>
      </c>
      <c r="J19" s="324">
        <f t="shared" si="8"/>
        <v>57.55</v>
      </c>
      <c r="K19" s="325">
        <f t="shared" si="9"/>
        <v>57.9</v>
      </c>
      <c r="L19" s="326">
        <f t="shared" si="10"/>
        <v>67571040</v>
      </c>
      <c r="M19" s="683">
        <f t="shared" si="11"/>
        <v>116705850</v>
      </c>
      <c r="N19" s="681">
        <f t="shared" ref="N19:N29" si="16">IF($A19&lt;&gt;"",VLOOKUP($A19,$A$60:$N$201,14,0),"")</f>
        <v>50041</v>
      </c>
      <c r="O19" s="271">
        <f t="shared" ref="O19:O29" si="17">IF($A19&lt;&gt;"",VLOOKUP($A19,$A$60:$O$201,15,0),"")</f>
        <v>45401.687777777777</v>
      </c>
      <c r="P19" s="282">
        <v>18</v>
      </c>
      <c r="Q19" s="509"/>
      <c r="R19" s="618"/>
      <c r="S19" s="607"/>
      <c r="T19" s="465"/>
      <c r="U19" s="647"/>
      <c r="V19" s="295"/>
      <c r="W19" s="492"/>
      <c r="X19" s="629"/>
      <c r="Y19" s="624">
        <f>IFERROR(INT($Z18/($D19*(1+$V$1)/100)),0)</f>
        <v>107</v>
      </c>
      <c r="Z19" s="578">
        <f>IFERROR($D19/100*INT($Y19),"")</f>
        <v>61.717599999999997</v>
      </c>
      <c r="AA19" s="832"/>
    </row>
    <row r="20" spans="1:41" ht="12.75" hidden="1" customHeight="1">
      <c r="A20" s="313" t="s">
        <v>15</v>
      </c>
      <c r="B20" s="686">
        <f t="shared" si="0"/>
        <v>500000</v>
      </c>
      <c r="C20" s="302">
        <f t="shared" si="1"/>
        <v>55.25</v>
      </c>
      <c r="D20" s="300">
        <f t="shared" si="2"/>
        <v>55.5</v>
      </c>
      <c r="E20" s="692">
        <f t="shared" si="3"/>
        <v>94876</v>
      </c>
      <c r="F20" s="516">
        <f t="shared" si="4"/>
        <v>54</v>
      </c>
      <c r="G20" s="315">
        <f t="shared" si="5"/>
        <v>-2.9600000000000001E-2</v>
      </c>
      <c r="H20" s="327">
        <f t="shared" si="6"/>
        <v>55.95</v>
      </c>
      <c r="I20" s="328">
        <f t="shared" si="7"/>
        <v>56</v>
      </c>
      <c r="J20" s="329">
        <f t="shared" si="8"/>
        <v>54</v>
      </c>
      <c r="K20" s="330">
        <f t="shared" si="9"/>
        <v>55.65</v>
      </c>
      <c r="L20" s="331">
        <f t="shared" si="10"/>
        <v>22613325</v>
      </c>
      <c r="M20" s="684">
        <f t="shared" si="11"/>
        <v>40676528</v>
      </c>
      <c r="N20" s="669">
        <f t="shared" si="16"/>
        <v>6841</v>
      </c>
      <c r="O20" s="269">
        <f t="shared" si="17"/>
        <v>45401.685266203705</v>
      </c>
      <c r="P20" s="283">
        <v>19</v>
      </c>
      <c r="Q20" s="510"/>
      <c r="R20" s="615"/>
      <c r="S20" s="605"/>
      <c r="T20" s="464"/>
      <c r="U20" s="648"/>
      <c r="V20" s="294"/>
      <c r="W20" s="506"/>
      <c r="X20" s="630"/>
      <c r="Y20" s="625">
        <f t="shared" ref="Y20" si="18">Y19</f>
        <v>107</v>
      </c>
      <c r="Z20" s="577">
        <f>IFERROR($C20*(1-$V$1)/100*INT($Y20),"")</f>
        <v>59.1175</v>
      </c>
      <c r="AA20" s="828">
        <f>IFERROR($Z20-$Z21,"")</f>
        <v>59.1175</v>
      </c>
    </row>
    <row r="21" spans="1:41" ht="12.75" hidden="1" customHeight="1">
      <c r="A21" s="520" t="s">
        <v>554</v>
      </c>
      <c r="B21" s="688">
        <f t="shared" si="0"/>
        <v>0</v>
      </c>
      <c r="C21" s="309">
        <f t="shared" si="1"/>
        <v>0</v>
      </c>
      <c r="D21" s="310">
        <f t="shared" si="2"/>
        <v>0</v>
      </c>
      <c r="E21" s="693">
        <f t="shared" si="3"/>
        <v>0</v>
      </c>
      <c r="F21" s="649">
        <f t="shared" si="4"/>
        <v>0</v>
      </c>
      <c r="G21" s="650">
        <f t="shared" si="5"/>
        <v>0</v>
      </c>
      <c r="H21" s="651">
        <f t="shared" si="6"/>
        <v>0</v>
      </c>
      <c r="I21" s="652">
        <f t="shared" si="7"/>
        <v>0</v>
      </c>
      <c r="J21" s="653">
        <f t="shared" si="8"/>
        <v>0</v>
      </c>
      <c r="K21" s="654">
        <f t="shared" si="9"/>
        <v>52</v>
      </c>
      <c r="L21" s="655">
        <f t="shared" si="10"/>
        <v>0</v>
      </c>
      <c r="M21" s="685">
        <f t="shared" si="11"/>
        <v>0</v>
      </c>
      <c r="N21" s="679">
        <f t="shared" si="16"/>
        <v>0</v>
      </c>
      <c r="O21" s="312">
        <f t="shared" si="17"/>
        <v>0</v>
      </c>
      <c r="P21" s="656">
        <v>20</v>
      </c>
      <c r="Q21" s="508"/>
      <c r="R21" s="617"/>
      <c r="S21" s="604"/>
      <c r="T21" s="466"/>
      <c r="U21" s="646"/>
      <c r="V21" s="295"/>
      <c r="W21" s="657"/>
      <c r="X21" s="658"/>
      <c r="Y21" s="659">
        <f>IFERROR($Z20/($D21*(1+$V$1)/100),0)</f>
        <v>0</v>
      </c>
      <c r="Z21" s="660">
        <f>IFERROR($D21/100*INT($Y21),"")</f>
        <v>0</v>
      </c>
      <c r="AA21" s="838"/>
    </row>
    <row r="22" spans="1:41" ht="12.75" hidden="1" customHeight="1">
      <c r="A22" s="521" t="s">
        <v>540</v>
      </c>
      <c r="B22" s="686">
        <f t="shared" si="0"/>
        <v>321</v>
      </c>
      <c r="C22" s="302">
        <f t="shared" si="1"/>
        <v>46.14</v>
      </c>
      <c r="D22" s="248">
        <f t="shared" si="2"/>
        <v>46.15</v>
      </c>
      <c r="E22" s="690">
        <f t="shared" si="3"/>
        <v>6598</v>
      </c>
      <c r="F22" s="513">
        <f t="shared" si="4"/>
        <v>46.15</v>
      </c>
      <c r="G22" s="315">
        <f t="shared" si="5"/>
        <v>3.2000000000000002E-3</v>
      </c>
      <c r="H22" s="316">
        <f t="shared" si="6"/>
        <v>46.899000000000001</v>
      </c>
      <c r="I22" s="317">
        <f t="shared" si="7"/>
        <v>46.9</v>
      </c>
      <c r="J22" s="318">
        <f t="shared" si="8"/>
        <v>44.32</v>
      </c>
      <c r="K22" s="319">
        <f t="shared" si="9"/>
        <v>46</v>
      </c>
      <c r="L22" s="320">
        <f t="shared" si="10"/>
        <v>146120</v>
      </c>
      <c r="M22" s="662">
        <f t="shared" si="11"/>
        <v>316887</v>
      </c>
      <c r="N22" s="667">
        <f t="shared" si="16"/>
        <v>92</v>
      </c>
      <c r="O22" s="272">
        <f t="shared" si="17"/>
        <v>45401.708414351851</v>
      </c>
      <c r="P22" s="283">
        <v>21</v>
      </c>
      <c r="Q22" s="262"/>
      <c r="R22" s="619"/>
      <c r="S22" s="603"/>
      <c r="T22" s="460"/>
      <c r="U22" s="645"/>
      <c r="V22" s="294"/>
      <c r="W22" s="493"/>
      <c r="X22" s="630"/>
      <c r="Y22" s="626">
        <v>102</v>
      </c>
      <c r="Z22" s="580">
        <f>IFERROR($C22*(1-$V$1)/100*$Y22,"")</f>
        <v>47.062800000000003</v>
      </c>
      <c r="AA22" s="831">
        <f>IFERROR($Z22-$Z23,"")</f>
        <v>0.52830000000000155</v>
      </c>
    </row>
    <row r="23" spans="1:41" ht="12.75" hidden="1" customHeight="1">
      <c r="A23" s="314" t="s">
        <v>4</v>
      </c>
      <c r="B23" s="687">
        <f t="shared" si="0"/>
        <v>4583</v>
      </c>
      <c r="C23" s="301">
        <f t="shared" si="1"/>
        <v>57.4</v>
      </c>
      <c r="D23" s="303">
        <f t="shared" si="2"/>
        <v>57.45</v>
      </c>
      <c r="E23" s="691">
        <f t="shared" si="3"/>
        <v>8780</v>
      </c>
      <c r="F23" s="514">
        <f t="shared" si="4"/>
        <v>57.41</v>
      </c>
      <c r="G23" s="321">
        <f t="shared" si="5"/>
        <v>-9.300000000000001E-3</v>
      </c>
      <c r="H23" s="332">
        <f t="shared" si="6"/>
        <v>57.62</v>
      </c>
      <c r="I23" s="333">
        <f t="shared" si="7"/>
        <v>58.3</v>
      </c>
      <c r="J23" s="334">
        <f t="shared" si="8"/>
        <v>57.41</v>
      </c>
      <c r="K23" s="335">
        <f t="shared" si="9"/>
        <v>57.95</v>
      </c>
      <c r="L23" s="336">
        <f t="shared" si="10"/>
        <v>20249404</v>
      </c>
      <c r="M23" s="663">
        <f t="shared" si="11"/>
        <v>34978885</v>
      </c>
      <c r="N23" s="672">
        <f t="shared" si="16"/>
        <v>12530</v>
      </c>
      <c r="O23" s="273">
        <f t="shared" si="17"/>
        <v>45401.708622685182</v>
      </c>
      <c r="P23" s="282">
        <v>22</v>
      </c>
      <c r="Q23" s="260"/>
      <c r="R23" s="612"/>
      <c r="S23" s="602"/>
      <c r="T23" s="461"/>
      <c r="U23" s="646"/>
      <c r="V23" s="295"/>
      <c r="W23" s="492"/>
      <c r="X23" s="629"/>
      <c r="Y23" s="624">
        <f>IFERROR(INT($Z22/($D23*(1+$V$1)/100)),0)</f>
        <v>81</v>
      </c>
      <c r="Z23" s="578">
        <f>IFERROR($D23/100*INT($Y23),"")</f>
        <v>46.534500000000001</v>
      </c>
      <c r="AA23" s="832"/>
    </row>
    <row r="24" spans="1:41" ht="12.75" hidden="1" customHeight="1">
      <c r="A24" s="313" t="s">
        <v>3</v>
      </c>
      <c r="B24" s="686">
        <f t="shared" si="0"/>
        <v>100</v>
      </c>
      <c r="C24" s="302">
        <f t="shared" si="1"/>
        <v>55</v>
      </c>
      <c r="D24" s="300">
        <f t="shared" si="2"/>
        <v>55.4</v>
      </c>
      <c r="E24" s="692">
        <f t="shared" si="3"/>
        <v>31669</v>
      </c>
      <c r="F24" s="513">
        <f t="shared" si="4"/>
        <v>55.3</v>
      </c>
      <c r="G24" s="315">
        <f t="shared" si="5"/>
        <v>-8.9999999999999998E-4</v>
      </c>
      <c r="H24" s="316">
        <f t="shared" si="6"/>
        <v>55.9</v>
      </c>
      <c r="I24" s="225">
        <f t="shared" si="7"/>
        <v>55.9</v>
      </c>
      <c r="J24" s="318">
        <f t="shared" si="8"/>
        <v>55</v>
      </c>
      <c r="K24" s="319">
        <f t="shared" si="9"/>
        <v>55.35</v>
      </c>
      <c r="L24" s="320">
        <f t="shared" si="10"/>
        <v>1160322</v>
      </c>
      <c r="M24" s="664">
        <f t="shared" si="11"/>
        <v>2090449</v>
      </c>
      <c r="N24" s="667">
        <f t="shared" si="16"/>
        <v>410</v>
      </c>
      <c r="O24" s="272">
        <f t="shared" si="17"/>
        <v>45401.692118055558</v>
      </c>
      <c r="P24" s="283">
        <v>23</v>
      </c>
      <c r="Q24" s="262"/>
      <c r="R24" s="613"/>
      <c r="S24" s="603"/>
      <c r="T24" s="460"/>
      <c r="U24" s="645"/>
      <c r="V24" s="294"/>
      <c r="W24" s="506"/>
      <c r="X24" s="631"/>
      <c r="Y24" s="625">
        <f t="shared" ref="Y24" si="19">Y23</f>
        <v>81</v>
      </c>
      <c r="Z24" s="577">
        <f>IFERROR($C24*(1-$V$1)/100*INT($Y24),"")</f>
        <v>44.550000000000004</v>
      </c>
      <c r="AA24" s="828">
        <f>IFERROR($Z24-$Z25,"")</f>
        <v>44.550000000000004</v>
      </c>
    </row>
    <row r="25" spans="1:41" ht="12.75" hidden="1" customHeight="1">
      <c r="A25" s="711" t="s">
        <v>538</v>
      </c>
      <c r="B25" s="712">
        <f t="shared" si="0"/>
        <v>0</v>
      </c>
      <c r="C25" s="713">
        <f t="shared" si="1"/>
        <v>0</v>
      </c>
      <c r="D25" s="714">
        <f t="shared" si="2"/>
        <v>0</v>
      </c>
      <c r="E25" s="715">
        <f t="shared" si="3"/>
        <v>0</v>
      </c>
      <c r="F25" s="716">
        <f t="shared" si="4"/>
        <v>0</v>
      </c>
      <c r="G25" s="717">
        <f t="shared" si="5"/>
        <v>0</v>
      </c>
      <c r="H25" s="718">
        <f t="shared" si="6"/>
        <v>0</v>
      </c>
      <c r="I25" s="719">
        <f t="shared" si="7"/>
        <v>0</v>
      </c>
      <c r="J25" s="720">
        <f t="shared" si="8"/>
        <v>0</v>
      </c>
      <c r="K25" s="721">
        <f t="shared" si="9"/>
        <v>44</v>
      </c>
      <c r="L25" s="722">
        <f t="shared" si="10"/>
        <v>0</v>
      </c>
      <c r="M25" s="723">
        <f t="shared" si="11"/>
        <v>0</v>
      </c>
      <c r="N25" s="724">
        <f t="shared" si="16"/>
        <v>0</v>
      </c>
      <c r="O25" s="725">
        <f t="shared" si="17"/>
        <v>0</v>
      </c>
      <c r="P25" s="726">
        <v>24</v>
      </c>
      <c r="Q25" s="727"/>
      <c r="R25" s="728"/>
      <c r="S25" s="729"/>
      <c r="T25" s="730"/>
      <c r="U25" s="647"/>
      <c r="V25" s="482"/>
      <c r="W25" s="731"/>
      <c r="X25" s="732"/>
      <c r="Y25" s="733">
        <f>IFERROR($Z24/($D25*(1+$V$1)/100),0)</f>
        <v>0</v>
      </c>
      <c r="Z25" s="734">
        <f>IFERROR($D25/100*INT($Y25),"")</f>
        <v>0</v>
      </c>
      <c r="AA25" s="829"/>
    </row>
    <row r="26" spans="1:41" ht="12.75" hidden="1" customHeight="1">
      <c r="A26" s="824" t="s">
        <v>13</v>
      </c>
      <c r="B26" s="665">
        <f t="shared" si="0"/>
        <v>443</v>
      </c>
      <c r="C26" s="302">
        <f t="shared" si="1"/>
        <v>58580</v>
      </c>
      <c r="D26" s="302">
        <f t="shared" si="2"/>
        <v>58680</v>
      </c>
      <c r="E26" s="665">
        <f t="shared" si="3"/>
        <v>1677</v>
      </c>
      <c r="F26" s="561">
        <f t="shared" si="4"/>
        <v>58660</v>
      </c>
      <c r="G26" s="304">
        <f t="shared" si="5"/>
        <v>-5.9999999999999995E-4</v>
      </c>
      <c r="H26" s="236">
        <f t="shared" si="6"/>
        <v>59010</v>
      </c>
      <c r="I26" s="228">
        <f t="shared" si="7"/>
        <v>59220</v>
      </c>
      <c r="J26" s="278">
        <f t="shared" si="8"/>
        <v>58470</v>
      </c>
      <c r="K26" s="232">
        <f t="shared" si="9"/>
        <v>58700</v>
      </c>
      <c r="L26" s="249">
        <f t="shared" si="10"/>
        <v>80916922560</v>
      </c>
      <c r="M26" s="662">
        <f t="shared" si="11"/>
        <v>137633621</v>
      </c>
      <c r="N26" s="667">
        <f t="shared" si="16"/>
        <v>54948</v>
      </c>
      <c r="O26" s="270">
        <f t="shared" si="17"/>
        <v>45401.6875</v>
      </c>
      <c r="P26" s="283">
        <v>25</v>
      </c>
      <c r="Q26" s="262"/>
      <c r="R26" s="613"/>
      <c r="S26" s="603"/>
      <c r="T26" s="794"/>
      <c r="U26" s="488"/>
      <c r="V26" s="524"/>
      <c r="W26" s="493"/>
      <c r="X26" s="630"/>
      <c r="Y26" s="626">
        <v>10</v>
      </c>
      <c r="Z26" s="495">
        <f>IFERROR(C26/100*V26-(X26*V26),"")</f>
        <v>0</v>
      </c>
      <c r="AA26" s="581" t="str">
        <f t="shared" ref="AA26:AA29" si="20">IF(V26&lt;&gt;0,F26/100*V26,"")</f>
        <v/>
      </c>
      <c r="AB26" s="47">
        <v>4248</v>
      </c>
      <c r="AC26" s="224"/>
      <c r="AM26">
        <v>88529</v>
      </c>
    </row>
    <row r="27" spans="1:41" ht="12.75" hidden="1" customHeight="1">
      <c r="A27" s="869" t="s">
        <v>2</v>
      </c>
      <c r="B27" s="666">
        <f t="shared" si="0"/>
        <v>286</v>
      </c>
      <c r="C27" s="303">
        <f t="shared" si="1"/>
        <v>58930</v>
      </c>
      <c r="D27" s="511">
        <f t="shared" si="2"/>
        <v>58940</v>
      </c>
      <c r="E27" s="666">
        <f t="shared" si="3"/>
        <v>22641</v>
      </c>
      <c r="F27" s="562">
        <f t="shared" si="4"/>
        <v>58940</v>
      </c>
      <c r="G27" s="305">
        <f t="shared" si="5"/>
        <v>-4.6999999999999993E-3</v>
      </c>
      <c r="H27" s="473">
        <f t="shared" si="6"/>
        <v>59310</v>
      </c>
      <c r="I27" s="474">
        <f t="shared" si="7"/>
        <v>59590</v>
      </c>
      <c r="J27" s="475">
        <f t="shared" si="8"/>
        <v>58800</v>
      </c>
      <c r="K27" s="476">
        <f t="shared" si="9"/>
        <v>59220</v>
      </c>
      <c r="L27" s="477">
        <f t="shared" si="10"/>
        <v>59497560616</v>
      </c>
      <c r="M27" s="663">
        <f t="shared" si="11"/>
        <v>100553501</v>
      </c>
      <c r="N27" s="668">
        <f t="shared" si="16"/>
        <v>22244</v>
      </c>
      <c r="O27" s="478">
        <f t="shared" si="17"/>
        <v>45401.708587962959</v>
      </c>
      <c r="P27" s="282">
        <v>26</v>
      </c>
      <c r="Q27" s="496"/>
      <c r="R27" s="621"/>
      <c r="S27" s="602"/>
      <c r="T27" s="461"/>
      <c r="U27" s="489"/>
      <c r="V27" s="525"/>
      <c r="W27" s="492"/>
      <c r="X27" s="629"/>
      <c r="Y27" s="627">
        <v>10</v>
      </c>
      <c r="Z27" s="494">
        <f t="shared" ref="Z27:Z29" si="21">IFERROR(C27/100*V27-(X27*V27),"")</f>
        <v>0</v>
      </c>
      <c r="AA27" s="582" t="str">
        <f>IF(V27&lt;&gt;0,F27/100*V27,"")</f>
        <v/>
      </c>
    </row>
    <row r="28" spans="1:41" ht="12.75" hidden="1" customHeight="1">
      <c r="A28" s="824" t="s">
        <v>582</v>
      </c>
      <c r="B28" s="665">
        <f t="shared" si="0"/>
        <v>5000000</v>
      </c>
      <c r="C28" s="302">
        <f t="shared" si="1"/>
        <v>182.4</v>
      </c>
      <c r="D28" s="302">
        <f t="shared" si="2"/>
        <v>183.25</v>
      </c>
      <c r="E28" s="665">
        <f t="shared" si="3"/>
        <v>820000</v>
      </c>
      <c r="F28" s="561">
        <f t="shared" si="4"/>
        <v>182.65</v>
      </c>
      <c r="G28" s="304">
        <f t="shared" si="5"/>
        <v>-1.9E-3</v>
      </c>
      <c r="H28" s="234">
        <f t="shared" si="6"/>
        <v>183.29900000000001</v>
      </c>
      <c r="I28" s="225">
        <f t="shared" si="7"/>
        <v>183.29900000000001</v>
      </c>
      <c r="J28" s="225">
        <f t="shared" si="8"/>
        <v>182.4</v>
      </c>
      <c r="K28" s="229">
        <f t="shared" si="9"/>
        <v>183</v>
      </c>
      <c r="L28" s="256">
        <f t="shared" si="10"/>
        <v>4407236430</v>
      </c>
      <c r="M28" s="664">
        <f t="shared" si="11"/>
        <v>2409770973</v>
      </c>
      <c r="N28" s="669">
        <f t="shared" si="16"/>
        <v>1202</v>
      </c>
      <c r="O28" s="269">
        <f t="shared" si="17"/>
        <v>45401.687557870369</v>
      </c>
      <c r="P28" s="283">
        <v>27</v>
      </c>
      <c r="Q28" s="497"/>
      <c r="R28" s="615"/>
      <c r="S28" s="603"/>
      <c r="T28" s="460"/>
      <c r="U28" s="488"/>
      <c r="V28" s="524"/>
      <c r="W28" s="493"/>
      <c r="X28" s="630"/>
      <c r="Y28" s="626">
        <v>5000</v>
      </c>
      <c r="Z28" s="495">
        <f t="shared" si="21"/>
        <v>0</v>
      </c>
      <c r="AA28" s="581" t="str">
        <f t="shared" si="20"/>
        <v/>
      </c>
    </row>
    <row r="29" spans="1:41" ht="12.75" hidden="1" customHeight="1">
      <c r="A29" s="825" t="s">
        <v>596</v>
      </c>
      <c r="B29" s="736">
        <f t="shared" si="0"/>
        <v>500000</v>
      </c>
      <c r="C29" s="737">
        <f t="shared" si="1"/>
        <v>116.68</v>
      </c>
      <c r="D29" s="735">
        <f t="shared" si="2"/>
        <v>117</v>
      </c>
      <c r="E29" s="736">
        <f t="shared" si="3"/>
        <v>50000</v>
      </c>
      <c r="F29" s="738">
        <f t="shared" si="4"/>
        <v>117.685</v>
      </c>
      <c r="G29" s="739">
        <f t="shared" si="5"/>
        <v>4.0999999999999995E-3</v>
      </c>
      <c r="H29" s="740">
        <f t="shared" si="6"/>
        <v>121</v>
      </c>
      <c r="I29" s="741">
        <f t="shared" si="7"/>
        <v>121</v>
      </c>
      <c r="J29" s="742">
        <f t="shared" si="8"/>
        <v>113.61</v>
      </c>
      <c r="K29" s="743">
        <f t="shared" si="9"/>
        <v>117.2</v>
      </c>
      <c r="L29" s="744">
        <f t="shared" si="10"/>
        <v>546165382</v>
      </c>
      <c r="M29" s="723">
        <f t="shared" si="11"/>
        <v>469311727</v>
      </c>
      <c r="N29" s="724">
        <f t="shared" si="16"/>
        <v>142</v>
      </c>
      <c r="O29" s="745">
        <f t="shared" si="17"/>
        <v>45401.679814814815</v>
      </c>
      <c r="P29" s="726">
        <v>28</v>
      </c>
      <c r="Q29" s="727"/>
      <c r="R29" s="746"/>
      <c r="S29" s="729"/>
      <c r="T29" s="747"/>
      <c r="U29" s="489"/>
      <c r="V29" s="526"/>
      <c r="W29" s="731"/>
      <c r="X29" s="732"/>
      <c r="Y29" s="750">
        <v>40</v>
      </c>
      <c r="Z29" s="751">
        <f t="shared" si="21"/>
        <v>0</v>
      </c>
      <c r="AA29" s="752" t="str">
        <f t="shared" si="20"/>
        <v/>
      </c>
    </row>
    <row r="30" spans="1:41" ht="12.75" customHeight="1">
      <c r="A30" s="456" t="s">
        <v>605</v>
      </c>
      <c r="B30" s="246">
        <v>10</v>
      </c>
      <c r="C30" s="300">
        <v>419.00799999999998</v>
      </c>
      <c r="D30" s="253">
        <v>439.99900000000002</v>
      </c>
      <c r="E30" s="786">
        <v>9</v>
      </c>
      <c r="F30" s="897">
        <v>439.99900000000002</v>
      </c>
      <c r="G30" s="304">
        <v>0.14279999999999998</v>
      </c>
      <c r="H30" s="236">
        <v>440</v>
      </c>
      <c r="I30" s="228">
        <v>458</v>
      </c>
      <c r="J30" s="278">
        <v>382.834</v>
      </c>
      <c r="K30" s="232">
        <v>385</v>
      </c>
      <c r="L30" s="249">
        <v>6667888</v>
      </c>
      <c r="M30" s="249">
        <v>158</v>
      </c>
      <c r="N30" s="468">
        <v>70</v>
      </c>
      <c r="O30" s="272">
        <v>45401.698379629626</v>
      </c>
      <c r="P30" s="283">
        <v>29</v>
      </c>
      <c r="Q30" s="530"/>
      <c r="R30" s="613"/>
      <c r="S30" s="603"/>
      <c r="T30" s="460"/>
      <c r="U30" s="699"/>
      <c r="V30" s="524"/>
      <c r="W30" s="493"/>
      <c r="X30" s="795"/>
      <c r="Y30" s="748" t="str">
        <f t="shared" ref="Y30:Y44" si="22">IF(V30&gt;0,V30,"")</f>
        <v/>
      </c>
      <c r="Z30" s="749">
        <f t="shared" ref="Z30:Z39" si="23">C30*100*V30-(X30*V30)</f>
        <v>0</v>
      </c>
      <c r="AA30" s="581" t="str">
        <f>IF(V30&lt;&gt;0,F30*100*V30,"")</f>
        <v/>
      </c>
    </row>
    <row r="31" spans="1:41" ht="12.75" customHeight="1">
      <c r="A31" s="457" t="s">
        <v>606</v>
      </c>
      <c r="B31" s="566">
        <v>22</v>
      </c>
      <c r="C31" s="237">
        <v>360</v>
      </c>
      <c r="D31" s="237">
        <v>362</v>
      </c>
      <c r="E31" s="566">
        <v>20</v>
      </c>
      <c r="F31" s="898">
        <v>360</v>
      </c>
      <c r="G31" s="306">
        <v>0.1032</v>
      </c>
      <c r="H31" s="235">
        <v>270</v>
      </c>
      <c r="I31" s="226">
        <v>369</v>
      </c>
      <c r="J31" s="276">
        <v>270</v>
      </c>
      <c r="K31" s="230">
        <v>326.29399999999998</v>
      </c>
      <c r="L31" s="233">
        <v>241207240</v>
      </c>
      <c r="M31" s="233">
        <v>6941</v>
      </c>
      <c r="N31" s="469">
        <v>1138</v>
      </c>
      <c r="O31" s="273">
        <v>45401.70821759259</v>
      </c>
      <c r="P31" s="282">
        <v>30</v>
      </c>
      <c r="Q31" s="499"/>
      <c r="R31" s="612"/>
      <c r="S31" s="602"/>
      <c r="T31" s="461"/>
      <c r="U31" s="700"/>
      <c r="V31" s="525"/>
      <c r="W31" s="492"/>
      <c r="X31" s="629"/>
      <c r="Y31" s="703">
        <v>4</v>
      </c>
      <c r="Z31" s="704">
        <f t="shared" si="23"/>
        <v>0</v>
      </c>
      <c r="AA31" s="582" t="str">
        <f t="shared" ref="AA31:AA39" si="24">IF(V31&lt;&gt;0,F31*100*V31,"")</f>
        <v/>
      </c>
    </row>
    <row r="32" spans="1:41" ht="12.75" customHeight="1">
      <c r="A32" s="456" t="s">
        <v>607</v>
      </c>
      <c r="B32" s="246">
        <v>2</v>
      </c>
      <c r="C32" s="300">
        <v>267</v>
      </c>
      <c r="D32" s="253">
        <v>270</v>
      </c>
      <c r="E32" s="246">
        <v>14</v>
      </c>
      <c r="F32" s="897">
        <v>270</v>
      </c>
      <c r="G32" s="304">
        <v>0.1134</v>
      </c>
      <c r="H32" s="238">
        <v>240</v>
      </c>
      <c r="I32" s="227">
        <v>276.89999999999998</v>
      </c>
      <c r="J32" s="281">
        <v>236.01</v>
      </c>
      <c r="K32" s="231">
        <v>242.5</v>
      </c>
      <c r="L32" s="245">
        <v>45610561</v>
      </c>
      <c r="M32" s="245">
        <v>1702</v>
      </c>
      <c r="N32" s="470">
        <v>345</v>
      </c>
      <c r="O32" s="274">
        <v>45401.708124999997</v>
      </c>
      <c r="P32" s="283">
        <v>31</v>
      </c>
      <c r="Q32" s="500"/>
      <c r="R32" s="622"/>
      <c r="S32" s="608"/>
      <c r="T32" s="462"/>
      <c r="U32" s="699"/>
      <c r="V32" s="524"/>
      <c r="W32" s="498"/>
      <c r="X32" s="795"/>
      <c r="Y32" s="705" t="str">
        <f t="shared" si="22"/>
        <v/>
      </c>
      <c r="Z32" s="706">
        <f t="shared" si="23"/>
        <v>0</v>
      </c>
      <c r="AA32" s="581" t="str">
        <f t="shared" si="24"/>
        <v/>
      </c>
    </row>
    <row r="33" spans="1:27" ht="12.75" customHeight="1">
      <c r="A33" s="457" t="s">
        <v>608</v>
      </c>
      <c r="B33" s="566">
        <v>2</v>
      </c>
      <c r="C33" s="237">
        <v>190</v>
      </c>
      <c r="D33" s="237">
        <v>193.999</v>
      </c>
      <c r="E33" s="566">
        <v>1</v>
      </c>
      <c r="F33" s="898">
        <v>193</v>
      </c>
      <c r="G33" s="306">
        <v>0.14019999999999999</v>
      </c>
      <c r="H33" s="235">
        <v>183</v>
      </c>
      <c r="I33" s="226">
        <v>199</v>
      </c>
      <c r="J33" s="276">
        <v>164</v>
      </c>
      <c r="K33" s="230">
        <v>169.26300000000001</v>
      </c>
      <c r="L33" s="233">
        <v>108629418</v>
      </c>
      <c r="M33" s="233">
        <v>5921</v>
      </c>
      <c r="N33" s="469">
        <v>805</v>
      </c>
      <c r="O33" s="273">
        <v>45401.708310185182</v>
      </c>
      <c r="P33" s="282">
        <v>32</v>
      </c>
      <c r="Q33" s="499"/>
      <c r="R33" s="612"/>
      <c r="S33" s="602"/>
      <c r="T33" s="461"/>
      <c r="U33" s="700"/>
      <c r="V33" s="525"/>
      <c r="W33" s="492"/>
      <c r="X33" s="629"/>
      <c r="Y33" s="703">
        <v>5</v>
      </c>
      <c r="Z33" s="704">
        <f t="shared" si="23"/>
        <v>0</v>
      </c>
      <c r="AA33" s="582" t="str">
        <f t="shared" si="24"/>
        <v/>
      </c>
    </row>
    <row r="34" spans="1:27" ht="12.75" customHeight="1">
      <c r="A34" s="456" t="s">
        <v>609</v>
      </c>
      <c r="B34" s="246">
        <v>30</v>
      </c>
      <c r="C34" s="300">
        <v>130</v>
      </c>
      <c r="D34" s="253">
        <v>131.47999999999999</v>
      </c>
      <c r="E34" s="246">
        <v>2</v>
      </c>
      <c r="F34" s="897">
        <v>130.1</v>
      </c>
      <c r="G34" s="304">
        <v>8.9700000000000002E-2</v>
      </c>
      <c r="H34" s="238">
        <v>126.47499999999999</v>
      </c>
      <c r="I34" s="227">
        <v>134</v>
      </c>
      <c r="J34" s="281">
        <v>111.04900000000001</v>
      </c>
      <c r="K34" s="231">
        <v>119.381</v>
      </c>
      <c r="L34" s="245">
        <v>22956931</v>
      </c>
      <c r="M34" s="245">
        <v>1796</v>
      </c>
      <c r="N34" s="470">
        <v>362</v>
      </c>
      <c r="O34" s="274">
        <v>45401.707789351851</v>
      </c>
      <c r="P34" s="283">
        <v>33</v>
      </c>
      <c r="Q34" s="500"/>
      <c r="R34" s="622"/>
      <c r="S34" s="608"/>
      <c r="T34" s="462"/>
      <c r="U34" s="699"/>
      <c r="V34" s="524"/>
      <c r="W34" s="498"/>
      <c r="X34" s="795"/>
      <c r="Y34" s="705" t="str">
        <f t="shared" si="22"/>
        <v/>
      </c>
      <c r="Z34" s="706">
        <f t="shared" si="23"/>
        <v>0</v>
      </c>
      <c r="AA34" s="581" t="str">
        <f t="shared" si="24"/>
        <v/>
      </c>
    </row>
    <row r="35" spans="1:27" ht="12.75" customHeight="1">
      <c r="A35" s="457" t="s">
        <v>610</v>
      </c>
      <c r="B35" s="566">
        <v>1000</v>
      </c>
      <c r="C35" s="237">
        <v>84.6</v>
      </c>
      <c r="D35" s="237">
        <v>84.95</v>
      </c>
      <c r="E35" s="566">
        <v>28</v>
      </c>
      <c r="F35" s="898">
        <v>84.95</v>
      </c>
      <c r="G35" s="306">
        <v>4.8399999999999999E-2</v>
      </c>
      <c r="H35" s="235">
        <v>77</v>
      </c>
      <c r="I35" s="226">
        <v>89</v>
      </c>
      <c r="J35" s="276">
        <v>77</v>
      </c>
      <c r="K35" s="230">
        <v>81.022000000000006</v>
      </c>
      <c r="L35" s="233">
        <v>110923613</v>
      </c>
      <c r="M35" s="233">
        <v>13420</v>
      </c>
      <c r="N35" s="469">
        <v>1203</v>
      </c>
      <c r="O35" s="273">
        <v>45401.70815972222</v>
      </c>
      <c r="P35" s="282">
        <v>34</v>
      </c>
      <c r="Q35" s="499"/>
      <c r="R35" s="612"/>
      <c r="S35" s="602"/>
      <c r="T35" s="461"/>
      <c r="U35" s="700"/>
      <c r="V35" s="525"/>
      <c r="W35" s="492"/>
      <c r="X35" s="629"/>
      <c r="Y35" s="707">
        <v>2</v>
      </c>
      <c r="Z35" s="708">
        <f t="shared" si="23"/>
        <v>0</v>
      </c>
      <c r="AA35" s="582" t="str">
        <f t="shared" si="24"/>
        <v/>
      </c>
    </row>
    <row r="36" spans="1:27" ht="12.75" customHeight="1">
      <c r="A36" s="456" t="s">
        <v>611</v>
      </c>
      <c r="B36" s="246">
        <v>495</v>
      </c>
      <c r="C36" s="300">
        <v>54</v>
      </c>
      <c r="D36" s="253">
        <v>56.6</v>
      </c>
      <c r="E36" s="246">
        <v>1</v>
      </c>
      <c r="F36" s="897">
        <v>54</v>
      </c>
      <c r="G36" s="304">
        <v>-8.1099999999999992E-2</v>
      </c>
      <c r="H36" s="238">
        <v>57.48</v>
      </c>
      <c r="I36" s="227">
        <v>62</v>
      </c>
      <c r="J36" s="281">
        <v>53</v>
      </c>
      <c r="K36" s="231">
        <v>58.765999999999998</v>
      </c>
      <c r="L36" s="245">
        <v>3875368</v>
      </c>
      <c r="M36" s="245">
        <v>687</v>
      </c>
      <c r="N36" s="470">
        <v>201</v>
      </c>
      <c r="O36" s="274">
        <v>45401.707928240743</v>
      </c>
      <c r="P36" s="283">
        <v>35</v>
      </c>
      <c r="Q36" s="500"/>
      <c r="R36" s="622"/>
      <c r="S36" s="608"/>
      <c r="T36" s="462"/>
      <c r="U36" s="699"/>
      <c r="V36" s="524"/>
      <c r="W36" s="498"/>
      <c r="X36" s="795"/>
      <c r="Y36" s="709" t="str">
        <f t="shared" si="22"/>
        <v/>
      </c>
      <c r="Z36" s="710">
        <f t="shared" si="23"/>
        <v>0</v>
      </c>
      <c r="AA36" s="581" t="str">
        <f t="shared" si="24"/>
        <v/>
      </c>
    </row>
    <row r="37" spans="1:27" ht="12.75" customHeight="1">
      <c r="A37" s="457" t="s">
        <v>612</v>
      </c>
      <c r="B37" s="566">
        <v>22</v>
      </c>
      <c r="C37" s="237">
        <v>40</v>
      </c>
      <c r="D37" s="237">
        <v>40.6</v>
      </c>
      <c r="E37" s="566">
        <v>1</v>
      </c>
      <c r="F37" s="898">
        <v>40</v>
      </c>
      <c r="G37" s="306">
        <v>-7.3599999999999999E-2</v>
      </c>
      <c r="H37" s="235">
        <v>42</v>
      </c>
      <c r="I37" s="226">
        <v>47.999000000000002</v>
      </c>
      <c r="J37" s="276">
        <v>39</v>
      </c>
      <c r="K37" s="230">
        <v>43.18</v>
      </c>
      <c r="L37" s="233">
        <v>27222117</v>
      </c>
      <c r="M37" s="233">
        <v>6729</v>
      </c>
      <c r="N37" s="469">
        <v>460</v>
      </c>
      <c r="O37" s="273">
        <v>45401.707997685182</v>
      </c>
      <c r="P37" s="282">
        <v>36</v>
      </c>
      <c r="Q37" s="499"/>
      <c r="R37" s="612"/>
      <c r="S37" s="602"/>
      <c r="T37" s="461"/>
      <c r="U37" s="700"/>
      <c r="V37" s="525">
        <v>0</v>
      </c>
      <c r="W37" s="492">
        <v>0</v>
      </c>
      <c r="X37" s="629"/>
      <c r="Y37" s="703">
        <v>5</v>
      </c>
      <c r="Z37" s="704">
        <f t="shared" si="23"/>
        <v>0</v>
      </c>
      <c r="AA37" s="582" t="str">
        <f t="shared" si="24"/>
        <v/>
      </c>
    </row>
    <row r="38" spans="1:27" ht="12.75" customHeight="1">
      <c r="A38" s="456" t="s">
        <v>613</v>
      </c>
      <c r="B38" s="246">
        <v>34</v>
      </c>
      <c r="C38" s="300">
        <v>28.98</v>
      </c>
      <c r="D38" s="253">
        <v>30</v>
      </c>
      <c r="E38" s="246">
        <v>1</v>
      </c>
      <c r="F38" s="897">
        <v>29.99</v>
      </c>
      <c r="G38" s="304">
        <v>-8.4100000000000008E-2</v>
      </c>
      <c r="H38" s="238">
        <v>32</v>
      </c>
      <c r="I38" s="227">
        <v>33.542000000000002</v>
      </c>
      <c r="J38" s="281">
        <v>28.98</v>
      </c>
      <c r="K38" s="231">
        <v>32.747</v>
      </c>
      <c r="L38" s="245">
        <v>3034700</v>
      </c>
      <c r="M38" s="245">
        <v>986</v>
      </c>
      <c r="N38" s="470">
        <v>198</v>
      </c>
      <c r="O38" s="274">
        <v>45401.707395833335</v>
      </c>
      <c r="P38" s="283">
        <v>37</v>
      </c>
      <c r="Q38" s="500"/>
      <c r="R38" s="622"/>
      <c r="S38" s="609"/>
      <c r="T38" s="462"/>
      <c r="U38" s="699"/>
      <c r="V38" s="524"/>
      <c r="W38" s="498"/>
      <c r="X38" s="795"/>
      <c r="Y38" s="705">
        <v>3</v>
      </c>
      <c r="Z38" s="706">
        <f t="shared" si="23"/>
        <v>0</v>
      </c>
      <c r="AA38" s="581" t="str">
        <f t="shared" si="24"/>
        <v/>
      </c>
    </row>
    <row r="39" spans="1:27" ht="12.75" customHeight="1">
      <c r="A39" s="543" t="s">
        <v>614</v>
      </c>
      <c r="B39" s="567">
        <v>45</v>
      </c>
      <c r="C39" s="531">
        <v>22.1</v>
      </c>
      <c r="D39" s="531">
        <v>22.3</v>
      </c>
      <c r="E39" s="567">
        <v>3</v>
      </c>
      <c r="F39" s="899">
        <v>22.1</v>
      </c>
      <c r="G39" s="532">
        <v>-6.6699999999999995E-2</v>
      </c>
      <c r="H39" s="533">
        <v>25</v>
      </c>
      <c r="I39" s="534">
        <v>26</v>
      </c>
      <c r="J39" s="535">
        <v>21.300999999999998</v>
      </c>
      <c r="K39" s="536">
        <v>23.681000000000001</v>
      </c>
      <c r="L39" s="537">
        <v>15132207</v>
      </c>
      <c r="M39" s="537">
        <v>6710</v>
      </c>
      <c r="N39" s="544">
        <v>665</v>
      </c>
      <c r="O39" s="538">
        <v>45401.707696759258</v>
      </c>
      <c r="P39" s="545">
        <v>38</v>
      </c>
      <c r="Q39" s="546"/>
      <c r="R39" s="616"/>
      <c r="S39" s="606"/>
      <c r="T39" s="541"/>
      <c r="U39" s="700"/>
      <c r="V39" s="525">
        <v>23</v>
      </c>
      <c r="W39" s="542">
        <v>0</v>
      </c>
      <c r="X39" s="632">
        <v>2200</v>
      </c>
      <c r="Y39" s="697">
        <v>10</v>
      </c>
      <c r="Z39" s="698">
        <f t="shared" si="23"/>
        <v>230</v>
      </c>
      <c r="AA39" s="583">
        <f t="shared" si="24"/>
        <v>50830</v>
      </c>
    </row>
    <row r="40" spans="1:27" ht="12.75" customHeight="1">
      <c r="A40" s="906" t="s">
        <v>652</v>
      </c>
      <c r="B40" s="563">
        <v>44</v>
      </c>
      <c r="C40" s="248">
        <v>6.5</v>
      </c>
      <c r="D40" s="248">
        <v>6.9</v>
      </c>
      <c r="E40" s="789">
        <v>30</v>
      </c>
      <c r="F40" s="900">
        <v>6.5</v>
      </c>
      <c r="G40" s="304">
        <v>-0.10619999999999999</v>
      </c>
      <c r="H40" s="236">
        <v>7</v>
      </c>
      <c r="I40" s="228">
        <v>7.95</v>
      </c>
      <c r="J40" s="278">
        <v>5.5</v>
      </c>
      <c r="K40" s="232">
        <v>7.2729999999999997</v>
      </c>
      <c r="L40" s="249">
        <v>580667</v>
      </c>
      <c r="M40" s="249">
        <v>833</v>
      </c>
      <c r="N40" s="468">
        <v>166</v>
      </c>
      <c r="O40" s="272">
        <v>45401.707638888889</v>
      </c>
      <c r="P40" s="283">
        <v>39</v>
      </c>
      <c r="Q40" s="530"/>
      <c r="R40" s="613"/>
      <c r="S40" s="603"/>
      <c r="T40" s="460"/>
      <c r="U40" s="523"/>
      <c r="V40" s="524"/>
      <c r="W40" s="493"/>
      <c r="X40" s="630"/>
      <c r="Y40" s="701" t="str">
        <f t="shared" si="22"/>
        <v/>
      </c>
      <c r="Z40" s="702">
        <f t="shared" ref="Z40:Z49" si="25">C50*100*V40-(X40*V40)</f>
        <v>0</v>
      </c>
      <c r="AA40" s="581" t="str">
        <f t="shared" ref="AA40:AA49" si="26">IF(V40&lt;&gt;0,F50*100*V40,"")</f>
        <v/>
      </c>
    </row>
    <row r="41" spans="1:27" ht="12.75" customHeight="1">
      <c r="A41" s="907" t="s">
        <v>653</v>
      </c>
      <c r="B41" s="568">
        <v>55</v>
      </c>
      <c r="C41" s="237">
        <v>10</v>
      </c>
      <c r="D41" s="372">
        <v>10.8</v>
      </c>
      <c r="E41" s="574">
        <v>4</v>
      </c>
      <c r="F41" s="898">
        <v>10.3</v>
      </c>
      <c r="G41" s="306">
        <v>-1.9900000000000001E-2</v>
      </c>
      <c r="H41" s="235">
        <v>11</v>
      </c>
      <c r="I41" s="226">
        <v>12.43</v>
      </c>
      <c r="J41" s="276">
        <v>8.89</v>
      </c>
      <c r="K41" s="230">
        <v>10.51</v>
      </c>
      <c r="L41" s="233">
        <v>1260620</v>
      </c>
      <c r="M41" s="233">
        <v>1187</v>
      </c>
      <c r="N41" s="469">
        <v>191</v>
      </c>
      <c r="O41" s="273">
        <v>45401.706828703704</v>
      </c>
      <c r="P41" s="282">
        <v>40</v>
      </c>
      <c r="Q41" s="499"/>
      <c r="R41" s="612"/>
      <c r="S41" s="602"/>
      <c r="T41" s="461"/>
      <c r="U41" s="489"/>
      <c r="V41" s="525"/>
      <c r="W41" s="492"/>
      <c r="X41" s="629"/>
      <c r="Y41" s="703" t="str">
        <f t="shared" si="22"/>
        <v/>
      </c>
      <c r="Z41" s="704">
        <f t="shared" si="25"/>
        <v>0</v>
      </c>
      <c r="AA41" s="582" t="str">
        <f t="shared" si="26"/>
        <v/>
      </c>
    </row>
    <row r="42" spans="1:27" ht="12.75" customHeight="1">
      <c r="A42" s="908" t="s">
        <v>654</v>
      </c>
      <c r="B42" s="569">
        <v>2</v>
      </c>
      <c r="C42" s="399">
        <v>16.440000000000001</v>
      </c>
      <c r="D42" s="399">
        <v>17</v>
      </c>
      <c r="E42" s="569">
        <v>16</v>
      </c>
      <c r="F42" s="897">
        <v>17</v>
      </c>
      <c r="G42" s="307">
        <v>-2.6600000000000002E-2</v>
      </c>
      <c r="H42" s="238">
        <v>15</v>
      </c>
      <c r="I42" s="227">
        <v>19.5</v>
      </c>
      <c r="J42" s="281">
        <v>14</v>
      </c>
      <c r="K42" s="231">
        <v>17.465</v>
      </c>
      <c r="L42" s="245">
        <v>1244223</v>
      </c>
      <c r="M42" s="245">
        <v>745</v>
      </c>
      <c r="N42" s="470">
        <v>175</v>
      </c>
      <c r="O42" s="274">
        <v>45401.707719907405</v>
      </c>
      <c r="P42" s="283">
        <v>41</v>
      </c>
      <c r="Q42" s="500"/>
      <c r="R42" s="622"/>
      <c r="S42" s="608"/>
      <c r="T42" s="462"/>
      <c r="U42" s="523"/>
      <c r="V42" s="525"/>
      <c r="W42" s="498"/>
      <c r="X42" s="795"/>
      <c r="Y42" s="705" t="str">
        <f t="shared" si="22"/>
        <v/>
      </c>
      <c r="Z42" s="706">
        <f t="shared" si="25"/>
        <v>0</v>
      </c>
      <c r="AA42" s="581" t="str">
        <f t="shared" si="26"/>
        <v/>
      </c>
    </row>
    <row r="43" spans="1:27" ht="12.75" customHeight="1">
      <c r="A43" s="907" t="s">
        <v>655</v>
      </c>
      <c r="B43" s="568">
        <v>8</v>
      </c>
      <c r="C43" s="237">
        <v>27.44</v>
      </c>
      <c r="D43" s="372">
        <v>28.1</v>
      </c>
      <c r="E43" s="574">
        <v>2</v>
      </c>
      <c r="F43" s="898">
        <v>30</v>
      </c>
      <c r="G43" s="306">
        <v>-1.8799999999999997E-2</v>
      </c>
      <c r="H43" s="235">
        <v>30</v>
      </c>
      <c r="I43" s="226">
        <v>33</v>
      </c>
      <c r="J43" s="276">
        <v>22.010999999999999</v>
      </c>
      <c r="K43" s="230">
        <v>30.577000000000002</v>
      </c>
      <c r="L43" s="233">
        <v>11622455</v>
      </c>
      <c r="M43" s="233">
        <v>4136</v>
      </c>
      <c r="N43" s="469">
        <v>502</v>
      </c>
      <c r="O43" s="273">
        <v>45401.708229166667</v>
      </c>
      <c r="P43" s="282">
        <v>42</v>
      </c>
      <c r="Q43" s="499"/>
      <c r="R43" s="612"/>
      <c r="S43" s="602"/>
      <c r="T43" s="461"/>
      <c r="U43" s="489"/>
      <c r="V43" s="524"/>
      <c r="W43" s="492"/>
      <c r="X43" s="629"/>
      <c r="Y43" s="703" t="str">
        <f t="shared" si="22"/>
        <v/>
      </c>
      <c r="Z43" s="704">
        <f t="shared" si="25"/>
        <v>0</v>
      </c>
      <c r="AA43" s="582" t="str">
        <f t="shared" si="26"/>
        <v/>
      </c>
    </row>
    <row r="44" spans="1:27" ht="12.75" customHeight="1">
      <c r="A44" s="908" t="s">
        <v>656</v>
      </c>
      <c r="B44" s="569">
        <v>2</v>
      </c>
      <c r="C44" s="399">
        <v>44.000999999999998</v>
      </c>
      <c r="D44" s="399">
        <v>45.27</v>
      </c>
      <c r="E44" s="569">
        <v>1</v>
      </c>
      <c r="F44" s="897">
        <v>45</v>
      </c>
      <c r="G44" s="307">
        <v>-6.0499999999999998E-2</v>
      </c>
      <c r="H44" s="238">
        <v>37</v>
      </c>
      <c r="I44" s="227">
        <v>50.8</v>
      </c>
      <c r="J44" s="281">
        <v>37</v>
      </c>
      <c r="K44" s="231">
        <v>47.899000000000001</v>
      </c>
      <c r="L44" s="245">
        <v>9293390</v>
      </c>
      <c r="M44" s="245">
        <v>2102</v>
      </c>
      <c r="N44" s="470">
        <v>378</v>
      </c>
      <c r="O44" s="274">
        <v>45401.708171296297</v>
      </c>
      <c r="P44" s="283">
        <v>43</v>
      </c>
      <c r="Q44" s="500"/>
      <c r="R44" s="622"/>
      <c r="S44" s="608"/>
      <c r="T44" s="462"/>
      <c r="U44" s="523"/>
      <c r="V44" s="525"/>
      <c r="W44" s="529"/>
      <c r="X44" s="795"/>
      <c r="Y44" s="705" t="str">
        <f t="shared" si="22"/>
        <v/>
      </c>
      <c r="Z44" s="706">
        <f t="shared" si="25"/>
        <v>0</v>
      </c>
      <c r="AA44" s="581" t="str">
        <f t="shared" si="26"/>
        <v/>
      </c>
    </row>
    <row r="45" spans="1:27" ht="12.75" customHeight="1">
      <c r="A45" s="907" t="s">
        <v>657</v>
      </c>
      <c r="B45" s="568">
        <v>6</v>
      </c>
      <c r="C45" s="237">
        <v>65.5</v>
      </c>
      <c r="D45" s="372">
        <v>68.400000000000006</v>
      </c>
      <c r="E45" s="574">
        <v>1</v>
      </c>
      <c r="F45" s="898">
        <v>68.400000000000006</v>
      </c>
      <c r="G45" s="306">
        <v>-0.10800000000000001</v>
      </c>
      <c r="H45" s="235">
        <v>71.331000000000003</v>
      </c>
      <c r="I45" s="226">
        <v>82</v>
      </c>
      <c r="J45" s="276">
        <v>59</v>
      </c>
      <c r="K45" s="230">
        <v>76.686999999999998</v>
      </c>
      <c r="L45" s="233">
        <v>21563730</v>
      </c>
      <c r="M45" s="233">
        <v>3157</v>
      </c>
      <c r="N45" s="233">
        <v>543</v>
      </c>
      <c r="O45" s="273">
        <v>45401.707395833335</v>
      </c>
      <c r="P45" s="503">
        <v>44</v>
      </c>
      <c r="Q45" s="501"/>
      <c r="R45" s="612"/>
      <c r="S45" s="610"/>
      <c r="T45" s="461"/>
      <c r="U45" s="489"/>
      <c r="V45" s="355"/>
      <c r="W45" s="492"/>
      <c r="X45" s="629"/>
      <c r="Y45" s="707" t="str">
        <f t="shared" ref="Y45:Y59" si="27">IF(V45&gt;0,V45,"")</f>
        <v/>
      </c>
      <c r="Z45" s="708">
        <f t="shared" si="25"/>
        <v>0</v>
      </c>
      <c r="AA45" s="582" t="str">
        <f t="shared" si="26"/>
        <v/>
      </c>
    </row>
    <row r="46" spans="1:27" ht="12.75" customHeight="1">
      <c r="A46" s="908" t="s">
        <v>658</v>
      </c>
      <c r="B46" s="569">
        <v>2</v>
      </c>
      <c r="C46" s="399">
        <v>100</v>
      </c>
      <c r="D46" s="399">
        <v>104.5</v>
      </c>
      <c r="E46" s="569">
        <v>17</v>
      </c>
      <c r="F46" s="897">
        <v>100</v>
      </c>
      <c r="G46" s="307">
        <v>-0.13150000000000001</v>
      </c>
      <c r="H46" s="238">
        <v>112</v>
      </c>
      <c r="I46" s="227">
        <v>119.5</v>
      </c>
      <c r="J46" s="281">
        <v>81</v>
      </c>
      <c r="K46" s="231">
        <v>115.145</v>
      </c>
      <c r="L46" s="245">
        <v>31974378</v>
      </c>
      <c r="M46" s="245">
        <v>3168</v>
      </c>
      <c r="N46" s="245">
        <v>466</v>
      </c>
      <c r="O46" s="274">
        <v>45401.708055555559</v>
      </c>
      <c r="P46" s="504">
        <v>45</v>
      </c>
      <c r="Q46" s="500"/>
      <c r="R46" s="622"/>
      <c r="S46" s="608"/>
      <c r="T46" s="462"/>
      <c r="U46" s="523"/>
      <c r="V46" s="392"/>
      <c r="W46" s="529"/>
      <c r="X46" s="795"/>
      <c r="Y46" s="709" t="str">
        <f t="shared" si="27"/>
        <v/>
      </c>
      <c r="Z46" s="710">
        <f t="shared" si="25"/>
        <v>0</v>
      </c>
      <c r="AA46" s="581" t="str">
        <f t="shared" si="26"/>
        <v/>
      </c>
    </row>
    <row r="47" spans="1:27" ht="12.75" customHeight="1">
      <c r="A47" s="907" t="s">
        <v>659</v>
      </c>
      <c r="B47" s="568">
        <v>7</v>
      </c>
      <c r="C47" s="237">
        <v>175.001</v>
      </c>
      <c r="D47" s="237">
        <v>182</v>
      </c>
      <c r="E47" s="574">
        <v>1</v>
      </c>
      <c r="F47" s="898">
        <v>175.01</v>
      </c>
      <c r="G47" s="306">
        <v>-0.1249</v>
      </c>
      <c r="H47" s="235">
        <v>170</v>
      </c>
      <c r="I47" s="226">
        <v>200</v>
      </c>
      <c r="J47" s="276">
        <v>160</v>
      </c>
      <c r="K47" s="230">
        <v>200.001</v>
      </c>
      <c r="L47" s="233">
        <v>6780038</v>
      </c>
      <c r="M47" s="233">
        <v>375</v>
      </c>
      <c r="N47" s="233">
        <v>100</v>
      </c>
      <c r="O47" s="273">
        <v>45401.701921296299</v>
      </c>
      <c r="P47" s="505">
        <v>46</v>
      </c>
      <c r="Q47" s="502"/>
      <c r="R47" s="612"/>
      <c r="S47" s="602"/>
      <c r="T47" s="461"/>
      <c r="U47" s="489"/>
      <c r="V47" s="355"/>
      <c r="W47" s="492"/>
      <c r="X47" s="629"/>
      <c r="Y47" s="703" t="str">
        <f t="shared" si="27"/>
        <v/>
      </c>
      <c r="Z47" s="704">
        <f t="shared" si="25"/>
        <v>0</v>
      </c>
      <c r="AA47" s="582" t="str">
        <f t="shared" si="26"/>
        <v/>
      </c>
    </row>
    <row r="48" spans="1:27" ht="12.75" customHeight="1">
      <c r="A48" s="908" t="s">
        <v>660</v>
      </c>
      <c r="B48" s="569">
        <v>10</v>
      </c>
      <c r="C48" s="399">
        <v>260</v>
      </c>
      <c r="D48" s="467">
        <v>270</v>
      </c>
      <c r="E48" s="569">
        <v>10</v>
      </c>
      <c r="F48" s="897">
        <v>260.00099999999998</v>
      </c>
      <c r="G48" s="307">
        <v>-3.8900000000000004E-2</v>
      </c>
      <c r="H48" s="238">
        <v>274</v>
      </c>
      <c r="I48" s="227">
        <v>308.5</v>
      </c>
      <c r="J48" s="281">
        <v>235.00200000000001</v>
      </c>
      <c r="K48" s="231">
        <v>270.54500000000002</v>
      </c>
      <c r="L48" s="245">
        <v>14361501</v>
      </c>
      <c r="M48" s="245">
        <v>547</v>
      </c>
      <c r="N48" s="245">
        <v>31</v>
      </c>
      <c r="O48" s="274">
        <v>45401.70103009259</v>
      </c>
      <c r="P48" s="504">
        <v>47</v>
      </c>
      <c r="Q48" s="500"/>
      <c r="R48" s="622"/>
      <c r="S48" s="608"/>
      <c r="T48" s="462"/>
      <c r="U48" s="523"/>
      <c r="V48" s="392"/>
      <c r="W48" s="529"/>
      <c r="X48" s="795"/>
      <c r="Y48" s="705" t="str">
        <f t="shared" si="27"/>
        <v/>
      </c>
      <c r="Z48" s="706">
        <f t="shared" si="25"/>
        <v>0</v>
      </c>
      <c r="AA48" s="581" t="str">
        <f t="shared" si="26"/>
        <v/>
      </c>
    </row>
    <row r="49" spans="1:40" ht="12.75" customHeight="1">
      <c r="A49" s="909" t="s">
        <v>661</v>
      </c>
      <c r="B49" s="567">
        <v>2</v>
      </c>
      <c r="C49" s="765">
        <v>380.00200000000001</v>
      </c>
      <c r="D49" s="765">
        <v>419.99900000000002</v>
      </c>
      <c r="E49" s="567">
        <v>2</v>
      </c>
      <c r="F49" s="899">
        <v>420</v>
      </c>
      <c r="G49" s="532">
        <v>3.7000000000000005E-2</v>
      </c>
      <c r="H49" s="533">
        <v>410.00099999999998</v>
      </c>
      <c r="I49" s="534">
        <v>425.00299999999999</v>
      </c>
      <c r="J49" s="535">
        <v>375</v>
      </c>
      <c r="K49" s="536">
        <v>405</v>
      </c>
      <c r="L49" s="537">
        <v>1960501</v>
      </c>
      <c r="M49" s="537">
        <v>47</v>
      </c>
      <c r="N49" s="537">
        <v>22</v>
      </c>
      <c r="O49" s="538">
        <v>45401.699259259258</v>
      </c>
      <c r="P49" s="539">
        <v>48</v>
      </c>
      <c r="Q49" s="540"/>
      <c r="R49" s="616"/>
      <c r="S49" s="606"/>
      <c r="T49" s="541"/>
      <c r="U49" s="489"/>
      <c r="V49" s="355"/>
      <c r="W49" s="542"/>
      <c r="X49" s="632"/>
      <c r="Y49" s="697" t="str">
        <f t="shared" si="27"/>
        <v/>
      </c>
      <c r="Z49" s="698">
        <f t="shared" si="25"/>
        <v>0</v>
      </c>
      <c r="AA49" s="583" t="str">
        <f t="shared" si="26"/>
        <v/>
      </c>
    </row>
    <row r="50" spans="1:40" ht="12.75" customHeight="1">
      <c r="A50" s="456" t="s">
        <v>664</v>
      </c>
      <c r="B50" s="246">
        <v>3</v>
      </c>
      <c r="C50" s="300">
        <v>520</v>
      </c>
      <c r="D50" s="253">
        <v>580</v>
      </c>
      <c r="E50" s="789">
        <v>17</v>
      </c>
      <c r="F50" s="900">
        <v>560</v>
      </c>
      <c r="G50" s="304">
        <v>0.15380000000000002</v>
      </c>
      <c r="H50" s="236">
        <v>560</v>
      </c>
      <c r="I50" s="228">
        <v>560</v>
      </c>
      <c r="J50" s="278">
        <v>560</v>
      </c>
      <c r="K50" s="232">
        <v>485.31900000000002</v>
      </c>
      <c r="L50" s="249">
        <v>1008000</v>
      </c>
      <c r="M50" s="249">
        <v>18</v>
      </c>
      <c r="N50" s="249">
        <v>2</v>
      </c>
      <c r="O50" s="272">
        <v>45401.595324074071</v>
      </c>
      <c r="P50" s="504">
        <v>49</v>
      </c>
      <c r="Q50" s="530"/>
      <c r="R50" s="613"/>
      <c r="S50" s="603"/>
      <c r="T50" s="460"/>
      <c r="U50" s="523"/>
      <c r="V50" s="392"/>
      <c r="W50" s="393"/>
      <c r="X50" s="630"/>
      <c r="Y50" s="701" t="str">
        <f t="shared" si="27"/>
        <v/>
      </c>
      <c r="Z50" s="702">
        <f t="shared" ref="Z50:Z59" si="28">C40*100*V50-(X50*V50)</f>
        <v>0</v>
      </c>
      <c r="AA50" s="581" t="str">
        <f t="shared" ref="AA50:AA59" si="29">IF(V50&lt;&gt;0,F40*100*V50,"")</f>
        <v/>
      </c>
    </row>
    <row r="51" spans="1:40" ht="12.75" customHeight="1">
      <c r="A51" s="457" t="s">
        <v>665</v>
      </c>
      <c r="B51" s="566">
        <v>1</v>
      </c>
      <c r="C51" s="237">
        <v>101</v>
      </c>
      <c r="D51" s="237">
        <v>121</v>
      </c>
      <c r="E51" s="566">
        <v>40</v>
      </c>
      <c r="F51" s="898">
        <v>90</v>
      </c>
      <c r="G51" s="306">
        <v>-0.28000000000000003</v>
      </c>
      <c r="H51" s="235">
        <v>115</v>
      </c>
      <c r="I51" s="226">
        <v>115</v>
      </c>
      <c r="J51" s="276">
        <v>90</v>
      </c>
      <c r="K51" s="230">
        <v>125</v>
      </c>
      <c r="L51" s="233">
        <v>111500</v>
      </c>
      <c r="M51" s="233">
        <v>11</v>
      </c>
      <c r="N51" s="233">
        <v>5</v>
      </c>
      <c r="O51" s="273">
        <v>45401.601400462961</v>
      </c>
      <c r="P51" s="505">
        <v>50</v>
      </c>
      <c r="Q51" s="502"/>
      <c r="R51" s="612"/>
      <c r="S51" s="602"/>
      <c r="T51" s="461"/>
      <c r="U51" s="489"/>
      <c r="V51" s="355"/>
      <c r="W51" s="492"/>
      <c r="X51" s="629"/>
      <c r="Y51" s="703" t="str">
        <f t="shared" si="27"/>
        <v/>
      </c>
      <c r="Z51" s="704">
        <f t="shared" si="28"/>
        <v>0</v>
      </c>
      <c r="AA51" s="582" t="str">
        <f t="shared" si="29"/>
        <v/>
      </c>
    </row>
    <row r="52" spans="1:40" ht="12.75" customHeight="1">
      <c r="A52" s="456" t="s">
        <v>666</v>
      </c>
      <c r="B52" s="246">
        <v>21</v>
      </c>
      <c r="C52" s="399">
        <v>85</v>
      </c>
      <c r="D52" s="399">
        <v>89.998999999999995</v>
      </c>
      <c r="E52" s="563">
        <v>3</v>
      </c>
      <c r="F52" s="897">
        <v>85</v>
      </c>
      <c r="G52" s="307">
        <v>-0.11449999999999999</v>
      </c>
      <c r="H52" s="238">
        <v>96</v>
      </c>
      <c r="I52" s="227">
        <v>105</v>
      </c>
      <c r="J52" s="281">
        <v>85</v>
      </c>
      <c r="K52" s="231">
        <v>96</v>
      </c>
      <c r="L52" s="245">
        <v>2183536</v>
      </c>
      <c r="M52" s="245">
        <v>241</v>
      </c>
      <c r="N52" s="245">
        <v>39</v>
      </c>
      <c r="O52" s="274">
        <v>45401.70417824074</v>
      </c>
      <c r="P52" s="504">
        <v>51</v>
      </c>
      <c r="Q52" s="500"/>
      <c r="R52" s="622"/>
      <c r="S52" s="608"/>
      <c r="T52" s="462"/>
      <c r="U52" s="523"/>
      <c r="V52" s="392"/>
      <c r="W52" s="529"/>
      <c r="X52" s="795"/>
      <c r="Y52" s="705" t="str">
        <f t="shared" si="27"/>
        <v/>
      </c>
      <c r="Z52" s="706">
        <f t="shared" si="28"/>
        <v>0</v>
      </c>
      <c r="AA52" s="581" t="str">
        <f t="shared" si="29"/>
        <v/>
      </c>
    </row>
    <row r="53" spans="1:40" ht="12.75" customHeight="1">
      <c r="A53" s="457" t="s">
        <v>667</v>
      </c>
      <c r="B53" s="566">
        <v>1</v>
      </c>
      <c r="C53" s="237">
        <v>22</v>
      </c>
      <c r="D53" s="372">
        <v>26</v>
      </c>
      <c r="E53" s="566">
        <v>4</v>
      </c>
      <c r="F53" s="898">
        <v>22</v>
      </c>
      <c r="G53" s="306">
        <v>4.7599999999999996E-2</v>
      </c>
      <c r="H53" s="235">
        <v>22</v>
      </c>
      <c r="I53" s="226">
        <v>22</v>
      </c>
      <c r="J53" s="276">
        <v>22</v>
      </c>
      <c r="K53" s="230">
        <v>21</v>
      </c>
      <c r="L53" s="233">
        <v>57200</v>
      </c>
      <c r="M53" s="233">
        <v>26</v>
      </c>
      <c r="N53" s="233">
        <v>7</v>
      </c>
      <c r="O53" s="273">
        <v>45401.670787037037</v>
      </c>
      <c r="P53" s="505">
        <v>52</v>
      </c>
      <c r="Q53" s="502"/>
      <c r="R53" s="612"/>
      <c r="S53" s="602"/>
      <c r="T53" s="461"/>
      <c r="U53" s="489"/>
      <c r="V53" s="355"/>
      <c r="W53" s="492"/>
      <c r="X53" s="629"/>
      <c r="Y53" s="703" t="str">
        <f t="shared" si="27"/>
        <v/>
      </c>
      <c r="Z53" s="704">
        <f t="shared" si="28"/>
        <v>0</v>
      </c>
      <c r="AA53" s="582" t="str">
        <f t="shared" si="29"/>
        <v/>
      </c>
    </row>
    <row r="54" spans="1:40" ht="12.75" customHeight="1">
      <c r="A54" s="797" t="s">
        <v>668</v>
      </c>
      <c r="B54" s="798">
        <v>10</v>
      </c>
      <c r="C54" s="799">
        <v>5.0999999999999996</v>
      </c>
      <c r="D54" s="799">
        <v>16.899999999999999</v>
      </c>
      <c r="E54" s="800">
        <v>2</v>
      </c>
      <c r="F54" s="901">
        <v>18</v>
      </c>
      <c r="G54" s="801">
        <v>0.2</v>
      </c>
      <c r="H54" s="802">
        <v>18</v>
      </c>
      <c r="I54" s="803">
        <v>18</v>
      </c>
      <c r="J54" s="804">
        <v>18</v>
      </c>
      <c r="K54" s="805">
        <v>15</v>
      </c>
      <c r="L54" s="806">
        <v>5400</v>
      </c>
      <c r="M54" s="806">
        <v>3</v>
      </c>
      <c r="N54" s="806">
        <v>1</v>
      </c>
      <c r="O54" s="807">
        <v>45401.577164351853</v>
      </c>
      <c r="P54" s="808">
        <v>53</v>
      </c>
      <c r="Q54" s="809"/>
      <c r="R54" s="810"/>
      <c r="S54" s="811"/>
      <c r="T54" s="812"/>
      <c r="U54" s="523"/>
      <c r="V54" s="392"/>
      <c r="W54" s="816"/>
      <c r="X54" s="817"/>
      <c r="Y54" s="818" t="str">
        <f t="shared" si="27"/>
        <v/>
      </c>
      <c r="Z54" s="819">
        <f t="shared" si="28"/>
        <v>0</v>
      </c>
      <c r="AA54" s="820" t="str">
        <f t="shared" si="29"/>
        <v/>
      </c>
    </row>
    <row r="55" spans="1:40" ht="12.75" customHeight="1">
      <c r="A55" s="907" t="s">
        <v>669</v>
      </c>
      <c r="B55" s="568">
        <v>3</v>
      </c>
      <c r="C55" s="237">
        <v>6</v>
      </c>
      <c r="D55" s="372">
        <v>8.8000000000000007</v>
      </c>
      <c r="E55" s="574">
        <v>12</v>
      </c>
      <c r="F55" s="902">
        <v>6</v>
      </c>
      <c r="G55" s="306">
        <v>-0.4</v>
      </c>
      <c r="H55" s="235">
        <v>6</v>
      </c>
      <c r="I55" s="226">
        <v>6</v>
      </c>
      <c r="J55" s="276">
        <v>6</v>
      </c>
      <c r="K55" s="230">
        <v>10</v>
      </c>
      <c r="L55" s="233">
        <v>1200</v>
      </c>
      <c r="M55" s="233">
        <v>2</v>
      </c>
      <c r="N55" s="233">
        <v>1</v>
      </c>
      <c r="O55" s="273">
        <v>45401.635555555556</v>
      </c>
      <c r="P55" s="505">
        <v>54</v>
      </c>
      <c r="Q55" s="502"/>
      <c r="R55" s="612"/>
      <c r="S55" s="602"/>
      <c r="T55" s="461"/>
      <c r="U55" s="489"/>
      <c r="V55" s="355"/>
      <c r="W55" s="493"/>
      <c r="X55" s="813"/>
      <c r="Y55" s="624" t="str">
        <f t="shared" si="27"/>
        <v/>
      </c>
      <c r="Z55" s="814">
        <f t="shared" si="28"/>
        <v>0</v>
      </c>
      <c r="AA55" s="815" t="str">
        <f t="shared" si="29"/>
        <v/>
      </c>
    </row>
    <row r="56" spans="1:40" ht="12.75" customHeight="1">
      <c r="A56" s="908" t="s">
        <v>670</v>
      </c>
      <c r="B56" s="569">
        <v>10</v>
      </c>
      <c r="C56" s="399">
        <v>15</v>
      </c>
      <c r="D56" s="399">
        <v>57</v>
      </c>
      <c r="E56" s="569">
        <v>1</v>
      </c>
      <c r="F56" s="897">
        <v>26</v>
      </c>
      <c r="G56" s="307">
        <v>-0.65780000000000005</v>
      </c>
      <c r="H56" s="238">
        <v>64</v>
      </c>
      <c r="I56" s="227">
        <v>64</v>
      </c>
      <c r="J56" s="281">
        <v>26</v>
      </c>
      <c r="K56" s="231">
        <v>76</v>
      </c>
      <c r="L56" s="245">
        <v>43210</v>
      </c>
      <c r="M56" s="245">
        <v>9</v>
      </c>
      <c r="N56" s="245">
        <v>3</v>
      </c>
      <c r="O56" s="274">
        <v>45401.692442129628</v>
      </c>
      <c r="P56" s="504">
        <v>55</v>
      </c>
      <c r="Q56" s="500"/>
      <c r="R56" s="622"/>
      <c r="S56" s="608"/>
      <c r="T56" s="462"/>
      <c r="U56" s="523"/>
      <c r="V56" s="392"/>
      <c r="W56" s="529"/>
      <c r="X56" s="795"/>
      <c r="Y56" s="709" t="str">
        <f t="shared" si="27"/>
        <v/>
      </c>
      <c r="Z56" s="710">
        <f t="shared" si="28"/>
        <v>0</v>
      </c>
      <c r="AA56" s="581" t="str">
        <f t="shared" si="29"/>
        <v/>
      </c>
    </row>
    <row r="57" spans="1:40" ht="12.75" customHeight="1">
      <c r="A57" s="907" t="s">
        <v>671</v>
      </c>
      <c r="B57" s="568">
        <v>5</v>
      </c>
      <c r="C57" s="237">
        <v>91</v>
      </c>
      <c r="D57" s="372">
        <v>107.9</v>
      </c>
      <c r="E57" s="574">
        <v>2</v>
      </c>
      <c r="F57" s="898">
        <v>91</v>
      </c>
      <c r="G57" s="306">
        <v>-0.09</v>
      </c>
      <c r="H57" s="235">
        <v>91</v>
      </c>
      <c r="I57" s="226">
        <v>91</v>
      </c>
      <c r="J57" s="276">
        <v>91</v>
      </c>
      <c r="K57" s="230">
        <v>100</v>
      </c>
      <c r="L57" s="233">
        <v>91000</v>
      </c>
      <c r="M57" s="233">
        <v>10</v>
      </c>
      <c r="N57" s="233">
        <v>2</v>
      </c>
      <c r="O57" s="273">
        <v>45401.693055555559</v>
      </c>
      <c r="P57" s="505">
        <v>56</v>
      </c>
      <c r="Q57" s="502"/>
      <c r="R57" s="612"/>
      <c r="S57" s="602"/>
      <c r="T57" s="461"/>
      <c r="U57" s="489"/>
      <c r="V57" s="392"/>
      <c r="W57" s="492"/>
      <c r="X57" s="629"/>
      <c r="Y57" s="703" t="str">
        <f t="shared" si="27"/>
        <v/>
      </c>
      <c r="Z57" s="704">
        <f t="shared" si="28"/>
        <v>0</v>
      </c>
      <c r="AA57" s="582" t="str">
        <f t="shared" si="29"/>
        <v/>
      </c>
    </row>
    <row r="58" spans="1:40" ht="12.75" customHeight="1">
      <c r="A58" s="908" t="s">
        <v>672</v>
      </c>
      <c r="B58" s="569">
        <v>1</v>
      </c>
      <c r="C58" s="399">
        <v>140</v>
      </c>
      <c r="D58" s="399"/>
      <c r="E58" s="569"/>
      <c r="F58" s="897"/>
      <c r="G58" s="307"/>
      <c r="H58" s="238"/>
      <c r="I58" s="227"/>
      <c r="J58" s="281"/>
      <c r="K58" s="231">
        <v>13.41</v>
      </c>
      <c r="L58" s="245"/>
      <c r="M58" s="245"/>
      <c r="N58" s="245"/>
      <c r="O58" s="274"/>
      <c r="P58" s="504">
        <v>57</v>
      </c>
      <c r="Q58" s="500"/>
      <c r="R58" s="622"/>
      <c r="S58" s="608"/>
      <c r="T58" s="462"/>
      <c r="U58" s="523"/>
      <c r="V58" s="355"/>
      <c r="W58" s="529"/>
      <c r="X58" s="795"/>
      <c r="Y58" s="705" t="str">
        <f t="shared" si="27"/>
        <v/>
      </c>
      <c r="Z58" s="706">
        <f t="shared" si="28"/>
        <v>0</v>
      </c>
      <c r="AA58" s="581" t="str">
        <f t="shared" si="29"/>
        <v/>
      </c>
    </row>
    <row r="59" spans="1:40" ht="12.75" customHeight="1">
      <c r="A59" s="910" t="s">
        <v>673</v>
      </c>
      <c r="B59" s="753">
        <v>1</v>
      </c>
      <c r="C59" s="754">
        <v>150</v>
      </c>
      <c r="D59" s="755"/>
      <c r="E59" s="790"/>
      <c r="F59" s="903"/>
      <c r="G59" s="756"/>
      <c r="H59" s="740"/>
      <c r="I59" s="741"/>
      <c r="J59" s="742"/>
      <c r="K59" s="743">
        <v>320</v>
      </c>
      <c r="L59" s="744"/>
      <c r="M59" s="744"/>
      <c r="N59" s="744"/>
      <c r="O59" s="725"/>
      <c r="P59" s="759">
        <v>58</v>
      </c>
      <c r="Q59" s="760"/>
      <c r="R59" s="746"/>
      <c r="S59" s="729"/>
      <c r="T59" s="747"/>
      <c r="U59" s="489"/>
      <c r="V59" s="392"/>
      <c r="W59" s="731"/>
      <c r="X59" s="732"/>
      <c r="Y59" s="761" t="str">
        <f t="shared" si="27"/>
        <v/>
      </c>
      <c r="Z59" s="762">
        <f t="shared" si="28"/>
        <v>0</v>
      </c>
      <c r="AA59" s="752" t="str">
        <f t="shared" si="29"/>
        <v/>
      </c>
    </row>
    <row r="60" spans="1:40" ht="12.75" customHeight="1">
      <c r="A60" s="456" t="s">
        <v>335</v>
      </c>
      <c r="B60" s="563">
        <v>1194</v>
      </c>
      <c r="C60" s="248">
        <v>3001</v>
      </c>
      <c r="D60" s="248">
        <v>3015</v>
      </c>
      <c r="E60" s="786">
        <v>1</v>
      </c>
      <c r="F60" s="904">
        <v>3001</v>
      </c>
      <c r="G60" s="304">
        <v>1.23E-2</v>
      </c>
      <c r="H60" s="236">
        <v>3000</v>
      </c>
      <c r="I60" s="228">
        <v>3095</v>
      </c>
      <c r="J60" s="278">
        <v>2966.2</v>
      </c>
      <c r="K60" s="232">
        <v>2964.3</v>
      </c>
      <c r="L60" s="249">
        <v>205018146</v>
      </c>
      <c r="M60" s="232">
        <v>68243</v>
      </c>
      <c r="N60" s="249">
        <v>906</v>
      </c>
      <c r="O60" s="272">
        <v>45401.686701388891</v>
      </c>
      <c r="P60" s="283">
        <v>59</v>
      </c>
      <c r="Q60" s="262"/>
      <c r="R60" s="613">
        <v>0</v>
      </c>
      <c r="S60" s="635">
        <v>0</v>
      </c>
      <c r="T60" s="244">
        <v>0</v>
      </c>
      <c r="U60" s="472"/>
      <c r="V60" s="264"/>
      <c r="W60" s="782"/>
      <c r="X60" s="796"/>
      <c r="Y60" s="770">
        <f>IF(D60&lt;&gt;0,($C61*(1-$V$1))-$D60,0)</f>
        <v>13</v>
      </c>
      <c r="Z60" s="771"/>
      <c r="AA60" s="836" t="str">
        <f>MID($A60,1,5)</f>
        <v xml:space="preserve">GGAL </v>
      </c>
    </row>
    <row r="61" spans="1:40" ht="12.75" customHeight="1">
      <c r="A61" s="822" t="s">
        <v>336</v>
      </c>
      <c r="B61" s="776">
        <v>10</v>
      </c>
      <c r="C61" s="777">
        <v>3028</v>
      </c>
      <c r="D61" s="778">
        <v>3036</v>
      </c>
      <c r="E61" s="787">
        <v>1137</v>
      </c>
      <c r="F61" s="905">
        <v>3036</v>
      </c>
      <c r="G61" s="779">
        <v>1.3999999999999999E-2</v>
      </c>
      <c r="H61" s="250">
        <v>3036</v>
      </c>
      <c r="I61" s="251">
        <v>3094.85</v>
      </c>
      <c r="J61" s="280">
        <v>2986.5</v>
      </c>
      <c r="K61" s="252">
        <v>2993.9</v>
      </c>
      <c r="L61" s="254">
        <v>5758796876</v>
      </c>
      <c r="M61" s="252">
        <v>1898769</v>
      </c>
      <c r="N61" s="254">
        <v>5408</v>
      </c>
      <c r="O61" s="275">
        <v>45401.708194444444</v>
      </c>
      <c r="P61" s="656">
        <v>60</v>
      </c>
      <c r="Q61" s="508">
        <v>0</v>
      </c>
      <c r="R61" s="617">
        <v>0</v>
      </c>
      <c r="S61" s="780">
        <v>0</v>
      </c>
      <c r="T61" s="781">
        <v>0</v>
      </c>
      <c r="U61" s="471"/>
      <c r="V61" s="263">
        <v>0</v>
      </c>
      <c r="W61" s="657">
        <v>0</v>
      </c>
      <c r="X61" s="783">
        <v>0</v>
      </c>
      <c r="Y61" s="784">
        <f>IFERROR(INT($Y$1/(F60)),"")</f>
        <v>34</v>
      </c>
      <c r="Z61" s="785"/>
      <c r="AA61" s="837"/>
    </row>
    <row r="62" spans="1:40" ht="12.75" customHeight="1">
      <c r="A62" s="456" t="s">
        <v>574</v>
      </c>
      <c r="B62" s="246">
        <v>243</v>
      </c>
      <c r="C62" s="380">
        <v>1815.5</v>
      </c>
      <c r="D62" s="381">
        <v>1829.5</v>
      </c>
      <c r="E62" s="563">
        <v>204</v>
      </c>
      <c r="F62" s="904">
        <v>1816</v>
      </c>
      <c r="G62" s="304">
        <v>1.4499999999999999E-2</v>
      </c>
      <c r="H62" s="236">
        <v>1809.5</v>
      </c>
      <c r="I62" s="228">
        <v>1895</v>
      </c>
      <c r="J62" s="278">
        <v>1750</v>
      </c>
      <c r="K62" s="232">
        <v>1790</v>
      </c>
      <c r="L62" s="249">
        <v>149437028</v>
      </c>
      <c r="M62" s="232">
        <v>82161</v>
      </c>
      <c r="N62" s="249">
        <v>1137</v>
      </c>
      <c r="O62" s="272">
        <v>45401.686342592591</v>
      </c>
      <c r="P62" s="283">
        <v>61</v>
      </c>
      <c r="Q62" s="262">
        <v>0</v>
      </c>
      <c r="R62" s="613">
        <v>0</v>
      </c>
      <c r="S62" s="635">
        <v>0</v>
      </c>
      <c r="T62" s="244">
        <v>0</v>
      </c>
      <c r="U62" s="472"/>
      <c r="V62" s="264">
        <v>0</v>
      </c>
      <c r="W62" s="376">
        <v>0</v>
      </c>
      <c r="X62" s="639">
        <v>0</v>
      </c>
      <c r="Y62" s="584">
        <f>IF(D62&lt;&gt;0,($C63*(1-$V$1))-$D62,0)</f>
        <v>9.5</v>
      </c>
      <c r="Z62" s="585">
        <f>$F63*($AE$1*$AD$1)</f>
        <v>9.6736438356164385</v>
      </c>
      <c r="AA62" s="834" t="str">
        <f>MID($A62,1,5)</f>
        <v xml:space="preserve">PAMP </v>
      </c>
    </row>
    <row r="63" spans="1:40" ht="12.75" customHeight="1">
      <c r="A63" s="823" t="s">
        <v>575</v>
      </c>
      <c r="B63" s="766">
        <v>33</v>
      </c>
      <c r="C63" s="767">
        <v>1839</v>
      </c>
      <c r="D63" s="767">
        <v>1841</v>
      </c>
      <c r="E63" s="788">
        <v>342</v>
      </c>
      <c r="F63" s="903">
        <v>1839</v>
      </c>
      <c r="G63" s="756">
        <v>2.76E-2</v>
      </c>
      <c r="H63" s="740">
        <v>1802</v>
      </c>
      <c r="I63" s="741">
        <v>1855</v>
      </c>
      <c r="J63" s="742">
        <v>1785</v>
      </c>
      <c r="K63" s="743">
        <v>1789.6</v>
      </c>
      <c r="L63" s="744">
        <v>4147611795</v>
      </c>
      <c r="M63" s="743">
        <v>2264935</v>
      </c>
      <c r="N63" s="744">
        <v>4948</v>
      </c>
      <c r="O63" s="768">
        <v>45401.708252314813</v>
      </c>
      <c r="P63" s="726">
        <v>62</v>
      </c>
      <c r="Q63" s="727">
        <v>0</v>
      </c>
      <c r="R63" s="746">
        <v>0</v>
      </c>
      <c r="S63" s="757">
        <v>0</v>
      </c>
      <c r="T63" s="758">
        <v>0</v>
      </c>
      <c r="U63" s="471"/>
      <c r="V63" s="350">
        <v>0</v>
      </c>
      <c r="W63" s="772">
        <v>0</v>
      </c>
      <c r="X63" s="773">
        <v>0</v>
      </c>
      <c r="Y63" s="774">
        <f>IFERROR(IF($Y$1&lt;&gt;"",INT($Y$1/(D62)),100),100)</f>
        <v>56</v>
      </c>
      <c r="Z63" s="775"/>
      <c r="AA63" s="835"/>
    </row>
    <row r="64" spans="1:40" ht="12.75" customHeight="1">
      <c r="A64" s="643" t="s">
        <v>13</v>
      </c>
      <c r="B64" s="564">
        <v>443</v>
      </c>
      <c r="C64" s="302">
        <v>58580</v>
      </c>
      <c r="D64" s="302">
        <v>58680</v>
      </c>
      <c r="E64" s="791">
        <v>1677</v>
      </c>
      <c r="F64" s="871">
        <v>58660</v>
      </c>
      <c r="G64" s="304">
        <v>-5.9999999999999995E-4</v>
      </c>
      <c r="H64" s="236">
        <v>59010</v>
      </c>
      <c r="I64" s="228">
        <v>59220</v>
      </c>
      <c r="J64" s="278">
        <v>58470</v>
      </c>
      <c r="K64" s="232">
        <v>58700</v>
      </c>
      <c r="L64" s="249">
        <v>80916922560</v>
      </c>
      <c r="M64" s="232">
        <v>137633621</v>
      </c>
      <c r="N64" s="249">
        <v>54948</v>
      </c>
      <c r="O64" s="272">
        <v>45401.6875</v>
      </c>
      <c r="P64" s="283">
        <v>63</v>
      </c>
      <c r="Q64" s="262">
        <v>0</v>
      </c>
      <c r="R64" s="613">
        <v>0</v>
      </c>
      <c r="S64" s="635">
        <v>0</v>
      </c>
      <c r="T64" s="244">
        <v>0</v>
      </c>
      <c r="U64" s="472"/>
      <c r="V64" s="358"/>
      <c r="W64" s="769">
        <f t="shared" ref="W64:W68" si="30">(V64*X64)</f>
        <v>0</v>
      </c>
      <c r="X64" s="630"/>
      <c r="Y64" s="584">
        <f>IF(D64&lt;&gt;0,($C65*(1-$V$1))-$D64,0)</f>
        <v>250</v>
      </c>
      <c r="Z64" s="586"/>
      <c r="AA64" s="587"/>
      <c r="AB64" s="38"/>
      <c r="AC64" s="360">
        <v>325</v>
      </c>
      <c r="AE64" s="47">
        <v>0.47860000000000003</v>
      </c>
      <c r="AF64" s="47">
        <f>AC64*AE64</f>
        <v>155.54500000000002</v>
      </c>
      <c r="AN64" s="373"/>
    </row>
    <row r="65" spans="1:40" ht="12.75" customHeight="1">
      <c r="A65" s="528" t="s">
        <v>2</v>
      </c>
      <c r="B65" s="565">
        <v>286</v>
      </c>
      <c r="C65" s="303">
        <v>58930</v>
      </c>
      <c r="D65" s="511">
        <v>58940</v>
      </c>
      <c r="E65" s="792">
        <v>22641</v>
      </c>
      <c r="F65" s="873">
        <v>58940</v>
      </c>
      <c r="G65" s="306">
        <v>-4.6999999999999993E-3</v>
      </c>
      <c r="H65" s="235">
        <v>59310</v>
      </c>
      <c r="I65" s="226">
        <v>59590</v>
      </c>
      <c r="J65" s="276">
        <v>58800</v>
      </c>
      <c r="K65" s="230">
        <v>59220</v>
      </c>
      <c r="L65" s="233">
        <v>59497560616</v>
      </c>
      <c r="M65" s="230">
        <v>100553501</v>
      </c>
      <c r="N65" s="233">
        <v>22244</v>
      </c>
      <c r="O65" s="273">
        <v>45401.708587962959</v>
      </c>
      <c r="P65" s="282">
        <v>64</v>
      </c>
      <c r="Q65" s="260">
        <v>0</v>
      </c>
      <c r="R65" s="612">
        <v>0</v>
      </c>
      <c r="S65" s="637">
        <v>0</v>
      </c>
      <c r="T65" s="243">
        <v>0</v>
      </c>
      <c r="U65" s="471"/>
      <c r="V65" s="357"/>
      <c r="W65" s="484">
        <f>V64*(C64/100)</f>
        <v>0</v>
      </c>
      <c r="X65" s="629"/>
      <c r="Y65" s="479">
        <f>IFERROR(INT($Y$1/(F64/100)),"")</f>
        <v>174</v>
      </c>
      <c r="Z65" s="588"/>
      <c r="AA65" s="589"/>
      <c r="AB65" s="38"/>
      <c r="AC65" s="360">
        <v>179</v>
      </c>
      <c r="AE65" s="47">
        <v>0.47910000000000003</v>
      </c>
      <c r="AF65" s="47">
        <f t="shared" ref="AF65:AF67" si="31">AC65*AE65</f>
        <v>85.758900000000011</v>
      </c>
      <c r="AN65" s="373"/>
    </row>
    <row r="66" spans="1:40" ht="12.75" customHeight="1">
      <c r="A66" s="527" t="s">
        <v>15</v>
      </c>
      <c r="B66" s="571">
        <v>500000</v>
      </c>
      <c r="C66" s="300">
        <v>55.25</v>
      </c>
      <c r="D66" s="253">
        <v>55.5</v>
      </c>
      <c r="E66" s="793">
        <v>94876</v>
      </c>
      <c r="F66" s="871">
        <v>54</v>
      </c>
      <c r="G66" s="307">
        <v>-2.9600000000000001E-2</v>
      </c>
      <c r="H66" s="238">
        <v>55.95</v>
      </c>
      <c r="I66" s="227">
        <v>56</v>
      </c>
      <c r="J66" s="281">
        <v>54</v>
      </c>
      <c r="K66" s="231">
        <v>55.65</v>
      </c>
      <c r="L66" s="245">
        <v>22613325</v>
      </c>
      <c r="M66" s="231">
        <v>40676528</v>
      </c>
      <c r="N66" s="245">
        <v>6841</v>
      </c>
      <c r="O66" s="274">
        <v>45401.685266203705</v>
      </c>
      <c r="P66" s="283">
        <v>65</v>
      </c>
      <c r="Q66" s="261">
        <v>0</v>
      </c>
      <c r="R66" s="622">
        <v>0</v>
      </c>
      <c r="S66" s="638">
        <v>0</v>
      </c>
      <c r="T66" s="242">
        <v>0</v>
      </c>
      <c r="U66" s="472"/>
      <c r="V66" s="297"/>
      <c r="W66" s="485">
        <f t="shared" si="30"/>
        <v>0</v>
      </c>
      <c r="X66" s="634"/>
      <c r="Y66" s="590">
        <f>IF(D66&lt;&gt;0,($C67*(1-$V$1))-$D66,0)</f>
        <v>-0.5</v>
      </c>
      <c r="Z66" s="591">
        <f>IFERROR(IF(C66&lt;&gt;"",$Y$1/(D64/100)*(C66/100),""),"")</f>
        <v>96.580307822278698</v>
      </c>
      <c r="AA66" s="592">
        <f>IFERROR($AA$1/(D66/100)*(C64/100),"")</f>
        <v>105549.54954954954</v>
      </c>
      <c r="AB66" s="38"/>
      <c r="AC66" s="361"/>
      <c r="AF66" s="47">
        <f t="shared" si="31"/>
        <v>0</v>
      </c>
      <c r="AN66" s="373"/>
    </row>
    <row r="67" spans="1:40" ht="12.75" customHeight="1">
      <c r="A67" s="528" t="s">
        <v>3</v>
      </c>
      <c r="B67" s="572">
        <v>100</v>
      </c>
      <c r="C67" s="237">
        <v>55</v>
      </c>
      <c r="D67" s="372">
        <v>55.4</v>
      </c>
      <c r="E67" s="573">
        <v>31669</v>
      </c>
      <c r="F67" s="873">
        <v>55.3</v>
      </c>
      <c r="G67" s="306">
        <v>-8.9999999999999998E-4</v>
      </c>
      <c r="H67" s="235">
        <v>55.9</v>
      </c>
      <c r="I67" s="226">
        <v>55.9</v>
      </c>
      <c r="J67" s="276">
        <v>55</v>
      </c>
      <c r="K67" s="230">
        <v>55.35</v>
      </c>
      <c r="L67" s="233">
        <v>1160322</v>
      </c>
      <c r="M67" s="230">
        <v>2090449</v>
      </c>
      <c r="N67" s="233">
        <v>410</v>
      </c>
      <c r="O67" s="273">
        <v>45401.692118055558</v>
      </c>
      <c r="P67" s="282">
        <v>66</v>
      </c>
      <c r="Q67" s="260">
        <v>0</v>
      </c>
      <c r="R67" s="612">
        <v>0</v>
      </c>
      <c r="S67" s="637">
        <v>0</v>
      </c>
      <c r="T67" s="243">
        <v>0</v>
      </c>
      <c r="U67" s="471"/>
      <c r="V67" s="296"/>
      <c r="W67" s="486">
        <f>V66*(F66/100)</f>
        <v>0</v>
      </c>
      <c r="X67" s="629"/>
      <c r="Y67" s="480">
        <f>IFERROR(INT($AA$1/(F66/100)),"")</f>
        <v>185</v>
      </c>
      <c r="Z67" s="593">
        <f>IFERROR(IF(C67&lt;&gt;"",$Y$1/(D65/100)*(C67/100),""),"")</f>
        <v>95.719179245285815</v>
      </c>
      <c r="AA67" s="594">
        <f>IFERROR($AA$1/(D67/100)*(C65/100),"")</f>
        <v>106371.84115523465</v>
      </c>
      <c r="AB67" s="38"/>
      <c r="AC67" s="362"/>
      <c r="AD67" s="359"/>
      <c r="AE67" s="359"/>
      <c r="AF67" s="359">
        <f t="shared" si="31"/>
        <v>0</v>
      </c>
      <c r="AN67" s="373"/>
    </row>
    <row r="68" spans="1:40" ht="12.75" customHeight="1">
      <c r="A68" s="527" t="s">
        <v>14</v>
      </c>
      <c r="B68" s="571">
        <v>14</v>
      </c>
      <c r="C68" s="300">
        <v>57.6</v>
      </c>
      <c r="D68" s="253">
        <v>57.68</v>
      </c>
      <c r="E68" s="793">
        <v>1000</v>
      </c>
      <c r="F68" s="871">
        <v>57.62</v>
      </c>
      <c r="G68" s="307">
        <v>-4.7999999999999996E-3</v>
      </c>
      <c r="H68" s="238">
        <v>57.95</v>
      </c>
      <c r="I68" s="227">
        <v>58.38</v>
      </c>
      <c r="J68" s="281">
        <v>57.55</v>
      </c>
      <c r="K68" s="231">
        <v>57.9</v>
      </c>
      <c r="L68" s="245">
        <v>67571040</v>
      </c>
      <c r="M68" s="231">
        <v>116705850</v>
      </c>
      <c r="N68" s="245">
        <v>50041</v>
      </c>
      <c r="O68" s="274">
        <v>45401.687777777777</v>
      </c>
      <c r="P68" s="283">
        <v>67</v>
      </c>
      <c r="Q68" s="261">
        <v>0</v>
      </c>
      <c r="R68" s="622">
        <v>0</v>
      </c>
      <c r="S68" s="638">
        <v>0</v>
      </c>
      <c r="T68" s="242">
        <v>0</v>
      </c>
      <c r="U68" s="472"/>
      <c r="V68" s="355"/>
      <c r="W68" s="487">
        <f t="shared" si="30"/>
        <v>0</v>
      </c>
      <c r="X68" s="631"/>
      <c r="Y68" s="595">
        <f>IF(D68&lt;&gt;0,($C69*(1-$V$1))-$D68,0)</f>
        <v>-0.28000000000000114</v>
      </c>
      <c r="Z68" s="596">
        <f>IFERROR(IF(C68&lt;&gt;"",$Y$1/(D64/100)*(C68/100),""),"")</f>
        <v>100.68824851698197</v>
      </c>
      <c r="AA68" s="597">
        <f>IFERROR($Z$1/(D68/100)*(C64/100),"")</f>
        <v>101560.33287101248</v>
      </c>
      <c r="AB68" s="38"/>
      <c r="AC68" s="363">
        <f>SUM(AC64:AC67)</f>
        <v>504</v>
      </c>
      <c r="AD68" s="364"/>
      <c r="AE68" s="364"/>
      <c r="AF68" s="364">
        <f>SUM(AF64:AF67)</f>
        <v>241.30390000000003</v>
      </c>
    </row>
    <row r="69" spans="1:40" ht="12.75" customHeight="1">
      <c r="A69" s="875" t="s">
        <v>4</v>
      </c>
      <c r="B69" s="876">
        <v>4583</v>
      </c>
      <c r="C69" s="309">
        <v>57.4</v>
      </c>
      <c r="D69" s="877">
        <v>57.45</v>
      </c>
      <c r="E69" s="878">
        <v>8780</v>
      </c>
      <c r="F69" s="874">
        <v>57.41</v>
      </c>
      <c r="G69" s="779">
        <v>-9.300000000000001E-3</v>
      </c>
      <c r="H69" s="250">
        <v>57.62</v>
      </c>
      <c r="I69" s="251">
        <v>58.3</v>
      </c>
      <c r="J69" s="280">
        <v>57.41</v>
      </c>
      <c r="K69" s="252">
        <v>57.95</v>
      </c>
      <c r="L69" s="254">
        <v>20249404</v>
      </c>
      <c r="M69" s="252">
        <v>34978885</v>
      </c>
      <c r="N69" s="254">
        <v>12530</v>
      </c>
      <c r="O69" s="275">
        <v>45401.708622685182</v>
      </c>
      <c r="P69" s="656">
        <v>68</v>
      </c>
      <c r="Q69" s="508">
        <v>0</v>
      </c>
      <c r="R69" s="617">
        <v>0</v>
      </c>
      <c r="S69" s="780">
        <v>0</v>
      </c>
      <c r="T69" s="781">
        <v>0</v>
      </c>
      <c r="U69" s="471"/>
      <c r="V69" s="382"/>
      <c r="W69" s="879">
        <f>V68*(C68/100)</f>
        <v>0</v>
      </c>
      <c r="X69" s="658"/>
      <c r="Y69" s="880">
        <f>IFERROR(INT($Z$1/(F68/100)),"")</f>
        <v>173</v>
      </c>
      <c r="Z69" s="881">
        <f>IFERROR(IF(C69&lt;&gt;"",$Y$1/(D65/100)*(C69/100),""),"")</f>
        <v>99.896016157807352</v>
      </c>
      <c r="AA69" s="882">
        <f>IFERROR($Z$1/(D69/100)*(C65/100),"")</f>
        <v>102576.15317667536</v>
      </c>
      <c r="AB69" s="38"/>
      <c r="AC69" s="830">
        <f>AF68/AC68</f>
        <v>0.47877757936507942</v>
      </c>
      <c r="AD69" s="830"/>
      <c r="AE69" s="830"/>
      <c r="AF69" s="830"/>
    </row>
    <row r="70" spans="1:40" ht="12.75" customHeight="1">
      <c r="A70" s="643" t="s">
        <v>16</v>
      </c>
      <c r="B70" s="571">
        <v>477</v>
      </c>
      <c r="C70" s="300">
        <v>61300</v>
      </c>
      <c r="D70" s="253">
        <v>61310</v>
      </c>
      <c r="E70" s="793">
        <v>4160</v>
      </c>
      <c r="F70" s="871">
        <v>61310</v>
      </c>
      <c r="G70" s="304">
        <v>1.7000000000000001E-3</v>
      </c>
      <c r="H70" s="236">
        <v>62000</v>
      </c>
      <c r="I70" s="228">
        <v>62000</v>
      </c>
      <c r="J70" s="278">
        <v>60750</v>
      </c>
      <c r="K70" s="232">
        <v>61200</v>
      </c>
      <c r="L70" s="249">
        <v>3959958444</v>
      </c>
      <c r="M70" s="232">
        <v>6459939</v>
      </c>
      <c r="N70" s="249">
        <v>2877</v>
      </c>
      <c r="O70" s="272">
        <v>45401.687800925924</v>
      </c>
      <c r="P70" s="283">
        <v>69</v>
      </c>
      <c r="Q70" s="262"/>
      <c r="R70" s="613">
        <v>0</v>
      </c>
      <c r="S70" s="635">
        <v>0</v>
      </c>
      <c r="T70" s="244">
        <v>0</v>
      </c>
      <c r="U70" s="472"/>
      <c r="V70" s="294">
        <v>0</v>
      </c>
      <c r="W70" s="769">
        <f t="shared" ref="W70:W82" si="32">(V70*X70)</f>
        <v>0</v>
      </c>
      <c r="X70" s="630"/>
      <c r="Y70" s="584">
        <f>IF(D70&lt;&gt;0,($C71*(1-$V$1))-$D70,0)</f>
        <v>560</v>
      </c>
      <c r="Z70" s="586"/>
      <c r="AA70" s="587"/>
      <c r="AB70" s="38"/>
      <c r="AC70" s="354">
        <v>506</v>
      </c>
      <c r="AE70" s="47">
        <v>0.48499999999999999</v>
      </c>
      <c r="AF70" s="47">
        <f>AC70*AE70</f>
        <v>245.41</v>
      </c>
    </row>
    <row r="71" spans="1:40" ht="12.75" customHeight="1">
      <c r="A71" s="528" t="s">
        <v>5</v>
      </c>
      <c r="B71" s="572">
        <v>595</v>
      </c>
      <c r="C71" s="237">
        <v>61870</v>
      </c>
      <c r="D71" s="372">
        <v>61940</v>
      </c>
      <c r="E71" s="573">
        <v>2545</v>
      </c>
      <c r="F71" s="873">
        <v>61940</v>
      </c>
      <c r="G71" s="306">
        <v>1.04E-2</v>
      </c>
      <c r="H71" s="235">
        <v>62490</v>
      </c>
      <c r="I71" s="226">
        <v>62490</v>
      </c>
      <c r="J71" s="276">
        <v>61160</v>
      </c>
      <c r="K71" s="230">
        <v>61300</v>
      </c>
      <c r="L71" s="233">
        <v>19963135257</v>
      </c>
      <c r="M71" s="230">
        <v>32318366</v>
      </c>
      <c r="N71" s="233">
        <v>4057</v>
      </c>
      <c r="O71" s="273">
        <v>45401.708472222221</v>
      </c>
      <c r="P71" s="282">
        <v>70</v>
      </c>
      <c r="Q71" s="260">
        <v>0</v>
      </c>
      <c r="R71" s="612">
        <v>0</v>
      </c>
      <c r="S71" s="637">
        <v>0</v>
      </c>
      <c r="T71" s="243">
        <v>0</v>
      </c>
      <c r="U71" s="471"/>
      <c r="V71" s="357">
        <v>0</v>
      </c>
      <c r="W71" s="483">
        <f>V70*(F71/100)</f>
        <v>0</v>
      </c>
      <c r="X71" s="629"/>
      <c r="Y71" s="479">
        <f>IFERROR(INT($Y$1/(F70/100)),"")</f>
        <v>167</v>
      </c>
      <c r="Z71" s="588"/>
      <c r="AA71" s="589"/>
      <c r="AB71" s="38"/>
      <c r="AC71" s="354">
        <v>350</v>
      </c>
      <c r="AE71" s="47">
        <v>0.47600999999999999</v>
      </c>
      <c r="AF71" s="47">
        <f t="shared" ref="AF71:AF73" si="33">AC71*AE71</f>
        <v>166.6035</v>
      </c>
    </row>
    <row r="72" spans="1:40" ht="12.75" customHeight="1">
      <c r="A72" s="527" t="s">
        <v>17</v>
      </c>
      <c r="B72" s="571">
        <v>173</v>
      </c>
      <c r="C72" s="300">
        <v>57.79</v>
      </c>
      <c r="D72" s="253">
        <v>58.5</v>
      </c>
      <c r="E72" s="793">
        <v>51558</v>
      </c>
      <c r="F72" s="871">
        <v>58.5</v>
      </c>
      <c r="G72" s="307">
        <v>1.47E-2</v>
      </c>
      <c r="H72" s="238">
        <v>58</v>
      </c>
      <c r="I72" s="227">
        <v>58.5</v>
      </c>
      <c r="J72" s="281">
        <v>57.35</v>
      </c>
      <c r="K72" s="231">
        <v>57.65</v>
      </c>
      <c r="L72" s="245">
        <v>404179</v>
      </c>
      <c r="M72" s="231">
        <v>696538</v>
      </c>
      <c r="N72" s="245">
        <v>443</v>
      </c>
      <c r="O72" s="274">
        <v>45401.685277777775</v>
      </c>
      <c r="P72" s="283">
        <v>71</v>
      </c>
      <c r="Q72" s="261">
        <v>0</v>
      </c>
      <c r="R72" s="622">
        <v>0</v>
      </c>
      <c r="S72" s="638">
        <v>0</v>
      </c>
      <c r="T72" s="242">
        <v>0</v>
      </c>
      <c r="U72" s="472"/>
      <c r="V72" s="297">
        <v>0</v>
      </c>
      <c r="W72" s="485">
        <f t="shared" ref="W72" si="34">(V72*X72)</f>
        <v>0</v>
      </c>
      <c r="X72" s="634"/>
      <c r="Y72" s="590">
        <f>IF(D72&lt;&gt;0,($C73*(1-$V$1))-$D72,0)</f>
        <v>-1.5</v>
      </c>
      <c r="Z72" s="591">
        <f>IFERROR(IF(C72&lt;&gt;"",$Y$1/(D70/100)*(C72/100),""),"")</f>
        <v>96.686933486871126</v>
      </c>
      <c r="AA72" s="592">
        <f>IFERROR($AA$1/(D72/100)*(C70/100),"")</f>
        <v>104786.3247863248</v>
      </c>
      <c r="AB72" s="38"/>
      <c r="AC72" s="354"/>
      <c r="AF72" s="47">
        <f t="shared" si="33"/>
        <v>0</v>
      </c>
    </row>
    <row r="73" spans="1:40" ht="12.75" customHeight="1">
      <c r="A73" s="528" t="s">
        <v>6</v>
      </c>
      <c r="B73" s="572">
        <v>150000</v>
      </c>
      <c r="C73" s="237">
        <v>57</v>
      </c>
      <c r="D73" s="372">
        <v>58.1</v>
      </c>
      <c r="E73" s="573">
        <v>25000</v>
      </c>
      <c r="F73" s="873">
        <v>57.01</v>
      </c>
      <c r="G73" s="306">
        <v>-9.7999999999999997E-3</v>
      </c>
      <c r="H73" s="235">
        <v>57.3</v>
      </c>
      <c r="I73" s="226">
        <v>58.35</v>
      </c>
      <c r="J73" s="276">
        <v>57.01</v>
      </c>
      <c r="K73" s="230">
        <v>57.58</v>
      </c>
      <c r="L73" s="233">
        <v>174334</v>
      </c>
      <c r="M73" s="230">
        <v>300593</v>
      </c>
      <c r="N73" s="233">
        <v>91</v>
      </c>
      <c r="O73" s="273">
        <v>45401.70480324074</v>
      </c>
      <c r="P73" s="282">
        <v>72</v>
      </c>
      <c r="Q73" s="260">
        <v>0</v>
      </c>
      <c r="R73" s="612">
        <v>0</v>
      </c>
      <c r="S73" s="637">
        <v>0</v>
      </c>
      <c r="T73" s="243">
        <v>0</v>
      </c>
      <c r="U73" s="471"/>
      <c r="V73" s="296">
        <v>0</v>
      </c>
      <c r="W73" s="486">
        <f>V72*(F72/100)</f>
        <v>0</v>
      </c>
      <c r="X73" s="629"/>
      <c r="Y73" s="480">
        <f>IFERROR(INT($AA$1/(F72/100)),"")</f>
        <v>170</v>
      </c>
      <c r="Z73" s="593">
        <f>IFERROR(IF(C73&lt;&gt;"",$Y$1/(D71/100)*(C73/100),""),"")</f>
        <v>94.395232984670571</v>
      </c>
      <c r="AA73" s="594">
        <f>IFERROR($AA$1/(D73/100)*(C71/100),"")</f>
        <v>106488.81239242686</v>
      </c>
      <c r="AB73" s="38"/>
      <c r="AC73" s="359"/>
      <c r="AD73" s="359"/>
      <c r="AE73" s="359"/>
      <c r="AF73" s="359">
        <f t="shared" si="33"/>
        <v>0</v>
      </c>
    </row>
    <row r="74" spans="1:40" ht="12.75" customHeight="1">
      <c r="A74" s="527" t="s">
        <v>18</v>
      </c>
      <c r="B74" s="571">
        <v>500</v>
      </c>
      <c r="C74" s="300">
        <v>60.5</v>
      </c>
      <c r="D74" s="253">
        <v>60.65</v>
      </c>
      <c r="E74" s="793">
        <v>12147</v>
      </c>
      <c r="F74" s="871">
        <v>60.65</v>
      </c>
      <c r="G74" s="307">
        <v>9.300000000000001E-3</v>
      </c>
      <c r="H74" s="238">
        <v>60.25</v>
      </c>
      <c r="I74" s="227">
        <v>60.99</v>
      </c>
      <c r="J74" s="281">
        <v>59.86</v>
      </c>
      <c r="K74" s="231">
        <v>60.09</v>
      </c>
      <c r="L74" s="245">
        <v>1762516</v>
      </c>
      <c r="M74" s="231">
        <v>2919733</v>
      </c>
      <c r="N74" s="245">
        <v>1818</v>
      </c>
      <c r="O74" s="274">
        <v>45401.68309027778</v>
      </c>
      <c r="P74" s="283">
        <v>73</v>
      </c>
      <c r="Q74" s="261">
        <v>0</v>
      </c>
      <c r="R74" s="622">
        <v>0</v>
      </c>
      <c r="S74" s="638">
        <v>0</v>
      </c>
      <c r="T74" s="242">
        <v>0</v>
      </c>
      <c r="U74" s="472"/>
      <c r="V74" s="355">
        <v>0</v>
      </c>
      <c r="W74" s="487">
        <f t="shared" si="32"/>
        <v>0</v>
      </c>
      <c r="X74" s="631"/>
      <c r="Y74" s="595">
        <f>IF(D74&lt;&gt;0,($C75*(1-$V$1))-$D74,0)</f>
        <v>-0.33999999999999631</v>
      </c>
      <c r="Z74" s="596">
        <f>IFERROR(IF(C74&lt;&gt;"",$Y$1/(D70/100)*(C74/100),""),"")</f>
        <v>101.22096341851018</v>
      </c>
      <c r="AA74" s="597">
        <f>IFERROR($Z$1/(D74/100)*(C70/100),"")</f>
        <v>101071.72300082439</v>
      </c>
      <c r="AB74" s="38"/>
      <c r="AC74" s="363">
        <f>SUM(AC70:AC73)</f>
        <v>856</v>
      </c>
      <c r="AD74" s="364"/>
      <c r="AE74" s="364" t="s">
        <v>588</v>
      </c>
      <c r="AF74" s="364">
        <f>SUM(AF70:AF73)</f>
        <v>412.01350000000002</v>
      </c>
    </row>
    <row r="75" spans="1:40" ht="12.75" customHeight="1">
      <c r="A75" s="875" t="s">
        <v>7</v>
      </c>
      <c r="B75" s="876">
        <v>1017</v>
      </c>
      <c r="C75" s="309">
        <v>60.31</v>
      </c>
      <c r="D75" s="877">
        <v>60.4</v>
      </c>
      <c r="E75" s="878">
        <v>640</v>
      </c>
      <c r="F75" s="874">
        <v>60.31</v>
      </c>
      <c r="G75" s="779">
        <v>-1.2999999999999999E-3</v>
      </c>
      <c r="H75" s="250">
        <v>60.44</v>
      </c>
      <c r="I75" s="251">
        <v>60.99</v>
      </c>
      <c r="J75" s="280">
        <v>59.9</v>
      </c>
      <c r="K75" s="252">
        <v>60.39</v>
      </c>
      <c r="L75" s="883">
        <v>956231</v>
      </c>
      <c r="M75" s="252">
        <v>1584097</v>
      </c>
      <c r="N75" s="254">
        <v>795</v>
      </c>
      <c r="O75" s="275">
        <v>45401.705891203703</v>
      </c>
      <c r="P75" s="656">
        <v>74</v>
      </c>
      <c r="Q75" s="508">
        <v>0</v>
      </c>
      <c r="R75" s="617">
        <v>0</v>
      </c>
      <c r="S75" s="780">
        <v>0</v>
      </c>
      <c r="T75" s="781">
        <v>0</v>
      </c>
      <c r="U75" s="471"/>
      <c r="V75" s="356">
        <v>0</v>
      </c>
      <c r="W75" s="879">
        <f>V74*(F74/100)</f>
        <v>0</v>
      </c>
      <c r="X75" s="658"/>
      <c r="Y75" s="880">
        <f>IFERROR(INT($Z$1/(F74/100)),"")</f>
        <v>164</v>
      </c>
      <c r="Z75" s="881">
        <f>IFERROR(IF(C75&lt;&gt;"",$Y$1/(D71/100)*(C75/100),""),"")</f>
        <v>99.876780724657593</v>
      </c>
      <c r="AA75" s="882">
        <f>IFERROR($Z$1/(D75/100)*(C71/100),"")</f>
        <v>102433.77483443711</v>
      </c>
      <c r="AB75" s="38"/>
      <c r="AC75" s="830">
        <f>AF74/AC74</f>
        <v>0.48132418224299067</v>
      </c>
      <c r="AD75" s="830"/>
      <c r="AE75" s="830"/>
      <c r="AF75" s="830"/>
    </row>
    <row r="76" spans="1:40" ht="12.75" customHeight="1">
      <c r="A76" s="644" t="s">
        <v>582</v>
      </c>
      <c r="B76" s="246">
        <v>5000000</v>
      </c>
      <c r="C76" s="300">
        <v>182.4</v>
      </c>
      <c r="D76" s="253">
        <v>183.25</v>
      </c>
      <c r="E76" s="563">
        <v>820000</v>
      </c>
      <c r="F76" s="871">
        <v>182.65</v>
      </c>
      <c r="G76" s="304">
        <v>-1.9E-3</v>
      </c>
      <c r="H76" s="236">
        <v>183.29900000000001</v>
      </c>
      <c r="I76" s="228">
        <v>183.29900000000001</v>
      </c>
      <c r="J76" s="278">
        <v>182.4</v>
      </c>
      <c r="K76" s="232">
        <v>183</v>
      </c>
      <c r="L76" s="249">
        <v>4407236430</v>
      </c>
      <c r="M76" s="232">
        <v>2409770973</v>
      </c>
      <c r="N76" s="249">
        <v>1202</v>
      </c>
      <c r="O76" s="272">
        <v>45401.687557870369</v>
      </c>
      <c r="P76" s="283">
        <v>75</v>
      </c>
      <c r="Q76" s="262">
        <v>0</v>
      </c>
      <c r="R76" s="613">
        <v>0</v>
      </c>
      <c r="S76" s="635">
        <v>0</v>
      </c>
      <c r="T76" s="244">
        <v>0</v>
      </c>
      <c r="U76" s="472"/>
      <c r="V76" s="368"/>
      <c r="W76" s="390">
        <f>V76*X76</f>
        <v>0</v>
      </c>
      <c r="X76" s="630"/>
      <c r="Y76" s="584">
        <f>IF(D76&lt;&gt;0,($C77*(1-$V$1))-$D76,0)</f>
        <v>-0.25</v>
      </c>
      <c r="Z76" s="586"/>
      <c r="AA76" s="587"/>
      <c r="AB76" s="38"/>
    </row>
    <row r="77" spans="1:40" ht="12.75" customHeight="1">
      <c r="A77" s="528" t="s">
        <v>583</v>
      </c>
      <c r="B77" s="568">
        <v>10000000</v>
      </c>
      <c r="C77" s="237">
        <v>183</v>
      </c>
      <c r="D77" s="372">
        <v>184.09</v>
      </c>
      <c r="E77" s="574">
        <v>5000000</v>
      </c>
      <c r="F77" s="873">
        <v>184.089</v>
      </c>
      <c r="G77" s="306">
        <v>-1.2800000000000001E-2</v>
      </c>
      <c r="H77" s="235">
        <v>184.7</v>
      </c>
      <c r="I77" s="226">
        <v>187.75</v>
      </c>
      <c r="J77" s="276">
        <v>182.8</v>
      </c>
      <c r="K77" s="230">
        <v>186.48</v>
      </c>
      <c r="L77" s="233">
        <v>1921033114</v>
      </c>
      <c r="M77" s="230">
        <v>1043535705</v>
      </c>
      <c r="N77" s="233">
        <v>805</v>
      </c>
      <c r="O77" s="273">
        <v>45401.708437499998</v>
      </c>
      <c r="P77" s="282">
        <v>76</v>
      </c>
      <c r="Q77" s="260">
        <v>0</v>
      </c>
      <c r="R77" s="612">
        <v>0</v>
      </c>
      <c r="S77" s="637">
        <v>0</v>
      </c>
      <c r="T77" s="243">
        <v>0</v>
      </c>
      <c r="U77" s="471"/>
      <c r="V77" s="365">
        <v>0</v>
      </c>
      <c r="W77" s="386">
        <f>V76*(F76/100)</f>
        <v>0</v>
      </c>
      <c r="X77" s="629"/>
      <c r="Y77" s="479">
        <f>IFERROR(INT($Y$1/(F76/100)),"")</f>
        <v>56159</v>
      </c>
      <c r="Z77" s="588"/>
      <c r="AA77" s="589"/>
      <c r="AB77" s="38"/>
    </row>
    <row r="78" spans="1:40" ht="12.75" customHeight="1">
      <c r="A78" s="527" t="s">
        <v>584</v>
      </c>
      <c r="B78" s="246">
        <v>498015168</v>
      </c>
      <c r="C78" s="300">
        <v>0.17199999999999999</v>
      </c>
      <c r="D78" s="253">
        <v>0.17299999999999999</v>
      </c>
      <c r="E78" s="563">
        <v>30000000</v>
      </c>
      <c r="F78" s="871">
        <v>0.17199999999999999</v>
      </c>
      <c r="G78" s="307">
        <v>5.7999999999999996E-3</v>
      </c>
      <c r="H78" s="238">
        <v>0.17399999999999999</v>
      </c>
      <c r="I78" s="227">
        <v>0.17399999999999999</v>
      </c>
      <c r="J78" s="281">
        <v>0.17199999999999999</v>
      </c>
      <c r="K78" s="231">
        <v>0.17199999999999999</v>
      </c>
      <c r="L78" s="245">
        <v>4430255</v>
      </c>
      <c r="M78" s="231">
        <v>2563128522</v>
      </c>
      <c r="N78" s="245">
        <v>439</v>
      </c>
      <c r="O78" s="274">
        <v>45401.684756944444</v>
      </c>
      <c r="P78" s="283">
        <v>77</v>
      </c>
      <c r="Q78" s="261">
        <v>0</v>
      </c>
      <c r="R78" s="622">
        <v>0</v>
      </c>
      <c r="S78" s="638">
        <v>0</v>
      </c>
      <c r="T78" s="242">
        <v>0</v>
      </c>
      <c r="U78" s="472"/>
      <c r="V78" s="369">
        <v>0</v>
      </c>
      <c r="W78" s="387">
        <f t="shared" ref="W78" si="35">(V78*X78)</f>
        <v>0</v>
      </c>
      <c r="X78" s="634"/>
      <c r="Y78" s="590">
        <f>IF(D78&lt;&gt;0,($C79*(1-$V$1))-$D78,0)</f>
        <v>-7.2999999999999982E-2</v>
      </c>
      <c r="Z78" s="591">
        <f>IFERROR(IF(C78&lt;&gt;"",$Y$1/(D76/100)*(C78/100),""),"")</f>
        <v>96.278845000753947</v>
      </c>
      <c r="AA78" s="592">
        <f>IFERROR($AA$1/(D78/100)*(C76/100),"")</f>
        <v>105433.52601156071</v>
      </c>
      <c r="AB78" s="38"/>
    </row>
    <row r="79" spans="1:40" ht="12.75" customHeight="1">
      <c r="A79" s="528" t="s">
        <v>585</v>
      </c>
      <c r="B79" s="568">
        <v>100</v>
      </c>
      <c r="C79" s="237">
        <v>0.1</v>
      </c>
      <c r="D79" s="372"/>
      <c r="E79" s="574"/>
      <c r="F79" s="873"/>
      <c r="G79" s="306"/>
      <c r="H79" s="235"/>
      <c r="I79" s="226"/>
      <c r="J79" s="276"/>
      <c r="K79" s="230">
        <v>0.17199999999999999</v>
      </c>
      <c r="L79" s="233"/>
      <c r="M79" s="230"/>
      <c r="N79" s="233"/>
      <c r="O79" s="273"/>
      <c r="P79" s="282">
        <v>78</v>
      </c>
      <c r="Q79" s="260">
        <v>0</v>
      </c>
      <c r="R79" s="612">
        <v>0</v>
      </c>
      <c r="S79" s="637">
        <v>0</v>
      </c>
      <c r="T79" s="243">
        <v>0</v>
      </c>
      <c r="U79" s="471"/>
      <c r="V79" s="366">
        <v>0</v>
      </c>
      <c r="W79" s="388">
        <f>V78*(F78/100)</f>
        <v>0</v>
      </c>
      <c r="X79" s="629"/>
      <c r="Y79" s="480">
        <f>IFERROR(INT($AA$1/(F78/100)),"")</f>
        <v>58139</v>
      </c>
      <c r="Z79" s="593">
        <f>IFERROR(IF(C79&lt;&gt;"",$Y$1/(D77/100)*(C79/100),""),"")</f>
        <v>55.720654667105961</v>
      </c>
      <c r="AA79" s="594" t="str">
        <f>IFERROR($AA$1/(D79/100)*(C77/100),"")</f>
        <v/>
      </c>
      <c r="AB79" s="38"/>
    </row>
    <row r="80" spans="1:40" ht="12.75" customHeight="1">
      <c r="A80" s="527" t="s">
        <v>586</v>
      </c>
      <c r="B80" s="246">
        <v>500189921</v>
      </c>
      <c r="C80" s="380">
        <v>0.17899999999999999</v>
      </c>
      <c r="D80" s="381">
        <v>0.18099999999999999</v>
      </c>
      <c r="E80" s="563">
        <v>171534445</v>
      </c>
      <c r="F80" s="871">
        <v>0.17899999999999999</v>
      </c>
      <c r="G80" s="307">
        <v>-1.1000000000000001E-2</v>
      </c>
      <c r="H80" s="238">
        <v>0.18</v>
      </c>
      <c r="I80" s="227">
        <v>0.18099999999999999</v>
      </c>
      <c r="J80" s="281">
        <v>0.17899999999999999</v>
      </c>
      <c r="K80" s="231">
        <v>0.18099999999999999</v>
      </c>
      <c r="L80" s="245">
        <v>3373915</v>
      </c>
      <c r="M80" s="231">
        <v>1872473144</v>
      </c>
      <c r="N80" s="245">
        <v>489</v>
      </c>
      <c r="O80" s="274">
        <v>45401.684675925928</v>
      </c>
      <c r="P80" s="283">
        <v>79</v>
      </c>
      <c r="Q80" s="261">
        <v>0</v>
      </c>
      <c r="R80" s="622">
        <v>0</v>
      </c>
      <c r="S80" s="638">
        <v>0</v>
      </c>
      <c r="T80" s="242">
        <v>0</v>
      </c>
      <c r="U80" s="472"/>
      <c r="V80" s="370">
        <v>0</v>
      </c>
      <c r="W80" s="389">
        <f t="shared" si="32"/>
        <v>0</v>
      </c>
      <c r="X80" s="631"/>
      <c r="Y80" s="595">
        <f>IF(D80&lt;&gt;0,($C81*(1-$V$1))-$D80,0)</f>
        <v>-2.0000000000000018E-3</v>
      </c>
      <c r="Z80" s="596">
        <f>IFERROR(IF(C80&lt;&gt;"",$Y$1/(D76/100)*(C80/100),""),"")</f>
        <v>100.19717008799394</v>
      </c>
      <c r="AA80" s="597">
        <f>IFERROR($Z$1/(D80/100)*(C76/100),"")</f>
        <v>100773.48066298343</v>
      </c>
      <c r="AB80" s="38"/>
      <c r="AC80"/>
    </row>
    <row r="81" spans="1:29" ht="12.75" customHeight="1">
      <c r="A81" s="875" t="s">
        <v>587</v>
      </c>
      <c r="B81" s="884">
        <v>112850</v>
      </c>
      <c r="C81" s="309">
        <v>0.17899999999999999</v>
      </c>
      <c r="D81" s="877">
        <v>0.182</v>
      </c>
      <c r="E81" s="885">
        <v>745319</v>
      </c>
      <c r="F81" s="874">
        <v>0.18099999999999999</v>
      </c>
      <c r="G81" s="779">
        <v>5.5000000000000005E-3</v>
      </c>
      <c r="H81" s="250">
        <v>0.182</v>
      </c>
      <c r="I81" s="251">
        <v>0.183</v>
      </c>
      <c r="J81" s="280">
        <v>0.17899999999999999</v>
      </c>
      <c r="K81" s="252">
        <v>0.18</v>
      </c>
      <c r="L81" s="254">
        <v>3598</v>
      </c>
      <c r="M81" s="252">
        <v>1992659</v>
      </c>
      <c r="N81" s="254">
        <v>29</v>
      </c>
      <c r="O81" s="275">
        <v>45401.698009259257</v>
      </c>
      <c r="P81" s="656">
        <v>80</v>
      </c>
      <c r="Q81" s="508">
        <v>0</v>
      </c>
      <c r="R81" s="617">
        <v>0</v>
      </c>
      <c r="S81" s="780">
        <v>0</v>
      </c>
      <c r="T81" s="781">
        <v>0</v>
      </c>
      <c r="U81" s="471"/>
      <c r="V81" s="367">
        <v>0</v>
      </c>
      <c r="W81" s="889">
        <f>V80*(F80/100)</f>
        <v>0</v>
      </c>
      <c r="X81" s="658"/>
      <c r="Y81" s="880">
        <f>IFERROR(INT($Z$1/(F80/100)),"")</f>
        <v>55865</v>
      </c>
      <c r="Z81" s="881">
        <f>IFERROR(IF(C81&lt;&gt;"",$Y$1/(D77/100)*(C81/100),""),"")</f>
        <v>99.739971854119673</v>
      </c>
      <c r="AA81" s="882">
        <f>IFERROR($Z$1/(D81/100)*(C77/100),"")</f>
        <v>100549.45054945056</v>
      </c>
      <c r="AB81" s="38"/>
      <c r="AC81"/>
    </row>
    <row r="82" spans="1:29" ht="12.75" customHeight="1">
      <c r="A82" s="644" t="s">
        <v>596</v>
      </c>
      <c r="B82" s="246">
        <v>500000</v>
      </c>
      <c r="C82" s="300">
        <v>116.68</v>
      </c>
      <c r="D82" s="253">
        <v>117</v>
      </c>
      <c r="E82" s="563">
        <v>50000</v>
      </c>
      <c r="F82" s="871">
        <v>117.685</v>
      </c>
      <c r="G82" s="304">
        <v>4.0999999999999995E-3</v>
      </c>
      <c r="H82" s="236">
        <v>121</v>
      </c>
      <c r="I82" s="228">
        <v>121</v>
      </c>
      <c r="J82" s="278">
        <v>113.61</v>
      </c>
      <c r="K82" s="232">
        <v>117.2</v>
      </c>
      <c r="L82" s="249">
        <v>546165382</v>
      </c>
      <c r="M82" s="232">
        <v>469311727</v>
      </c>
      <c r="N82" s="249">
        <v>142</v>
      </c>
      <c r="O82" s="272">
        <v>45401.679814814815</v>
      </c>
      <c r="P82" s="283">
        <v>81</v>
      </c>
      <c r="Q82" s="262">
        <v>0</v>
      </c>
      <c r="R82" s="613">
        <v>0</v>
      </c>
      <c r="S82" s="635">
        <v>0</v>
      </c>
      <c r="T82" s="244">
        <v>0</v>
      </c>
      <c r="U82" s="472"/>
      <c r="V82" s="358"/>
      <c r="W82" s="390">
        <f t="shared" si="32"/>
        <v>0</v>
      </c>
      <c r="X82" s="630"/>
      <c r="Y82" s="584">
        <f>IF(D82&lt;&gt;0,($C83*(1-$V$1))-$D82,0)</f>
        <v>0.34999999999999432</v>
      </c>
      <c r="Z82" s="586"/>
      <c r="AA82" s="587"/>
      <c r="AB82" s="38"/>
      <c r="AC82"/>
    </row>
    <row r="83" spans="1:29" ht="12.75" customHeight="1">
      <c r="A83" s="528" t="s">
        <v>597</v>
      </c>
      <c r="B83" s="568">
        <v>25000000</v>
      </c>
      <c r="C83" s="237">
        <v>117.35</v>
      </c>
      <c r="D83" s="372">
        <v>117.499</v>
      </c>
      <c r="E83" s="574">
        <v>484625</v>
      </c>
      <c r="F83" s="873">
        <v>117.45</v>
      </c>
      <c r="G83" s="306">
        <v>7.7000000000000002E-3</v>
      </c>
      <c r="H83" s="235">
        <v>117</v>
      </c>
      <c r="I83" s="226">
        <v>118.85</v>
      </c>
      <c r="J83" s="276">
        <v>115.003</v>
      </c>
      <c r="K83" s="230">
        <v>116.55</v>
      </c>
      <c r="L83" s="233">
        <v>5661650107</v>
      </c>
      <c r="M83" s="230">
        <v>4824100340</v>
      </c>
      <c r="N83" s="233">
        <v>812</v>
      </c>
      <c r="O83" s="273">
        <v>45401.705127314817</v>
      </c>
      <c r="P83" s="282">
        <v>82</v>
      </c>
      <c r="Q83" s="260">
        <v>0</v>
      </c>
      <c r="R83" s="612">
        <v>0</v>
      </c>
      <c r="S83" s="637">
        <v>0</v>
      </c>
      <c r="T83" s="243">
        <v>0</v>
      </c>
      <c r="U83" s="471"/>
      <c r="V83" s="357"/>
      <c r="W83" s="386">
        <f>V82*(D83/100)</f>
        <v>0</v>
      </c>
      <c r="X83" s="629"/>
      <c r="Y83" s="479">
        <f>IFERROR(INT($Y$1/(F82/100)),"")</f>
        <v>87161</v>
      </c>
      <c r="Z83" s="588"/>
      <c r="AA83" s="589"/>
      <c r="AB83" s="38"/>
      <c r="AC83"/>
    </row>
    <row r="84" spans="1:29" ht="12.75" customHeight="1">
      <c r="A84" s="527" t="s">
        <v>598</v>
      </c>
      <c r="B84" s="246"/>
      <c r="C84" s="300"/>
      <c r="D84" s="253"/>
      <c r="E84" s="563"/>
      <c r="F84" s="871"/>
      <c r="G84" s="307"/>
      <c r="H84" s="238"/>
      <c r="I84" s="227"/>
      <c r="J84" s="281"/>
      <c r="K84" s="231"/>
      <c r="L84" s="245"/>
      <c r="M84" s="231"/>
      <c r="N84" s="245"/>
      <c r="O84" s="274"/>
      <c r="P84" s="283">
        <v>83</v>
      </c>
      <c r="Q84" s="261">
        <v>0</v>
      </c>
      <c r="R84" s="622">
        <v>0</v>
      </c>
      <c r="S84" s="638">
        <v>0</v>
      </c>
      <c r="T84" s="242">
        <v>0</v>
      </c>
      <c r="U84" s="472"/>
      <c r="V84" s="297"/>
      <c r="W84" s="387">
        <f t="shared" ref="W84" si="36">(V84*X84)</f>
        <v>0</v>
      </c>
      <c r="X84" s="634"/>
      <c r="Y84" s="590">
        <f>IF(D84&lt;&gt;0,($C85*(1-$V$1))-$D84,0)</f>
        <v>0</v>
      </c>
      <c r="Z84" s="591" t="str">
        <f>IFERROR(IF(C84&lt;&gt;"",$Y$1/(D82/100)*(C84/100),""),"")</f>
        <v/>
      </c>
      <c r="AA84" s="592" t="str">
        <f>IFERROR($AA$1/(D84/100)*(C82/100),"")</f>
        <v/>
      </c>
      <c r="AB84" s="38"/>
      <c r="AC84"/>
    </row>
    <row r="85" spans="1:29" ht="12.75" customHeight="1">
      <c r="A85" s="528" t="s">
        <v>599</v>
      </c>
      <c r="B85" s="568"/>
      <c r="C85" s="237"/>
      <c r="D85" s="372"/>
      <c r="E85" s="574"/>
      <c r="F85" s="873"/>
      <c r="G85" s="306"/>
      <c r="H85" s="235"/>
      <c r="I85" s="226"/>
      <c r="J85" s="276"/>
      <c r="K85" s="230"/>
      <c r="L85" s="233"/>
      <c r="M85" s="230"/>
      <c r="N85" s="233"/>
      <c r="O85" s="273"/>
      <c r="P85" s="282">
        <v>84</v>
      </c>
      <c r="Q85" s="260">
        <v>0</v>
      </c>
      <c r="R85" s="612">
        <v>0</v>
      </c>
      <c r="S85" s="637">
        <v>0</v>
      </c>
      <c r="T85" s="243">
        <v>0</v>
      </c>
      <c r="U85" s="471"/>
      <c r="V85" s="296">
        <v>0</v>
      </c>
      <c r="W85" s="388">
        <f>V84*(F84/100)</f>
        <v>0</v>
      </c>
      <c r="X85" s="629"/>
      <c r="Y85" s="480" t="str">
        <f>IFERROR(INT($AA$1/(F84/100)),"")</f>
        <v/>
      </c>
      <c r="Z85" s="593" t="str">
        <f>IFERROR(IF(C85&lt;&gt;"",$Y$1/(D83/100)*(C85/100),""),"")</f>
        <v/>
      </c>
      <c r="AA85" s="594" t="str">
        <f>IFERROR($AA$1/(D85/100)*(C83/100),"")</f>
        <v/>
      </c>
      <c r="AB85" s="38"/>
      <c r="AC85"/>
    </row>
    <row r="86" spans="1:29" ht="12.75" customHeight="1">
      <c r="A86" s="527" t="s">
        <v>600</v>
      </c>
      <c r="B86" s="246">
        <v>20</v>
      </c>
      <c r="C86" s="300">
        <v>0.11</v>
      </c>
      <c r="D86" s="253"/>
      <c r="E86" s="563"/>
      <c r="F86" s="871"/>
      <c r="G86" s="307"/>
      <c r="H86" s="238"/>
      <c r="I86" s="227"/>
      <c r="J86" s="281"/>
      <c r="K86" s="231">
        <v>0.109</v>
      </c>
      <c r="L86" s="245"/>
      <c r="M86" s="231"/>
      <c r="N86" s="245"/>
      <c r="O86" s="274"/>
      <c r="P86" s="283">
        <v>85</v>
      </c>
      <c r="Q86" s="261">
        <v>0</v>
      </c>
      <c r="R86" s="622">
        <v>0</v>
      </c>
      <c r="S86" s="638">
        <v>0</v>
      </c>
      <c r="T86" s="242">
        <v>0</v>
      </c>
      <c r="U86" s="472"/>
      <c r="V86" s="355">
        <v>0</v>
      </c>
      <c r="W86" s="389">
        <f t="shared" ref="W86" si="37">(V86*X86)</f>
        <v>0</v>
      </c>
      <c r="X86" s="631"/>
      <c r="Y86" s="595">
        <f>IF(D86&lt;&gt;0,($C87*(1-$V$1))-$D86,0)</f>
        <v>0</v>
      </c>
      <c r="Z86" s="596">
        <f>IFERROR(IF(C86&lt;&gt;"",$Y$1/(D82/100)*(C86/100),""),"")</f>
        <v>96.439118371233263</v>
      </c>
      <c r="AA86" s="597" t="str">
        <f>IFERROR($Z$1/(D86/100)*(C82/100),"")</f>
        <v/>
      </c>
      <c r="AB86" s="38"/>
      <c r="AC86"/>
    </row>
    <row r="87" spans="1:29" ht="12.75" customHeight="1">
      <c r="A87" s="875" t="s">
        <v>601</v>
      </c>
      <c r="B87" s="884"/>
      <c r="C87" s="309"/>
      <c r="D87" s="877"/>
      <c r="E87" s="885"/>
      <c r="F87" s="874"/>
      <c r="G87" s="779"/>
      <c r="H87" s="250"/>
      <c r="I87" s="251"/>
      <c r="J87" s="280"/>
      <c r="K87" s="252"/>
      <c r="L87" s="254"/>
      <c r="M87" s="252"/>
      <c r="N87" s="254"/>
      <c r="O87" s="275"/>
      <c r="P87" s="656">
        <v>86</v>
      </c>
      <c r="Q87" s="508">
        <v>0</v>
      </c>
      <c r="R87" s="617">
        <v>0</v>
      </c>
      <c r="S87" s="780">
        <v>0</v>
      </c>
      <c r="T87" s="781">
        <v>0</v>
      </c>
      <c r="U87" s="471"/>
      <c r="V87" s="356">
        <v>0</v>
      </c>
      <c r="W87" s="887">
        <f>V86*(F86/100)</f>
        <v>0</v>
      </c>
      <c r="X87" s="658"/>
      <c r="Y87" s="880" t="str">
        <f>IFERROR(INT($Z$1/(F86/100)),"")</f>
        <v/>
      </c>
      <c r="Z87" s="881" t="str">
        <f>IFERROR(IF(C87&lt;&gt;"",$Y$1/(D83/100)*(C87/100),""),"")</f>
        <v/>
      </c>
      <c r="AA87" s="882" t="str">
        <f>IFERROR($Z$1/(D87/100)*(C83/100),"")</f>
        <v/>
      </c>
      <c r="AB87" s="38"/>
      <c r="AC87"/>
    </row>
    <row r="88" spans="1:29" ht="12.75" customHeight="1">
      <c r="A88" s="644" t="s">
        <v>568</v>
      </c>
      <c r="B88" s="246"/>
      <c r="C88" s="300"/>
      <c r="D88" s="253"/>
      <c r="E88" s="563"/>
      <c r="F88" s="871"/>
      <c r="G88" s="304"/>
      <c r="H88" s="236"/>
      <c r="I88" s="228"/>
      <c r="J88" s="278"/>
      <c r="K88" s="232"/>
      <c r="L88" s="249"/>
      <c r="M88" s="232"/>
      <c r="N88" s="249"/>
      <c r="O88" s="272"/>
      <c r="P88" s="283">
        <v>87</v>
      </c>
      <c r="Q88" s="262">
        <v>0</v>
      </c>
      <c r="R88" s="613">
        <v>0</v>
      </c>
      <c r="S88" s="635">
        <v>0</v>
      </c>
      <c r="T88" s="244">
        <v>0</v>
      </c>
      <c r="U88" s="472"/>
      <c r="V88" s="358"/>
      <c r="W88" s="390">
        <f t="shared" ref="W88" si="38">(V88*X88)</f>
        <v>0</v>
      </c>
      <c r="X88" s="630"/>
      <c r="Y88" s="584">
        <f>IF(D88&lt;&gt;0,($C89*(1-$V$1))-$D88,0)</f>
        <v>0</v>
      </c>
      <c r="Z88" s="586"/>
      <c r="AA88" s="587"/>
      <c r="AB88" s="38"/>
      <c r="AC88"/>
    </row>
    <row r="89" spans="1:29" ht="12.75" customHeight="1">
      <c r="A89" s="528" t="s">
        <v>569</v>
      </c>
      <c r="B89" s="568"/>
      <c r="C89" s="237"/>
      <c r="D89" s="372"/>
      <c r="E89" s="574"/>
      <c r="F89" s="873"/>
      <c r="G89" s="306"/>
      <c r="H89" s="235"/>
      <c r="I89" s="226"/>
      <c r="J89" s="276"/>
      <c r="K89" s="230"/>
      <c r="L89" s="233"/>
      <c r="M89" s="230"/>
      <c r="N89" s="233"/>
      <c r="O89" s="273"/>
      <c r="P89" s="282">
        <v>88</v>
      </c>
      <c r="Q89" s="260">
        <v>0</v>
      </c>
      <c r="R89" s="612">
        <v>0</v>
      </c>
      <c r="S89" s="637">
        <v>0</v>
      </c>
      <c r="T89" s="243">
        <v>0</v>
      </c>
      <c r="U89" s="471"/>
      <c r="V89" s="357">
        <v>0</v>
      </c>
      <c r="W89" s="386">
        <f>V88*(F88/100)</f>
        <v>0</v>
      </c>
      <c r="X89" s="629"/>
      <c r="Y89" s="479" t="str">
        <f>IFERROR(INT($Y$1/(F88/100)),"")</f>
        <v/>
      </c>
      <c r="Z89" s="588"/>
      <c r="AA89" s="589"/>
      <c r="AB89" s="38"/>
      <c r="AC89"/>
    </row>
    <row r="90" spans="1:29" ht="12.75" customHeight="1">
      <c r="A90" s="527" t="s">
        <v>570</v>
      </c>
      <c r="B90" s="246"/>
      <c r="C90" s="300"/>
      <c r="D90" s="253"/>
      <c r="E90" s="563"/>
      <c r="F90" s="871"/>
      <c r="G90" s="307"/>
      <c r="H90" s="238"/>
      <c r="I90" s="227"/>
      <c r="J90" s="227"/>
      <c r="K90" s="258"/>
      <c r="L90" s="245"/>
      <c r="M90" s="231"/>
      <c r="N90" s="245"/>
      <c r="O90" s="274"/>
      <c r="P90" s="283">
        <v>89</v>
      </c>
      <c r="Q90" s="261">
        <v>0</v>
      </c>
      <c r="R90" s="622">
        <v>0</v>
      </c>
      <c r="S90" s="638">
        <v>0</v>
      </c>
      <c r="T90" s="242">
        <v>0</v>
      </c>
      <c r="U90" s="472"/>
      <c r="V90" s="297"/>
      <c r="W90" s="387">
        <f t="shared" ref="W90" si="39">(V90*X90)</f>
        <v>0</v>
      </c>
      <c r="X90" s="634"/>
      <c r="Y90" s="590">
        <f>IF(D90&lt;&gt;0,($C91*(1-$V$1))-$D90,0)</f>
        <v>0</v>
      </c>
      <c r="Z90" s="591" t="str">
        <f>IFERROR(IF(C90&lt;&gt;"",$Y$1/(D88/100)*(C90/100),""),"")</f>
        <v/>
      </c>
      <c r="AA90" s="592" t="str">
        <f>IFERROR($AA$1/(D90/100)*(C88/100),"")</f>
        <v/>
      </c>
      <c r="AB90" s="38"/>
      <c r="AC90"/>
    </row>
    <row r="91" spans="1:29" ht="12.75" customHeight="1">
      <c r="A91" s="528" t="s">
        <v>571</v>
      </c>
      <c r="B91" s="568"/>
      <c r="C91" s="237"/>
      <c r="D91" s="372"/>
      <c r="E91" s="574"/>
      <c r="F91" s="873"/>
      <c r="G91" s="306"/>
      <c r="H91" s="235"/>
      <c r="I91" s="226"/>
      <c r="J91" s="226"/>
      <c r="K91" s="255"/>
      <c r="L91" s="233"/>
      <c r="M91" s="230"/>
      <c r="N91" s="233"/>
      <c r="O91" s="273"/>
      <c r="P91" s="282">
        <v>90</v>
      </c>
      <c r="Q91" s="260">
        <v>0</v>
      </c>
      <c r="R91" s="612">
        <v>0</v>
      </c>
      <c r="S91" s="637">
        <v>0</v>
      </c>
      <c r="T91" s="243">
        <v>0</v>
      </c>
      <c r="U91" s="471"/>
      <c r="V91" s="296">
        <v>0</v>
      </c>
      <c r="W91" s="388">
        <f>V90*(F90/100)</f>
        <v>0</v>
      </c>
      <c r="X91" s="629"/>
      <c r="Y91" s="480" t="str">
        <f>IFERROR(INT($AA$1/(F90/100)),"")</f>
        <v/>
      </c>
      <c r="Z91" s="593" t="str">
        <f>IFERROR(IF(C91&lt;&gt;"",$Y$1/(D89/100)*(C91/100),""),"")</f>
        <v/>
      </c>
      <c r="AA91" s="594" t="str">
        <f>IFERROR($AA$1/(D91/100)*(C89/100),"")</f>
        <v/>
      </c>
      <c r="AB91" s="38"/>
      <c r="AC91"/>
    </row>
    <row r="92" spans="1:29" ht="12.75" customHeight="1">
      <c r="A92" s="527" t="s">
        <v>572</v>
      </c>
      <c r="B92" s="246"/>
      <c r="C92" s="300"/>
      <c r="D92" s="253"/>
      <c r="E92" s="563"/>
      <c r="F92" s="871"/>
      <c r="G92" s="307"/>
      <c r="H92" s="238"/>
      <c r="I92" s="227"/>
      <c r="J92" s="227"/>
      <c r="K92" s="258"/>
      <c r="L92" s="245"/>
      <c r="M92" s="231"/>
      <c r="N92" s="245"/>
      <c r="O92" s="274"/>
      <c r="P92" s="283">
        <v>91</v>
      </c>
      <c r="Q92" s="261">
        <v>0</v>
      </c>
      <c r="R92" s="622">
        <v>0</v>
      </c>
      <c r="S92" s="638">
        <v>0</v>
      </c>
      <c r="T92" s="242">
        <v>0</v>
      </c>
      <c r="U92" s="472"/>
      <c r="V92" s="355">
        <v>0</v>
      </c>
      <c r="W92" s="389">
        <f t="shared" ref="W92" si="40">(V92*X92)</f>
        <v>0</v>
      </c>
      <c r="X92" s="631"/>
      <c r="Y92" s="595">
        <f>IF(D92&lt;&gt;0,($C93*(1-$V$1))-$D92,0)</f>
        <v>0</v>
      </c>
      <c r="Z92" s="596" t="str">
        <f>IFERROR(IF(C92&lt;&gt;"",$Y$1/(D88/100)*(C92/100),""),"")</f>
        <v/>
      </c>
      <c r="AA92" s="597" t="str">
        <f>IFERROR($Z$1/(D92/100)*(C88/100),"")</f>
        <v/>
      </c>
      <c r="AB92" s="38"/>
      <c r="AC92"/>
    </row>
    <row r="93" spans="1:29" ht="12.75" customHeight="1">
      <c r="A93" s="875" t="s">
        <v>573</v>
      </c>
      <c r="B93" s="884"/>
      <c r="C93" s="309"/>
      <c r="D93" s="877"/>
      <c r="E93" s="885"/>
      <c r="F93" s="874"/>
      <c r="G93" s="779"/>
      <c r="H93" s="250"/>
      <c r="I93" s="251"/>
      <c r="J93" s="251"/>
      <c r="K93" s="886"/>
      <c r="L93" s="254"/>
      <c r="M93" s="252"/>
      <c r="N93" s="254"/>
      <c r="O93" s="275"/>
      <c r="P93" s="656">
        <v>92</v>
      </c>
      <c r="Q93" s="508">
        <v>0</v>
      </c>
      <c r="R93" s="617">
        <v>0</v>
      </c>
      <c r="S93" s="780">
        <v>0</v>
      </c>
      <c r="T93" s="781">
        <v>0</v>
      </c>
      <c r="U93" s="471"/>
      <c r="V93" s="356">
        <v>0</v>
      </c>
      <c r="W93" s="887">
        <f>V92*(F92/100)</f>
        <v>0</v>
      </c>
      <c r="X93" s="658"/>
      <c r="Y93" s="880" t="str">
        <f>IFERROR(INT($Z$1/(F92/100)),"")</f>
        <v/>
      </c>
      <c r="Z93" s="881" t="str">
        <f>IFERROR(IF(C93&lt;&gt;"",$Y$1/(D89/100)*(C93/100),""),"")</f>
        <v/>
      </c>
      <c r="AA93" s="882" t="str">
        <f>IFERROR($Z$1/(D93/100)*(C89/100),"")</f>
        <v/>
      </c>
      <c r="AB93" s="38"/>
      <c r="AC93"/>
    </row>
    <row r="94" spans="1:29" ht="12.75" customHeight="1">
      <c r="A94" s="644" t="s">
        <v>535</v>
      </c>
      <c r="B94" s="246">
        <v>27</v>
      </c>
      <c r="C94" s="300">
        <v>46895</v>
      </c>
      <c r="D94" s="253">
        <v>46960</v>
      </c>
      <c r="E94" s="563">
        <v>43</v>
      </c>
      <c r="F94" s="871">
        <v>46650</v>
      </c>
      <c r="G94" s="304">
        <v>-1.0800000000000001E-2</v>
      </c>
      <c r="H94" s="236">
        <v>46990</v>
      </c>
      <c r="I94" s="228">
        <v>47100</v>
      </c>
      <c r="J94" s="228">
        <v>46000</v>
      </c>
      <c r="K94" s="257">
        <v>47160</v>
      </c>
      <c r="L94" s="249">
        <v>18102029</v>
      </c>
      <c r="M94" s="232">
        <v>38663</v>
      </c>
      <c r="N94" s="249">
        <v>99</v>
      </c>
      <c r="O94" s="272">
        <v>45401.683981481481</v>
      </c>
      <c r="P94" s="283">
        <v>93</v>
      </c>
      <c r="Q94" s="262">
        <v>0</v>
      </c>
      <c r="R94" s="613">
        <v>0</v>
      </c>
      <c r="S94" s="635">
        <v>0</v>
      </c>
      <c r="T94" s="244">
        <v>0</v>
      </c>
      <c r="U94" s="472"/>
      <c r="V94" s="358">
        <v>0</v>
      </c>
      <c r="W94" s="390">
        <f t="shared" ref="W94" si="41">(V94*X94)</f>
        <v>0</v>
      </c>
      <c r="X94" s="630"/>
      <c r="Y94" s="584">
        <f>IF(D94&lt;&gt;0,($C95*(1-$V$1))-$D94,0)</f>
        <v>-20</v>
      </c>
      <c r="Z94" s="586"/>
      <c r="AA94" s="587"/>
      <c r="AB94" s="38"/>
      <c r="AC94"/>
    </row>
    <row r="95" spans="1:29" ht="12.75" customHeight="1">
      <c r="A95" s="528" t="s">
        <v>536</v>
      </c>
      <c r="B95" s="568">
        <v>517</v>
      </c>
      <c r="C95" s="237">
        <v>46940</v>
      </c>
      <c r="D95" s="372">
        <v>46960</v>
      </c>
      <c r="E95" s="574">
        <v>5956</v>
      </c>
      <c r="F95" s="873">
        <v>46960</v>
      </c>
      <c r="G95" s="306">
        <v>-2.0000000000000001E-4</v>
      </c>
      <c r="H95" s="235">
        <v>46990</v>
      </c>
      <c r="I95" s="226">
        <v>47300</v>
      </c>
      <c r="J95" s="226">
        <v>46160</v>
      </c>
      <c r="K95" s="255">
        <v>46970</v>
      </c>
      <c r="L95" s="233">
        <v>283545541</v>
      </c>
      <c r="M95" s="230">
        <v>603117</v>
      </c>
      <c r="N95" s="233">
        <v>397</v>
      </c>
      <c r="O95" s="273">
        <v>45401.708587962959</v>
      </c>
      <c r="P95" s="282">
        <v>94</v>
      </c>
      <c r="Q95" s="260">
        <v>0</v>
      </c>
      <c r="R95" s="612">
        <v>0</v>
      </c>
      <c r="S95" s="637">
        <v>0</v>
      </c>
      <c r="T95" s="243">
        <v>0</v>
      </c>
      <c r="U95" s="471"/>
      <c r="V95" s="357">
        <v>0</v>
      </c>
      <c r="W95" s="386">
        <f>V94*(F94/100)</f>
        <v>0</v>
      </c>
      <c r="X95" s="629"/>
      <c r="Y95" s="479">
        <f>IFERROR(INT($Y$1/(F94/100)),"")</f>
        <v>219</v>
      </c>
      <c r="Z95" s="588"/>
      <c r="AA95" s="589"/>
      <c r="AB95" s="38"/>
      <c r="AC95"/>
    </row>
    <row r="96" spans="1:29" ht="12.75" customHeight="1">
      <c r="A96" s="527" t="s">
        <v>537</v>
      </c>
      <c r="B96" s="246"/>
      <c r="C96" s="300"/>
      <c r="D96" s="253"/>
      <c r="E96" s="563"/>
      <c r="F96" s="871"/>
      <c r="G96" s="307"/>
      <c r="H96" s="238"/>
      <c r="I96" s="227"/>
      <c r="J96" s="227"/>
      <c r="K96" s="258">
        <v>38.42</v>
      </c>
      <c r="L96" s="245"/>
      <c r="M96" s="231"/>
      <c r="N96" s="245"/>
      <c r="O96" s="274"/>
      <c r="P96" s="283">
        <v>95</v>
      </c>
      <c r="Q96" s="261">
        <v>0</v>
      </c>
      <c r="R96" s="622">
        <v>0</v>
      </c>
      <c r="S96" s="638">
        <v>0</v>
      </c>
      <c r="T96" s="242">
        <v>0</v>
      </c>
      <c r="U96" s="472"/>
      <c r="V96" s="297"/>
      <c r="W96" s="387">
        <f t="shared" ref="W96" si="42">(V96*X96)</f>
        <v>0</v>
      </c>
      <c r="X96" s="634"/>
      <c r="Y96" s="590">
        <f>IF(D96&lt;&gt;0,($C97*(1-$V$1))-$D96,0)</f>
        <v>0</v>
      </c>
      <c r="Z96" s="591" t="str">
        <f>IFERROR(IF(C96&lt;&gt;"",$Y$1/(D94/100)*(C96/100),""),"")</f>
        <v/>
      </c>
      <c r="AA96" s="592" t="str">
        <f>IFERROR($AA$1/(D96/100)*(C94/100),"")</f>
        <v/>
      </c>
      <c r="AB96" s="38"/>
      <c r="AC96"/>
    </row>
    <row r="97" spans="1:29" ht="12.75" customHeight="1">
      <c r="A97" s="528" t="s">
        <v>538</v>
      </c>
      <c r="B97" s="568"/>
      <c r="C97" s="237"/>
      <c r="D97" s="372"/>
      <c r="E97" s="574"/>
      <c r="F97" s="873"/>
      <c r="G97" s="306"/>
      <c r="H97" s="235"/>
      <c r="I97" s="226"/>
      <c r="J97" s="226"/>
      <c r="K97" s="255">
        <v>44</v>
      </c>
      <c r="L97" s="233"/>
      <c r="M97" s="230"/>
      <c r="N97" s="233"/>
      <c r="O97" s="273"/>
      <c r="P97" s="282">
        <v>96</v>
      </c>
      <c r="Q97" s="260">
        <v>0</v>
      </c>
      <c r="R97" s="612">
        <v>0</v>
      </c>
      <c r="S97" s="637">
        <v>0</v>
      </c>
      <c r="T97" s="243">
        <v>0</v>
      </c>
      <c r="U97" s="471"/>
      <c r="V97" s="296">
        <v>0</v>
      </c>
      <c r="W97" s="388">
        <f>V96*(F96/100)</f>
        <v>0</v>
      </c>
      <c r="X97" s="629"/>
      <c r="Y97" s="480" t="str">
        <f>IFERROR(INT($AA$1/(F96/100)),"")</f>
        <v/>
      </c>
      <c r="Z97" s="593" t="str">
        <f>IFERROR(IF(C97&lt;&gt;"",$Y$1/(D95/100)*(C97/100),""),"")</f>
        <v/>
      </c>
      <c r="AA97" s="594" t="str">
        <f>IFERROR($AA$1/(D97/100)*(C95/100),"")</f>
        <v/>
      </c>
      <c r="AB97" s="38"/>
    </row>
    <row r="98" spans="1:29" ht="12.75" customHeight="1">
      <c r="A98" s="527" t="s">
        <v>539</v>
      </c>
      <c r="B98" s="246">
        <v>93</v>
      </c>
      <c r="C98" s="300">
        <v>46</v>
      </c>
      <c r="D98" s="253">
        <v>46.75</v>
      </c>
      <c r="E98" s="563">
        <v>8</v>
      </c>
      <c r="F98" s="871">
        <v>45.8</v>
      </c>
      <c r="G98" s="307">
        <v>-2.0299999999999999E-2</v>
      </c>
      <c r="H98" s="238">
        <v>46.95</v>
      </c>
      <c r="I98" s="227">
        <v>46.95</v>
      </c>
      <c r="J98" s="227">
        <v>45.350999999999999</v>
      </c>
      <c r="K98" s="258">
        <v>46.75</v>
      </c>
      <c r="L98" s="245">
        <v>2507</v>
      </c>
      <c r="M98" s="231">
        <v>5437</v>
      </c>
      <c r="N98" s="245">
        <v>11</v>
      </c>
      <c r="O98" s="274">
        <v>45401.635810185187</v>
      </c>
      <c r="P98" s="283">
        <v>97</v>
      </c>
      <c r="Q98" s="261">
        <v>0</v>
      </c>
      <c r="R98" s="622">
        <v>0</v>
      </c>
      <c r="S98" s="638">
        <v>0</v>
      </c>
      <c r="T98" s="242">
        <v>0</v>
      </c>
      <c r="U98" s="472"/>
      <c r="V98" s="355">
        <v>0</v>
      </c>
      <c r="W98" s="389">
        <f t="shared" ref="W98" si="43">(V98*X98)</f>
        <v>0</v>
      </c>
      <c r="X98" s="631"/>
      <c r="Y98" s="595">
        <f>IF(D98&lt;&gt;0,($C99*(1-$V$1))-$D98,0)</f>
        <v>-0.60999999999999943</v>
      </c>
      <c r="Z98" s="596">
        <f>IFERROR(IF(C98&lt;&gt;"",$Y$1/(D94/100)*(C98/100),""),"")</f>
        <v>100.47919604188813</v>
      </c>
      <c r="AA98" s="597">
        <f>IFERROR($Z$1/(D98/100)*(C94/100),"")</f>
        <v>100310.16042780747</v>
      </c>
      <c r="AB98" s="38"/>
      <c r="AC98" s="11"/>
    </row>
    <row r="99" spans="1:29" ht="12.75" customHeight="1">
      <c r="A99" s="875" t="s">
        <v>540</v>
      </c>
      <c r="B99" s="884">
        <v>321</v>
      </c>
      <c r="C99" s="309">
        <v>46.14</v>
      </c>
      <c r="D99" s="877">
        <v>46.15</v>
      </c>
      <c r="E99" s="885">
        <v>6598</v>
      </c>
      <c r="F99" s="874">
        <v>46.15</v>
      </c>
      <c r="G99" s="779">
        <v>3.2000000000000002E-3</v>
      </c>
      <c r="H99" s="250">
        <v>46.899000000000001</v>
      </c>
      <c r="I99" s="251">
        <v>46.9</v>
      </c>
      <c r="J99" s="251">
        <v>44.32</v>
      </c>
      <c r="K99" s="886">
        <v>46</v>
      </c>
      <c r="L99" s="254">
        <v>146120</v>
      </c>
      <c r="M99" s="252">
        <v>316887</v>
      </c>
      <c r="N99" s="254">
        <v>92</v>
      </c>
      <c r="O99" s="275">
        <v>45401.708414351851</v>
      </c>
      <c r="P99" s="656">
        <v>98</v>
      </c>
      <c r="Q99" s="508">
        <v>0</v>
      </c>
      <c r="R99" s="617">
        <v>0</v>
      </c>
      <c r="S99" s="780">
        <v>0</v>
      </c>
      <c r="T99" s="781">
        <v>0</v>
      </c>
      <c r="U99" s="471"/>
      <c r="V99" s="356">
        <v>0</v>
      </c>
      <c r="W99" s="887">
        <f>V98*(F98/100)</f>
        <v>0</v>
      </c>
      <c r="X99" s="658"/>
      <c r="Y99" s="880">
        <f>IFERROR(INT($Z$1/(F98/100)),"")</f>
        <v>218</v>
      </c>
      <c r="Z99" s="881">
        <f>IFERROR(IF(C99&lt;&gt;"",$Y$1/(D95/100)*(C99/100),""),"")</f>
        <v>100.78500229071128</v>
      </c>
      <c r="AA99" s="882">
        <f>IFERROR($Z$1/(D99/100)*(C95/100),"")</f>
        <v>101711.80931744313</v>
      </c>
      <c r="AB99" s="38"/>
      <c r="AC99" s="11"/>
    </row>
    <row r="100" spans="1:29" ht="12.75" customHeight="1">
      <c r="A100" s="644" t="s">
        <v>576</v>
      </c>
      <c r="B100" s="246"/>
      <c r="C100" s="300"/>
      <c r="D100" s="253"/>
      <c r="E100" s="563"/>
      <c r="F100" s="871"/>
      <c r="G100" s="304"/>
      <c r="H100" s="236"/>
      <c r="I100" s="228"/>
      <c r="J100" s="228"/>
      <c r="K100" s="257"/>
      <c r="L100" s="249"/>
      <c r="M100" s="232"/>
      <c r="N100" s="249"/>
      <c r="O100" s="272"/>
      <c r="P100" s="283">
        <v>99</v>
      </c>
      <c r="Q100" s="262">
        <v>0</v>
      </c>
      <c r="R100" s="613">
        <v>0</v>
      </c>
      <c r="S100" s="635">
        <v>0</v>
      </c>
      <c r="T100" s="244">
        <v>0</v>
      </c>
      <c r="U100" s="472"/>
      <c r="V100" s="358">
        <v>0</v>
      </c>
      <c r="W100" s="390">
        <f t="shared" ref="W100" si="44">(V100*X100)</f>
        <v>0</v>
      </c>
      <c r="X100" s="630"/>
      <c r="Y100" s="584">
        <f>IF(D100&lt;&gt;0,($C101*(1-$V$1))-$D100,0)</f>
        <v>0</v>
      </c>
      <c r="Z100" s="586"/>
      <c r="AA100" s="587"/>
      <c r="AB100" s="38"/>
      <c r="AC100" s="11"/>
    </row>
    <row r="101" spans="1:29" ht="12.75" customHeight="1">
      <c r="A101" s="528" t="s">
        <v>577</v>
      </c>
      <c r="B101" s="568"/>
      <c r="C101" s="237"/>
      <c r="D101" s="372"/>
      <c r="E101" s="574"/>
      <c r="F101" s="873"/>
      <c r="G101" s="306"/>
      <c r="H101" s="235"/>
      <c r="I101" s="226"/>
      <c r="J101" s="226"/>
      <c r="K101" s="255"/>
      <c r="L101" s="233"/>
      <c r="M101" s="230"/>
      <c r="N101" s="233"/>
      <c r="O101" s="273"/>
      <c r="P101" s="282">
        <v>100</v>
      </c>
      <c r="Q101" s="260">
        <v>0</v>
      </c>
      <c r="R101" s="612">
        <v>0</v>
      </c>
      <c r="S101" s="637">
        <v>0</v>
      </c>
      <c r="T101" s="243">
        <v>0</v>
      </c>
      <c r="U101" s="471"/>
      <c r="V101" s="357">
        <v>0</v>
      </c>
      <c r="W101" s="386">
        <f>V100*(F100/100)</f>
        <v>0</v>
      </c>
      <c r="X101" s="629"/>
      <c r="Y101" s="479" t="str">
        <f>IFERROR(INT($Y$1/(F100/100)),"")</f>
        <v/>
      </c>
      <c r="Z101" s="588"/>
      <c r="AA101" s="589"/>
      <c r="AB101" s="38"/>
      <c r="AC101" s="11"/>
    </row>
    <row r="102" spans="1:29" ht="12.75" customHeight="1">
      <c r="A102" s="527" t="s">
        <v>578</v>
      </c>
      <c r="B102" s="246"/>
      <c r="C102" s="300"/>
      <c r="D102" s="253"/>
      <c r="E102" s="563"/>
      <c r="F102" s="871"/>
      <c r="G102" s="307"/>
      <c r="H102" s="238"/>
      <c r="I102" s="227"/>
      <c r="J102" s="227"/>
      <c r="K102" s="258"/>
      <c r="L102" s="245"/>
      <c r="M102" s="231"/>
      <c r="N102" s="245"/>
      <c r="O102" s="274"/>
      <c r="P102" s="283">
        <v>101</v>
      </c>
      <c r="Q102" s="261">
        <v>0</v>
      </c>
      <c r="R102" s="622">
        <v>0</v>
      </c>
      <c r="S102" s="638">
        <v>0</v>
      </c>
      <c r="T102" s="242">
        <v>0</v>
      </c>
      <c r="U102" s="472"/>
      <c r="V102" s="297"/>
      <c r="W102" s="387">
        <f t="shared" ref="W102" si="45">(V102*X102)</f>
        <v>0</v>
      </c>
      <c r="X102" s="634"/>
      <c r="Y102" s="590">
        <f>IF(D102&lt;&gt;0,($C103*(1-$V$1))-$D102,0)</f>
        <v>0</v>
      </c>
      <c r="Z102" s="591" t="str">
        <f>IFERROR(IF(C102&lt;&gt;"",$Y$1/(D100/100)*(C102/100),""),"")</f>
        <v/>
      </c>
      <c r="AA102" s="592" t="str">
        <f>IFERROR($AA$1/(D102/100)*(C100/100),"")</f>
        <v/>
      </c>
      <c r="AB102" s="38"/>
      <c r="AC102" s="11"/>
    </row>
    <row r="103" spans="1:29" ht="12.75" customHeight="1">
      <c r="A103" s="528" t="s">
        <v>579</v>
      </c>
      <c r="B103" s="568"/>
      <c r="C103" s="237"/>
      <c r="D103" s="372"/>
      <c r="E103" s="574"/>
      <c r="F103" s="873"/>
      <c r="G103" s="306"/>
      <c r="H103" s="235"/>
      <c r="I103" s="226"/>
      <c r="J103" s="226"/>
      <c r="K103" s="255"/>
      <c r="L103" s="233"/>
      <c r="M103" s="230"/>
      <c r="N103" s="233"/>
      <c r="O103" s="273"/>
      <c r="P103" s="282">
        <v>102</v>
      </c>
      <c r="Q103" s="260">
        <v>0</v>
      </c>
      <c r="R103" s="612">
        <v>0</v>
      </c>
      <c r="S103" s="637">
        <v>0</v>
      </c>
      <c r="T103" s="243">
        <v>0</v>
      </c>
      <c r="U103" s="471"/>
      <c r="V103" s="296">
        <v>0</v>
      </c>
      <c r="W103" s="388">
        <f>V102*(F102/100)</f>
        <v>0</v>
      </c>
      <c r="X103" s="629"/>
      <c r="Y103" s="480" t="str">
        <f>IFERROR(INT($AA$1/(F102/100)),"")</f>
        <v/>
      </c>
      <c r="Z103" s="593" t="str">
        <f>IFERROR(IF(C103&lt;&gt;"",$Y$1/(D101/100)*(C103/100),""),"")</f>
        <v/>
      </c>
      <c r="AA103" s="594" t="str">
        <f>IFERROR($AA$1/(D103/100)*(C101/100),"")</f>
        <v/>
      </c>
      <c r="AB103" s="38"/>
      <c r="AC103" s="11"/>
    </row>
    <row r="104" spans="1:29" ht="12.75" customHeight="1">
      <c r="A104" s="527" t="s">
        <v>580</v>
      </c>
      <c r="B104" s="246"/>
      <c r="C104" s="300"/>
      <c r="D104" s="253"/>
      <c r="E104" s="563"/>
      <c r="F104" s="871"/>
      <c r="G104" s="307"/>
      <c r="H104" s="238"/>
      <c r="I104" s="227"/>
      <c r="J104" s="227"/>
      <c r="K104" s="258"/>
      <c r="L104" s="245"/>
      <c r="M104" s="231"/>
      <c r="N104" s="245"/>
      <c r="O104" s="274"/>
      <c r="P104" s="283">
        <v>103</v>
      </c>
      <c r="Q104" s="261">
        <v>0</v>
      </c>
      <c r="R104" s="622">
        <v>0</v>
      </c>
      <c r="S104" s="638">
        <v>0</v>
      </c>
      <c r="T104" s="242">
        <v>0</v>
      </c>
      <c r="U104" s="472"/>
      <c r="V104" s="355">
        <v>0</v>
      </c>
      <c r="W104" s="389">
        <f t="shared" ref="W104" si="46">(V104*X104)</f>
        <v>0</v>
      </c>
      <c r="X104" s="631"/>
      <c r="Y104" s="595">
        <f>IF(D104&lt;&gt;0,($C105*(1-$V$1))-$D104,0)</f>
        <v>0</v>
      </c>
      <c r="Z104" s="596" t="str">
        <f>IFERROR(IF(C104&lt;&gt;"",$Y$1/(D100/100)*(C104/100),""),"")</f>
        <v/>
      </c>
      <c r="AA104" s="597" t="str">
        <f>IFERROR($Z$1/(D104/100)*(C100/100),"")</f>
        <v/>
      </c>
      <c r="AB104" s="38"/>
      <c r="AC104" s="11"/>
    </row>
    <row r="105" spans="1:29" ht="12.75" customHeight="1">
      <c r="A105" s="875" t="s">
        <v>581</v>
      </c>
      <c r="B105" s="884"/>
      <c r="C105" s="309"/>
      <c r="D105" s="877"/>
      <c r="E105" s="885"/>
      <c r="F105" s="874"/>
      <c r="G105" s="779"/>
      <c r="H105" s="250"/>
      <c r="I105" s="251"/>
      <c r="J105" s="251"/>
      <c r="K105" s="886"/>
      <c r="L105" s="254"/>
      <c r="M105" s="252"/>
      <c r="N105" s="254"/>
      <c r="O105" s="275"/>
      <c r="P105" s="656">
        <v>104</v>
      </c>
      <c r="Q105" s="508">
        <v>0</v>
      </c>
      <c r="R105" s="617">
        <v>0</v>
      </c>
      <c r="S105" s="780">
        <v>0</v>
      </c>
      <c r="T105" s="781">
        <v>0</v>
      </c>
      <c r="U105" s="471"/>
      <c r="V105" s="356">
        <v>0</v>
      </c>
      <c r="W105" s="887">
        <f>V104*(F104/100)</f>
        <v>0</v>
      </c>
      <c r="X105" s="658"/>
      <c r="Y105" s="880" t="str">
        <f>IFERROR(INT($Z$1/(F104/100)),"")</f>
        <v/>
      </c>
      <c r="Z105" s="881" t="str">
        <f>IFERROR(IF(C105&lt;&gt;"",$Y$1/(D101/100)*(C105/100),""),"")</f>
        <v/>
      </c>
      <c r="AA105" s="882" t="str">
        <f>IFERROR($Z$1/(D105/100)*(C101/100),"")</f>
        <v/>
      </c>
      <c r="AB105" s="38"/>
    </row>
    <row r="106" spans="1:29" ht="12.75" customHeight="1">
      <c r="A106" s="644" t="s">
        <v>590</v>
      </c>
      <c r="B106" s="246">
        <v>11</v>
      </c>
      <c r="C106" s="300">
        <v>93940</v>
      </c>
      <c r="D106" s="253">
        <v>95300</v>
      </c>
      <c r="E106" s="563">
        <v>150</v>
      </c>
      <c r="F106" s="871">
        <v>95090</v>
      </c>
      <c r="G106" s="304">
        <v>-5.0000000000000001E-4</v>
      </c>
      <c r="H106" s="236">
        <v>94920</v>
      </c>
      <c r="I106" s="228">
        <v>96400</v>
      </c>
      <c r="J106" s="228">
        <v>94730</v>
      </c>
      <c r="K106" s="257">
        <v>95140</v>
      </c>
      <c r="L106" s="249">
        <v>87435381</v>
      </c>
      <c r="M106" s="232">
        <v>91891</v>
      </c>
      <c r="N106" s="249">
        <v>78</v>
      </c>
      <c r="O106" s="272">
        <v>45401.678981481484</v>
      </c>
      <c r="P106" s="283">
        <v>105</v>
      </c>
      <c r="Q106" s="262">
        <v>0</v>
      </c>
      <c r="R106" s="613">
        <v>0</v>
      </c>
      <c r="S106" s="635">
        <v>0</v>
      </c>
      <c r="T106" s="244">
        <v>0</v>
      </c>
      <c r="U106" s="472"/>
      <c r="V106" s="358"/>
      <c r="W106" s="390">
        <f t="shared" ref="W106" si="47">(V106*X106)</f>
        <v>0</v>
      </c>
      <c r="X106" s="630"/>
      <c r="Y106" s="584">
        <f>IF(D106&lt;&gt;0,($C107*(1-$V$1))-$D106,0)</f>
        <v>550</v>
      </c>
      <c r="Z106" s="586"/>
      <c r="AA106" s="587"/>
      <c r="AB106" s="38"/>
    </row>
    <row r="107" spans="1:29" ht="12.75" customHeight="1">
      <c r="A107" s="528" t="s">
        <v>591</v>
      </c>
      <c r="B107" s="568">
        <v>10380</v>
      </c>
      <c r="C107" s="237">
        <v>95850</v>
      </c>
      <c r="D107" s="372">
        <v>95990</v>
      </c>
      <c r="E107" s="574">
        <v>497</v>
      </c>
      <c r="F107" s="873">
        <v>95850</v>
      </c>
      <c r="G107" s="306">
        <v>6.1999999999999998E-3</v>
      </c>
      <c r="H107" s="235">
        <v>96900</v>
      </c>
      <c r="I107" s="226">
        <v>96900</v>
      </c>
      <c r="J107" s="226">
        <v>93350</v>
      </c>
      <c r="K107" s="255">
        <v>95250</v>
      </c>
      <c r="L107" s="233">
        <v>2050528155</v>
      </c>
      <c r="M107" s="230">
        <v>2141096</v>
      </c>
      <c r="N107" s="233">
        <v>263</v>
      </c>
      <c r="O107" s="273">
        <v>45401.704826388886</v>
      </c>
      <c r="P107" s="282">
        <v>106</v>
      </c>
      <c r="Q107" s="260">
        <v>0</v>
      </c>
      <c r="R107" s="612">
        <v>0</v>
      </c>
      <c r="S107" s="637">
        <v>0</v>
      </c>
      <c r="T107" s="243">
        <v>0</v>
      </c>
      <c r="U107" s="471"/>
      <c r="V107" s="357">
        <v>0</v>
      </c>
      <c r="W107" s="386">
        <f>V106*(F106/100)</f>
        <v>0</v>
      </c>
      <c r="X107" s="629"/>
      <c r="Y107" s="479">
        <f>IFERROR(INT($Y$1/(F106/100)),"")</f>
        <v>107</v>
      </c>
      <c r="Z107" s="588"/>
      <c r="AA107" s="589"/>
      <c r="AB107" s="38"/>
    </row>
    <row r="108" spans="1:29" ht="12.75" customHeight="1">
      <c r="A108" s="527" t="s">
        <v>592</v>
      </c>
      <c r="B108" s="246">
        <v>800</v>
      </c>
      <c r="C108" s="300">
        <v>1E-3</v>
      </c>
      <c r="D108" s="253"/>
      <c r="E108" s="563"/>
      <c r="F108" s="871"/>
      <c r="G108" s="307"/>
      <c r="H108" s="238"/>
      <c r="I108" s="227"/>
      <c r="J108" s="227"/>
      <c r="K108" s="258">
        <v>89.47</v>
      </c>
      <c r="L108" s="245"/>
      <c r="M108" s="231"/>
      <c r="N108" s="245"/>
      <c r="O108" s="274"/>
      <c r="P108" s="283">
        <v>107</v>
      </c>
      <c r="Q108" s="261">
        <v>0</v>
      </c>
      <c r="R108" s="622">
        <v>0</v>
      </c>
      <c r="S108" s="638">
        <v>0</v>
      </c>
      <c r="T108" s="242">
        <v>0</v>
      </c>
      <c r="U108" s="472"/>
      <c r="V108" s="297"/>
      <c r="W108" s="387">
        <f t="shared" ref="W108" si="48">(V108*X108)</f>
        <v>0</v>
      </c>
      <c r="X108" s="634"/>
      <c r="Y108" s="590">
        <f>IF(D108&lt;&gt;0,($C109*(1-$V$1))-$D108,0)</f>
        <v>0</v>
      </c>
      <c r="Z108" s="591">
        <f>IFERROR(IF(C108&lt;&gt;"",$Y$1/(D106/100)*(C108/100),""),"")</f>
        <v>1.0763499808675275E-3</v>
      </c>
      <c r="AA108" s="592" t="str">
        <f>IFERROR($AA$1/(D108/100)*(C106/100),"")</f>
        <v/>
      </c>
      <c r="AB108" s="38"/>
    </row>
    <row r="109" spans="1:29" ht="12.75" customHeight="1">
      <c r="A109" s="528" t="s">
        <v>593</v>
      </c>
      <c r="B109" s="568">
        <v>50000</v>
      </c>
      <c r="C109" s="237">
        <v>89.5</v>
      </c>
      <c r="D109" s="372">
        <v>90.4</v>
      </c>
      <c r="E109" s="574">
        <v>10509</v>
      </c>
      <c r="F109" s="873">
        <v>90.4</v>
      </c>
      <c r="G109" s="306">
        <v>7.1999999999999998E-3</v>
      </c>
      <c r="H109" s="235">
        <v>90.5</v>
      </c>
      <c r="I109" s="226">
        <v>90.5</v>
      </c>
      <c r="J109" s="226">
        <v>89.8</v>
      </c>
      <c r="K109" s="255">
        <v>89.75</v>
      </c>
      <c r="L109" s="233">
        <v>63799</v>
      </c>
      <c r="M109" s="230">
        <v>70787</v>
      </c>
      <c r="N109" s="233">
        <v>42</v>
      </c>
      <c r="O109" s="273">
        <v>45401.704143518517</v>
      </c>
      <c r="P109" s="282">
        <v>108</v>
      </c>
      <c r="Q109" s="260">
        <v>0</v>
      </c>
      <c r="R109" s="612">
        <v>0</v>
      </c>
      <c r="S109" s="637">
        <v>0</v>
      </c>
      <c r="T109" s="243">
        <v>0</v>
      </c>
      <c r="U109" s="471"/>
      <c r="V109" s="296">
        <v>0</v>
      </c>
      <c r="W109" s="388">
        <f>V108*(F108/100)</f>
        <v>0</v>
      </c>
      <c r="X109" s="629"/>
      <c r="Y109" s="480" t="str">
        <f>IFERROR(INT($AA$1/(F108/100)),"")</f>
        <v/>
      </c>
      <c r="Z109" s="593">
        <f>IFERROR(IF(C109&lt;&gt;"",$Y$1/(D107/100)*(C109/100),""),"")</f>
        <v>95.640855394441559</v>
      </c>
      <c r="AA109" s="594">
        <f>IFERROR($AA$1/(D109/100)*(C107/100),"")</f>
        <v>106028.76106194691</v>
      </c>
      <c r="AB109" s="38"/>
    </row>
    <row r="110" spans="1:29" ht="12.75" customHeight="1">
      <c r="A110" s="527" t="s">
        <v>594</v>
      </c>
      <c r="B110" s="246">
        <v>500</v>
      </c>
      <c r="C110" s="300">
        <v>91.5</v>
      </c>
      <c r="D110" s="253">
        <v>95.3</v>
      </c>
      <c r="E110" s="563">
        <v>573</v>
      </c>
      <c r="F110" s="871">
        <v>95.3</v>
      </c>
      <c r="G110" s="307">
        <v>2.7400000000000001E-2</v>
      </c>
      <c r="H110" s="238">
        <v>94.5</v>
      </c>
      <c r="I110" s="227">
        <v>95.3</v>
      </c>
      <c r="J110" s="227">
        <v>94.5</v>
      </c>
      <c r="K110" s="258">
        <v>92.75</v>
      </c>
      <c r="L110" s="245">
        <v>2187</v>
      </c>
      <c r="M110" s="231">
        <v>2311</v>
      </c>
      <c r="N110" s="245">
        <v>7</v>
      </c>
      <c r="O110" s="274">
        <v>45401.669085648151</v>
      </c>
      <c r="P110" s="283">
        <v>109</v>
      </c>
      <c r="Q110" s="261">
        <v>0</v>
      </c>
      <c r="R110" s="622">
        <v>0</v>
      </c>
      <c r="S110" s="638">
        <v>0</v>
      </c>
      <c r="T110" s="242">
        <v>0</v>
      </c>
      <c r="U110" s="472"/>
      <c r="V110" s="355">
        <v>0</v>
      </c>
      <c r="W110" s="389">
        <f t="shared" ref="W110" si="49">(V110*X110)</f>
        <v>0</v>
      </c>
      <c r="X110" s="631"/>
      <c r="Y110" s="595">
        <f>IF(D110&lt;&gt;0,($C111*(1-$V$1))-$D110,0)</f>
        <v>-1.5</v>
      </c>
      <c r="Z110" s="596">
        <f>IFERROR(IF(C110&lt;&gt;"",$Y$1/(D106/100)*(C110/100),""),"")</f>
        <v>98.486023249378761</v>
      </c>
      <c r="AA110" s="597">
        <f>IFERROR($Z$1/(D110/100)*(C106/100),"")</f>
        <v>98572.92759706192</v>
      </c>
      <c r="AB110" s="38"/>
    </row>
    <row r="111" spans="1:29" ht="12.75" customHeight="1">
      <c r="A111" s="875" t="s">
        <v>595</v>
      </c>
      <c r="B111" s="884">
        <v>3415</v>
      </c>
      <c r="C111" s="309">
        <v>93.8</v>
      </c>
      <c r="D111" s="877">
        <v>94.05</v>
      </c>
      <c r="E111" s="885">
        <v>661</v>
      </c>
      <c r="F111" s="874">
        <v>94.05</v>
      </c>
      <c r="G111" s="779">
        <v>1.66E-2</v>
      </c>
      <c r="H111" s="250">
        <v>95.4</v>
      </c>
      <c r="I111" s="251">
        <v>95.4</v>
      </c>
      <c r="J111" s="251">
        <v>92.5</v>
      </c>
      <c r="K111" s="886">
        <v>92.51</v>
      </c>
      <c r="L111" s="254">
        <v>82144</v>
      </c>
      <c r="M111" s="252">
        <v>87347</v>
      </c>
      <c r="N111" s="254">
        <v>53</v>
      </c>
      <c r="O111" s="275">
        <v>45401.708437499998</v>
      </c>
      <c r="P111" s="656">
        <v>110</v>
      </c>
      <c r="Q111" s="508">
        <v>0</v>
      </c>
      <c r="R111" s="617">
        <v>0</v>
      </c>
      <c r="S111" s="780">
        <v>0</v>
      </c>
      <c r="T111" s="781">
        <v>0</v>
      </c>
      <c r="U111" s="471"/>
      <c r="V111" s="356">
        <v>0</v>
      </c>
      <c r="W111" s="887">
        <f>V110*(F110/100)</f>
        <v>0</v>
      </c>
      <c r="X111" s="658"/>
      <c r="Y111" s="880">
        <f>IFERROR(INT($Z$1/(F110/100)),"")</f>
        <v>104</v>
      </c>
      <c r="Z111" s="881">
        <f>IFERROR(IF(C111&lt;&gt;"",$Y$1/(D107/100)*(C111/100),""),"")</f>
        <v>100.23589090501248</v>
      </c>
      <c r="AA111" s="882">
        <f>IFERROR($Z$1/(D111/100)*(C107/100),"")</f>
        <v>101913.87559808612</v>
      </c>
      <c r="AB111" s="38"/>
    </row>
    <row r="112" spans="1:29" ht="12.75" customHeight="1">
      <c r="A112" s="644" t="s">
        <v>547</v>
      </c>
      <c r="B112" s="246">
        <v>1</v>
      </c>
      <c r="C112" s="300">
        <v>53030</v>
      </c>
      <c r="D112" s="253">
        <v>53400</v>
      </c>
      <c r="E112" s="563">
        <v>5</v>
      </c>
      <c r="F112" s="871">
        <v>53030</v>
      </c>
      <c r="G112" s="304">
        <v>8.1000000000000013E-3</v>
      </c>
      <c r="H112" s="236">
        <v>53060</v>
      </c>
      <c r="I112" s="228">
        <v>53380</v>
      </c>
      <c r="J112" s="228">
        <v>52410</v>
      </c>
      <c r="K112" s="257">
        <v>52600</v>
      </c>
      <c r="L112" s="249">
        <v>232547487</v>
      </c>
      <c r="M112" s="232">
        <v>438339</v>
      </c>
      <c r="N112" s="249">
        <v>786</v>
      </c>
      <c r="O112" s="272">
        <v>45401.684594907405</v>
      </c>
      <c r="P112" s="283">
        <v>111</v>
      </c>
      <c r="Q112" s="262">
        <v>0</v>
      </c>
      <c r="R112" s="613">
        <v>0</v>
      </c>
      <c r="S112" s="635">
        <v>0</v>
      </c>
      <c r="T112" s="244">
        <v>0</v>
      </c>
      <c r="U112" s="472"/>
      <c r="V112" s="358"/>
      <c r="W112" s="390">
        <f t="shared" ref="W112" si="50">(V112*X112)</f>
        <v>0</v>
      </c>
      <c r="X112" s="630"/>
      <c r="Y112" s="584">
        <f>IF(D112&lt;&gt;0,($C113*(1-$V$1))-$D112,0)</f>
        <v>-60</v>
      </c>
      <c r="Z112" s="586"/>
      <c r="AA112" s="587"/>
      <c r="AB112" s="38"/>
    </row>
    <row r="113" spans="1:28" ht="12.75" customHeight="1">
      <c r="A113" s="528" t="s">
        <v>183</v>
      </c>
      <c r="B113" s="568">
        <v>14304</v>
      </c>
      <c r="C113" s="237">
        <v>53340</v>
      </c>
      <c r="D113" s="372">
        <v>53350</v>
      </c>
      <c r="E113" s="574">
        <v>3042</v>
      </c>
      <c r="F113" s="873">
        <v>53350</v>
      </c>
      <c r="G113" s="306">
        <v>9.5999999999999992E-3</v>
      </c>
      <c r="H113" s="235">
        <v>53300</v>
      </c>
      <c r="I113" s="226">
        <v>53670</v>
      </c>
      <c r="J113" s="226">
        <v>52510</v>
      </c>
      <c r="K113" s="255">
        <v>52840</v>
      </c>
      <c r="L113" s="233">
        <v>1364745117</v>
      </c>
      <c r="M113" s="230">
        <v>2558883</v>
      </c>
      <c r="N113" s="233">
        <v>1787</v>
      </c>
      <c r="O113" s="273">
        <v>45401.708518518521</v>
      </c>
      <c r="P113" s="282">
        <v>112</v>
      </c>
      <c r="Q113" s="260">
        <v>0</v>
      </c>
      <c r="R113" s="612">
        <v>0</v>
      </c>
      <c r="S113" s="637">
        <v>0</v>
      </c>
      <c r="T113" s="243">
        <v>0</v>
      </c>
      <c r="U113" s="471"/>
      <c r="V113" s="357">
        <v>0</v>
      </c>
      <c r="W113" s="386">
        <f>V112*(F112/100)</f>
        <v>0</v>
      </c>
      <c r="X113" s="629"/>
      <c r="Y113" s="479">
        <f>IFERROR(INT($Y$1/(F112/100)),"")</f>
        <v>193</v>
      </c>
      <c r="Z113" s="588"/>
      <c r="AA113" s="589"/>
      <c r="AB113" s="38"/>
    </row>
    <row r="114" spans="1:28" ht="12.75" customHeight="1">
      <c r="A114" s="527" t="s">
        <v>548</v>
      </c>
      <c r="B114" s="246"/>
      <c r="C114" s="300"/>
      <c r="D114" s="253"/>
      <c r="E114" s="563"/>
      <c r="F114" s="871"/>
      <c r="G114" s="307"/>
      <c r="H114" s="238"/>
      <c r="I114" s="227"/>
      <c r="J114" s="227"/>
      <c r="K114" s="258">
        <v>38</v>
      </c>
      <c r="L114" s="245"/>
      <c r="M114" s="231"/>
      <c r="N114" s="245"/>
      <c r="O114" s="274"/>
      <c r="P114" s="283">
        <v>113</v>
      </c>
      <c r="Q114" s="261">
        <v>0</v>
      </c>
      <c r="R114" s="622">
        <v>0</v>
      </c>
      <c r="S114" s="638">
        <v>0</v>
      </c>
      <c r="T114" s="242">
        <v>0</v>
      </c>
      <c r="U114" s="472"/>
      <c r="V114" s="297"/>
      <c r="W114" s="387">
        <f t="shared" ref="W114" si="51">(V114*X114)</f>
        <v>0</v>
      </c>
      <c r="X114" s="634"/>
      <c r="Y114" s="590">
        <f>IF(D114&lt;&gt;0,($C115*(1-$V$1))-$D114,0)</f>
        <v>0</v>
      </c>
      <c r="Z114" s="591" t="str">
        <f>IFERROR(IF(C114&lt;&gt;"",$Y$1/(D112/100)*(C114/100),""),"")</f>
        <v/>
      </c>
      <c r="AA114" s="592" t="str">
        <f>IFERROR($AA$1/(D114/100)*(C112/100),"")</f>
        <v/>
      </c>
      <c r="AB114" s="38"/>
    </row>
    <row r="115" spans="1:28" ht="12.75" customHeight="1">
      <c r="A115" s="528" t="s">
        <v>230</v>
      </c>
      <c r="B115" s="568"/>
      <c r="C115" s="237"/>
      <c r="D115" s="372"/>
      <c r="E115" s="574"/>
      <c r="F115" s="873"/>
      <c r="G115" s="306"/>
      <c r="H115" s="235"/>
      <c r="I115" s="226"/>
      <c r="J115" s="226"/>
      <c r="K115" s="255">
        <v>35.875</v>
      </c>
      <c r="L115" s="233"/>
      <c r="M115" s="230"/>
      <c r="N115" s="233"/>
      <c r="O115" s="273"/>
      <c r="P115" s="282">
        <v>114</v>
      </c>
      <c r="Q115" s="260">
        <v>0</v>
      </c>
      <c r="R115" s="612">
        <v>0</v>
      </c>
      <c r="S115" s="637">
        <v>0</v>
      </c>
      <c r="T115" s="243">
        <v>0</v>
      </c>
      <c r="U115" s="471"/>
      <c r="V115" s="296">
        <v>0</v>
      </c>
      <c r="W115" s="388">
        <f>V114*(F114/100)</f>
        <v>0</v>
      </c>
      <c r="X115" s="629"/>
      <c r="Y115" s="480" t="str">
        <f>IFERROR(INT($AA$1/(F114/100)),"")</f>
        <v/>
      </c>
      <c r="Z115" s="593" t="str">
        <f>IFERROR(IF(C115&lt;&gt;"",$Y$1/(D113/100)*(C115/100),""),"")</f>
        <v/>
      </c>
      <c r="AA115" s="594" t="str">
        <f>IFERROR($AA$1/(D115/100)*(C113/100),"")</f>
        <v/>
      </c>
      <c r="AB115" s="38"/>
    </row>
    <row r="116" spans="1:28" ht="12.75" customHeight="1">
      <c r="A116" s="527" t="s">
        <v>549</v>
      </c>
      <c r="B116" s="246">
        <v>500</v>
      </c>
      <c r="C116" s="300">
        <v>52.35</v>
      </c>
      <c r="D116" s="253">
        <v>52.7</v>
      </c>
      <c r="E116" s="563">
        <v>3749</v>
      </c>
      <c r="F116" s="871">
        <v>52.31</v>
      </c>
      <c r="G116" s="307">
        <v>-2.2200000000000001E-2</v>
      </c>
      <c r="H116" s="238">
        <v>51.99</v>
      </c>
      <c r="I116" s="227">
        <v>52.92</v>
      </c>
      <c r="J116" s="227">
        <v>51</v>
      </c>
      <c r="K116" s="258">
        <v>53.5</v>
      </c>
      <c r="L116" s="245">
        <v>70781</v>
      </c>
      <c r="M116" s="231">
        <v>135587</v>
      </c>
      <c r="N116" s="245">
        <v>177</v>
      </c>
      <c r="O116" s="274">
        <v>45401.684907407405</v>
      </c>
      <c r="P116" s="283">
        <v>115</v>
      </c>
      <c r="Q116" s="261">
        <v>0</v>
      </c>
      <c r="R116" s="622">
        <v>0</v>
      </c>
      <c r="S116" s="638">
        <v>0</v>
      </c>
      <c r="T116" s="242">
        <v>0</v>
      </c>
      <c r="U116" s="472"/>
      <c r="V116" s="355">
        <v>0</v>
      </c>
      <c r="W116" s="389">
        <f t="shared" ref="W116" si="52">(V116*X116)</f>
        <v>0</v>
      </c>
      <c r="X116" s="631"/>
      <c r="Y116" s="595">
        <f>IF(D116&lt;&gt;0,($C117*(1-$V$1))-$D116,0)</f>
        <v>-0.35000000000000142</v>
      </c>
      <c r="Z116" s="596">
        <f>IFERROR(IF(C116&lt;&gt;"",$Y$1/(D112/100)*(C116/100),""),"")</f>
        <v>100.55920634454971</v>
      </c>
      <c r="AA116" s="597">
        <f>IFERROR($Z$1/(D116/100)*(C112/100),"")</f>
        <v>100626.18595825425</v>
      </c>
      <c r="AB116" s="38"/>
    </row>
    <row r="117" spans="1:28" ht="12.75" customHeight="1">
      <c r="A117" s="875" t="s">
        <v>231</v>
      </c>
      <c r="B117" s="884">
        <v>500</v>
      </c>
      <c r="C117" s="309">
        <v>52.35</v>
      </c>
      <c r="D117" s="877">
        <v>52.78</v>
      </c>
      <c r="E117" s="885">
        <v>5387</v>
      </c>
      <c r="F117" s="874">
        <v>52.75</v>
      </c>
      <c r="G117" s="779">
        <v>9.4999999999999998E-3</v>
      </c>
      <c r="H117" s="250">
        <v>52</v>
      </c>
      <c r="I117" s="251">
        <v>53</v>
      </c>
      <c r="J117" s="251">
        <v>51.9</v>
      </c>
      <c r="K117" s="886">
        <v>52.25</v>
      </c>
      <c r="L117" s="254">
        <v>334838</v>
      </c>
      <c r="M117" s="252">
        <v>640860</v>
      </c>
      <c r="N117" s="254">
        <v>274</v>
      </c>
      <c r="O117" s="275">
        <v>45401.705625000002</v>
      </c>
      <c r="P117" s="656">
        <v>116</v>
      </c>
      <c r="Q117" s="508">
        <v>0</v>
      </c>
      <c r="R117" s="617">
        <v>0</v>
      </c>
      <c r="S117" s="780">
        <v>0</v>
      </c>
      <c r="T117" s="781">
        <v>0</v>
      </c>
      <c r="U117" s="471"/>
      <c r="V117" s="356">
        <v>0</v>
      </c>
      <c r="W117" s="887">
        <f>V116*(F116/100)</f>
        <v>0</v>
      </c>
      <c r="X117" s="658"/>
      <c r="Y117" s="880">
        <f>IFERROR(INT($Z$1/(F116/100)),"")</f>
        <v>191</v>
      </c>
      <c r="Z117" s="881">
        <f>IFERROR(IF(C117&lt;&gt;"",$Y$1/(D113/100)*(C117/100),""),"")</f>
        <v>100.65345114899634</v>
      </c>
      <c r="AA117" s="882">
        <f>IFERROR($Z$1/(D117/100)*(C113/100),"")</f>
        <v>101061.00795755968</v>
      </c>
      <c r="AB117" s="38"/>
    </row>
    <row r="118" spans="1:28" ht="12.75" customHeight="1">
      <c r="A118" s="644" t="s">
        <v>541</v>
      </c>
      <c r="B118" s="246">
        <v>4722</v>
      </c>
      <c r="C118" s="300">
        <v>61050</v>
      </c>
      <c r="D118" s="253">
        <v>61480</v>
      </c>
      <c r="E118" s="563">
        <v>490</v>
      </c>
      <c r="F118" s="871">
        <v>61390</v>
      </c>
      <c r="G118" s="304">
        <v>6.3E-3</v>
      </c>
      <c r="H118" s="236">
        <v>62000</v>
      </c>
      <c r="I118" s="228">
        <v>63000</v>
      </c>
      <c r="J118" s="228">
        <v>61000</v>
      </c>
      <c r="K118" s="257">
        <v>61000</v>
      </c>
      <c r="L118" s="249">
        <v>205739513</v>
      </c>
      <c r="M118" s="232">
        <v>334920</v>
      </c>
      <c r="N118" s="249">
        <v>754</v>
      </c>
      <c r="O118" s="272">
        <v>45401.687638888892</v>
      </c>
      <c r="P118" s="283">
        <v>117</v>
      </c>
      <c r="Q118" s="262">
        <v>0</v>
      </c>
      <c r="R118" s="613">
        <v>0</v>
      </c>
      <c r="S118" s="635">
        <v>0</v>
      </c>
      <c r="T118" s="244">
        <v>0</v>
      </c>
      <c r="U118" s="472"/>
      <c r="V118" s="358"/>
      <c r="W118" s="390">
        <f t="shared" ref="W118" si="53">(V118*X118)</f>
        <v>0</v>
      </c>
      <c r="X118" s="630"/>
      <c r="Y118" s="584">
        <f>IF(D118&lt;&gt;0,($C119*(1-$V$1))-$D118,0)</f>
        <v>-20</v>
      </c>
      <c r="Z118" s="586"/>
      <c r="AA118" s="587"/>
      <c r="AB118" s="38"/>
    </row>
    <row r="119" spans="1:28" ht="12.75" customHeight="1">
      <c r="A119" s="528" t="s">
        <v>186</v>
      </c>
      <c r="B119" s="568">
        <v>4</v>
      </c>
      <c r="C119" s="237">
        <v>61460</v>
      </c>
      <c r="D119" s="372">
        <v>61690</v>
      </c>
      <c r="E119" s="574">
        <v>3049</v>
      </c>
      <c r="F119" s="873">
        <v>61690</v>
      </c>
      <c r="G119" s="306">
        <v>3.0000000000000001E-3</v>
      </c>
      <c r="H119" s="235">
        <v>61510</v>
      </c>
      <c r="I119" s="226">
        <v>62500</v>
      </c>
      <c r="J119" s="226">
        <v>60700</v>
      </c>
      <c r="K119" s="255">
        <v>61500</v>
      </c>
      <c r="L119" s="233">
        <v>692811739</v>
      </c>
      <c r="M119" s="230">
        <v>1124608</v>
      </c>
      <c r="N119" s="233">
        <v>1939</v>
      </c>
      <c r="O119" s="273">
        <v>45401.708379629628</v>
      </c>
      <c r="P119" s="282">
        <v>118</v>
      </c>
      <c r="Q119" s="260">
        <v>0</v>
      </c>
      <c r="R119" s="612">
        <v>0</v>
      </c>
      <c r="S119" s="637">
        <v>0</v>
      </c>
      <c r="T119" s="243">
        <v>0</v>
      </c>
      <c r="U119" s="471"/>
      <c r="V119" s="357">
        <v>0</v>
      </c>
      <c r="W119" s="386">
        <f>V118*(F118/100)</f>
        <v>0</v>
      </c>
      <c r="X119" s="629"/>
      <c r="Y119" s="479">
        <f>IFERROR(INT($Y$1/(F118/100)),"")</f>
        <v>167</v>
      </c>
      <c r="Z119" s="588"/>
      <c r="AA119" s="589"/>
      <c r="AB119" s="38"/>
    </row>
    <row r="120" spans="1:28" ht="12.75" customHeight="1">
      <c r="A120" s="527" t="s">
        <v>542</v>
      </c>
      <c r="B120" s="246"/>
      <c r="C120" s="300"/>
      <c r="D120" s="253"/>
      <c r="E120" s="563"/>
      <c r="F120" s="871"/>
      <c r="G120" s="307"/>
      <c r="H120" s="238"/>
      <c r="I120" s="227"/>
      <c r="J120" s="227"/>
      <c r="K120" s="258">
        <v>54.8</v>
      </c>
      <c r="L120" s="245"/>
      <c r="M120" s="231"/>
      <c r="N120" s="245"/>
      <c r="O120" s="274"/>
      <c r="P120" s="283">
        <v>119</v>
      </c>
      <c r="Q120" s="261">
        <v>0</v>
      </c>
      <c r="R120" s="622">
        <v>0</v>
      </c>
      <c r="S120" s="638">
        <v>0</v>
      </c>
      <c r="T120" s="242">
        <v>0</v>
      </c>
      <c r="U120" s="472"/>
      <c r="V120" s="297"/>
      <c r="W120" s="387">
        <f t="shared" ref="W120" si="54">(V120*X120)</f>
        <v>0</v>
      </c>
      <c r="X120" s="634"/>
      <c r="Y120" s="590">
        <f>IF(D120&lt;&gt;0,($C121*(1-$V$1))-$D120,0)</f>
        <v>0</v>
      </c>
      <c r="Z120" s="591" t="str">
        <f>IFERROR(IF(C120&lt;&gt;"",$Y$1/(D118/100)*(C120/100),""),"")</f>
        <v/>
      </c>
      <c r="AA120" s="592" t="str">
        <f>IFERROR($AA$1/(D120/100)*(C118/100),"")</f>
        <v/>
      </c>
      <c r="AB120" s="38"/>
    </row>
    <row r="121" spans="1:28" ht="12.75" customHeight="1">
      <c r="A121" s="528" t="s">
        <v>238</v>
      </c>
      <c r="B121" s="568"/>
      <c r="C121" s="237"/>
      <c r="D121" s="372"/>
      <c r="E121" s="574"/>
      <c r="F121" s="873"/>
      <c r="G121" s="306"/>
      <c r="H121" s="235"/>
      <c r="I121" s="226"/>
      <c r="J121" s="226"/>
      <c r="K121" s="255">
        <v>46.3</v>
      </c>
      <c r="L121" s="233"/>
      <c r="M121" s="230"/>
      <c r="N121" s="233"/>
      <c r="O121" s="273"/>
      <c r="P121" s="282">
        <v>120</v>
      </c>
      <c r="Q121" s="260">
        <v>0</v>
      </c>
      <c r="R121" s="612">
        <v>0</v>
      </c>
      <c r="S121" s="637">
        <v>0</v>
      </c>
      <c r="T121" s="243">
        <v>0</v>
      </c>
      <c r="U121" s="471"/>
      <c r="V121" s="296">
        <v>0</v>
      </c>
      <c r="W121" s="388">
        <f>V120*(F120/100)</f>
        <v>0</v>
      </c>
      <c r="X121" s="629"/>
      <c r="Y121" s="480" t="str">
        <f>IFERROR(INT($AA$1/(F120/100)),"")</f>
        <v/>
      </c>
      <c r="Z121" s="593" t="str">
        <f>IFERROR(IF(C121&lt;&gt;"",$Y$1/(D119/100)*(C121/100),""),"")</f>
        <v/>
      </c>
      <c r="AA121" s="594" t="str">
        <f>IFERROR($AA$1/(D121/100)*(C119/100),"")</f>
        <v/>
      </c>
      <c r="AB121" s="38"/>
    </row>
    <row r="122" spans="1:28" ht="12.75" customHeight="1">
      <c r="A122" s="527" t="s">
        <v>543</v>
      </c>
      <c r="B122" s="246">
        <v>10</v>
      </c>
      <c r="C122" s="300">
        <v>60.5</v>
      </c>
      <c r="D122" s="253">
        <v>61.1</v>
      </c>
      <c r="E122" s="563">
        <v>384</v>
      </c>
      <c r="F122" s="871">
        <v>61.1</v>
      </c>
      <c r="G122" s="307">
        <v>1.0500000000000001E-2</v>
      </c>
      <c r="H122" s="238">
        <v>60.46</v>
      </c>
      <c r="I122" s="227">
        <v>61.99</v>
      </c>
      <c r="J122" s="227">
        <v>59.57</v>
      </c>
      <c r="K122" s="258">
        <v>60.46</v>
      </c>
      <c r="L122" s="245">
        <v>93199</v>
      </c>
      <c r="M122" s="231">
        <v>153743</v>
      </c>
      <c r="N122" s="245">
        <v>383</v>
      </c>
      <c r="O122" s="274">
        <v>45401.680775462963</v>
      </c>
      <c r="P122" s="283">
        <v>121</v>
      </c>
      <c r="Q122" s="261">
        <v>0</v>
      </c>
      <c r="R122" s="622">
        <v>0</v>
      </c>
      <c r="S122" s="638">
        <v>0</v>
      </c>
      <c r="T122" s="242">
        <v>0</v>
      </c>
      <c r="U122" s="472"/>
      <c r="V122" s="355"/>
      <c r="W122" s="389">
        <f t="shared" ref="W122" si="55">(V122*X122)</f>
        <v>0</v>
      </c>
      <c r="X122" s="631"/>
      <c r="Y122" s="595">
        <f>IF(D122&lt;&gt;0,($C123*(1-$V$1))-$D122,0)</f>
        <v>-0.85000000000000142</v>
      </c>
      <c r="Z122" s="596">
        <f>IFERROR(IF(C122&lt;&gt;"",$Y$1/(D118/100)*(C122/100),""),"")</f>
        <v>100.94107461270103</v>
      </c>
      <c r="AA122" s="597">
        <f>IFERROR($Z$1/(D122/100)*(C118/100),"")</f>
        <v>99918.166939443545</v>
      </c>
      <c r="AB122" s="38"/>
    </row>
    <row r="123" spans="1:28" ht="12.75" customHeight="1">
      <c r="A123" s="875" t="s">
        <v>239</v>
      </c>
      <c r="B123" s="884">
        <v>5908</v>
      </c>
      <c r="C123" s="309">
        <v>60.25</v>
      </c>
      <c r="D123" s="877">
        <v>60.7</v>
      </c>
      <c r="E123" s="885">
        <v>580</v>
      </c>
      <c r="F123" s="874">
        <v>60.7</v>
      </c>
      <c r="G123" s="779">
        <v>-1.9E-3</v>
      </c>
      <c r="H123" s="250">
        <v>60</v>
      </c>
      <c r="I123" s="251">
        <v>61.9</v>
      </c>
      <c r="J123" s="251">
        <v>59.55</v>
      </c>
      <c r="K123" s="886">
        <v>60.82</v>
      </c>
      <c r="L123" s="254">
        <v>225230</v>
      </c>
      <c r="M123" s="252">
        <v>371280</v>
      </c>
      <c r="N123" s="254">
        <v>514</v>
      </c>
      <c r="O123" s="275">
        <v>45401.708368055559</v>
      </c>
      <c r="P123" s="656">
        <v>122</v>
      </c>
      <c r="Q123" s="508">
        <v>0</v>
      </c>
      <c r="R123" s="617">
        <v>0</v>
      </c>
      <c r="S123" s="780">
        <v>0</v>
      </c>
      <c r="T123" s="781">
        <v>0</v>
      </c>
      <c r="U123" s="471"/>
      <c r="V123" s="356">
        <v>0</v>
      </c>
      <c r="W123" s="888">
        <f>V122*(F122/100)</f>
        <v>0</v>
      </c>
      <c r="X123" s="658"/>
      <c r="Y123" s="880">
        <f>IFERROR(INT($Z$1/(F122/100)),"")</f>
        <v>163</v>
      </c>
      <c r="Z123" s="881">
        <f>IFERROR(IF(C123&lt;&gt;"",$Y$1/(D119/100)*(C123/100),""),"")</f>
        <v>100.18176736739652</v>
      </c>
      <c r="AA123" s="882">
        <f>IFERROR($Z$1/(D123/100)*(C119/100),"")</f>
        <v>101252.05930807251</v>
      </c>
      <c r="AB123" s="38"/>
    </row>
    <row r="124" spans="1:28" ht="12.75" customHeight="1">
      <c r="A124" s="644" t="s">
        <v>544</v>
      </c>
      <c r="B124" s="246">
        <v>359</v>
      </c>
      <c r="C124" s="300">
        <v>49265</v>
      </c>
      <c r="D124" s="253">
        <v>49580</v>
      </c>
      <c r="E124" s="563">
        <v>400</v>
      </c>
      <c r="F124" s="871">
        <v>49570</v>
      </c>
      <c r="G124" s="304">
        <v>1.49E-2</v>
      </c>
      <c r="H124" s="236">
        <v>48820</v>
      </c>
      <c r="I124" s="228">
        <v>49785</v>
      </c>
      <c r="J124" s="228">
        <v>48350</v>
      </c>
      <c r="K124" s="257">
        <v>48840</v>
      </c>
      <c r="L124" s="249">
        <v>395590290</v>
      </c>
      <c r="M124" s="232">
        <v>804648</v>
      </c>
      <c r="N124" s="249">
        <v>1171</v>
      </c>
      <c r="O124" s="272">
        <v>45401.687615740739</v>
      </c>
      <c r="P124" s="283">
        <v>123</v>
      </c>
      <c r="Q124" s="262">
        <v>0</v>
      </c>
      <c r="R124" s="613">
        <v>0</v>
      </c>
      <c r="S124" s="635">
        <v>0</v>
      </c>
      <c r="T124" s="244">
        <v>0</v>
      </c>
      <c r="U124" s="472"/>
      <c r="V124" s="358"/>
      <c r="W124" s="390">
        <f t="shared" ref="W124" si="56">(V124*X124)</f>
        <v>0</v>
      </c>
      <c r="X124" s="630"/>
      <c r="Y124" s="584">
        <f>IF(D124&lt;&gt;0,($C125*(1-$V$1))-$D124,0)</f>
        <v>310</v>
      </c>
      <c r="Z124" s="586"/>
      <c r="AA124" s="587"/>
      <c r="AB124" s="38"/>
    </row>
    <row r="125" spans="1:28" ht="12.75" customHeight="1">
      <c r="A125" s="528" t="s">
        <v>184</v>
      </c>
      <c r="B125" s="568">
        <v>9448</v>
      </c>
      <c r="C125" s="237">
        <v>49890</v>
      </c>
      <c r="D125" s="372">
        <v>49900</v>
      </c>
      <c r="E125" s="574">
        <v>36844</v>
      </c>
      <c r="F125" s="873">
        <v>49890</v>
      </c>
      <c r="G125" s="306">
        <v>1.7100000000000001E-2</v>
      </c>
      <c r="H125" s="235">
        <v>49100</v>
      </c>
      <c r="I125" s="226">
        <v>49995</v>
      </c>
      <c r="J125" s="226">
        <v>48900</v>
      </c>
      <c r="K125" s="255">
        <v>49050</v>
      </c>
      <c r="L125" s="233">
        <v>2075041556</v>
      </c>
      <c r="M125" s="230">
        <v>4187673</v>
      </c>
      <c r="N125" s="233">
        <v>2843</v>
      </c>
      <c r="O125" s="273">
        <v>45401.708379629628</v>
      </c>
      <c r="P125" s="282">
        <v>124</v>
      </c>
      <c r="Q125" s="260">
        <v>0</v>
      </c>
      <c r="R125" s="612">
        <v>0</v>
      </c>
      <c r="S125" s="637">
        <v>0</v>
      </c>
      <c r="T125" s="243">
        <v>0</v>
      </c>
      <c r="U125" s="471"/>
      <c r="V125" s="357">
        <v>0</v>
      </c>
      <c r="W125" s="386">
        <f>V124*(F124/100)</f>
        <v>0</v>
      </c>
      <c r="X125" s="629"/>
      <c r="Y125" s="479">
        <f>IFERROR(INT($Y$1/(F124/100)),"")</f>
        <v>206</v>
      </c>
      <c r="Z125" s="588"/>
      <c r="AA125" s="589"/>
      <c r="AB125" s="38"/>
    </row>
    <row r="126" spans="1:28" ht="12.75" customHeight="1">
      <c r="A126" s="527" t="s">
        <v>545</v>
      </c>
      <c r="B126" s="246"/>
      <c r="C126" s="300"/>
      <c r="D126" s="253"/>
      <c r="E126" s="563"/>
      <c r="F126" s="871"/>
      <c r="G126" s="307"/>
      <c r="H126" s="238"/>
      <c r="I126" s="227"/>
      <c r="J126" s="227"/>
      <c r="K126" s="258">
        <v>36</v>
      </c>
      <c r="L126" s="245"/>
      <c r="M126" s="231"/>
      <c r="N126" s="245"/>
      <c r="O126" s="274"/>
      <c r="P126" s="283">
        <v>125</v>
      </c>
      <c r="Q126" s="261">
        <v>0</v>
      </c>
      <c r="R126" s="622">
        <v>0</v>
      </c>
      <c r="S126" s="638">
        <v>0</v>
      </c>
      <c r="T126" s="242">
        <v>0</v>
      </c>
      <c r="U126" s="472"/>
      <c r="V126" s="297"/>
      <c r="W126" s="387">
        <f t="shared" ref="W126" si="57">(V126*X126)</f>
        <v>0</v>
      </c>
      <c r="X126" s="634"/>
      <c r="Y126" s="590">
        <f>IF(D126&lt;&gt;0,($C127*(1-$V$1))-$D126,0)</f>
        <v>0</v>
      </c>
      <c r="Z126" s="591" t="str">
        <f>IFERROR(IF(C126&lt;&gt;"",$Y$1/(D124/100)*(C126/100),""),"")</f>
        <v/>
      </c>
      <c r="AA126" s="592" t="str">
        <f>IFERROR($AA$1/(D126/100)*(C124/100),"")</f>
        <v/>
      </c>
      <c r="AB126" s="38"/>
    </row>
    <row r="127" spans="1:28" ht="12.75" customHeight="1">
      <c r="A127" s="528" t="s">
        <v>240</v>
      </c>
      <c r="B127" s="568"/>
      <c r="C127" s="237"/>
      <c r="D127" s="372"/>
      <c r="E127" s="574"/>
      <c r="F127" s="873"/>
      <c r="G127" s="306"/>
      <c r="H127" s="235"/>
      <c r="I127" s="226"/>
      <c r="J127" s="226"/>
      <c r="K127" s="255">
        <v>32.188000000000002</v>
      </c>
      <c r="L127" s="233"/>
      <c r="M127" s="230"/>
      <c r="N127" s="233"/>
      <c r="O127" s="273"/>
      <c r="P127" s="282">
        <v>126</v>
      </c>
      <c r="Q127" s="260">
        <v>0</v>
      </c>
      <c r="R127" s="612">
        <v>0</v>
      </c>
      <c r="S127" s="637">
        <v>0</v>
      </c>
      <c r="T127" s="243">
        <v>0</v>
      </c>
      <c r="U127" s="471"/>
      <c r="V127" s="296">
        <v>0</v>
      </c>
      <c r="W127" s="388">
        <f>V126*(F126/100)</f>
        <v>0</v>
      </c>
      <c r="X127" s="629"/>
      <c r="Y127" s="480" t="str">
        <f>IFERROR(INT($AA$1/(F126/100)),"")</f>
        <v/>
      </c>
      <c r="Z127" s="593" t="str">
        <f>IFERROR(IF(C127&lt;&gt;"",$Y$1/(D125/100)*(C127/100),""),"")</f>
        <v/>
      </c>
      <c r="AA127" s="594" t="str">
        <f>IFERROR($AA$1/(D127/100)*(C125/100),"")</f>
        <v/>
      </c>
      <c r="AB127" s="38"/>
    </row>
    <row r="128" spans="1:28" ht="12.75" customHeight="1">
      <c r="A128" s="527" t="s">
        <v>546</v>
      </c>
      <c r="B128" s="246">
        <v>68086</v>
      </c>
      <c r="C128" s="300">
        <v>48.61</v>
      </c>
      <c r="D128" s="253">
        <v>49</v>
      </c>
      <c r="E128" s="563">
        <v>825</v>
      </c>
      <c r="F128" s="871">
        <v>49</v>
      </c>
      <c r="G128" s="307">
        <v>1.44E-2</v>
      </c>
      <c r="H128" s="238">
        <v>48.987000000000002</v>
      </c>
      <c r="I128" s="227">
        <v>49.45</v>
      </c>
      <c r="J128" s="227">
        <v>47.55</v>
      </c>
      <c r="K128" s="258">
        <v>48.3</v>
      </c>
      <c r="L128" s="245">
        <v>229395</v>
      </c>
      <c r="M128" s="231">
        <v>472077</v>
      </c>
      <c r="N128" s="245">
        <v>361</v>
      </c>
      <c r="O128" s="274">
        <v>45401.685381944444</v>
      </c>
      <c r="P128" s="283">
        <v>127</v>
      </c>
      <c r="Q128" s="261">
        <v>0</v>
      </c>
      <c r="R128" s="622">
        <v>0</v>
      </c>
      <c r="S128" s="638">
        <v>0</v>
      </c>
      <c r="T128" s="242">
        <v>0</v>
      </c>
      <c r="U128" s="472"/>
      <c r="V128" s="355">
        <v>0</v>
      </c>
      <c r="W128" s="389">
        <f t="shared" ref="W128" si="58">(V128*X128)</f>
        <v>0</v>
      </c>
      <c r="X128" s="631"/>
      <c r="Y128" s="595">
        <f>IF(D128&lt;&gt;0,($C129*(1-$V$1))-$D128,0)</f>
        <v>-0.45000000000000284</v>
      </c>
      <c r="Z128" s="596">
        <f>IFERROR(IF(C128&lt;&gt;"",$Y$1/(D124/100)*(C128/100),""),"")</f>
        <v>100.56931839286383</v>
      </c>
      <c r="AA128" s="597">
        <f>IFERROR($Z$1/(D128/100)*(C124/100),"")</f>
        <v>100540.81632653061</v>
      </c>
      <c r="AB128" s="38"/>
    </row>
    <row r="129" spans="1:28" ht="12.75" customHeight="1">
      <c r="A129" s="875" t="s">
        <v>241</v>
      </c>
      <c r="B129" s="884">
        <v>60935</v>
      </c>
      <c r="C129" s="309">
        <v>48.55</v>
      </c>
      <c r="D129" s="877">
        <v>48.9</v>
      </c>
      <c r="E129" s="885">
        <v>1821</v>
      </c>
      <c r="F129" s="874">
        <v>48.55</v>
      </c>
      <c r="G129" s="779">
        <v>8.199999999999999E-3</v>
      </c>
      <c r="H129" s="250">
        <v>47.5</v>
      </c>
      <c r="I129" s="251">
        <v>49</v>
      </c>
      <c r="J129" s="251">
        <v>47</v>
      </c>
      <c r="K129" s="886">
        <v>48.155000000000001</v>
      </c>
      <c r="L129" s="254">
        <v>458994</v>
      </c>
      <c r="M129" s="252">
        <v>947375</v>
      </c>
      <c r="N129" s="254">
        <v>531</v>
      </c>
      <c r="O129" s="275">
        <v>45401.708460648151</v>
      </c>
      <c r="P129" s="656">
        <v>128</v>
      </c>
      <c r="Q129" s="508">
        <v>0</v>
      </c>
      <c r="R129" s="617">
        <v>0</v>
      </c>
      <c r="S129" s="780">
        <v>0</v>
      </c>
      <c r="T129" s="781">
        <v>0</v>
      </c>
      <c r="U129" s="471"/>
      <c r="V129" s="356">
        <v>0</v>
      </c>
      <c r="W129" s="887">
        <f>V128*(F128/100)</f>
        <v>0</v>
      </c>
      <c r="X129" s="658"/>
      <c r="Y129" s="880">
        <f>IFERROR(INT($Z$1/(F128/100)),"")</f>
        <v>204</v>
      </c>
      <c r="Z129" s="881">
        <f>IFERROR(IF(C129&lt;&gt;"",$Y$1/(D125/100)*(C129/100),""),"")</f>
        <v>99.8010468282082</v>
      </c>
      <c r="AA129" s="882">
        <f>IFERROR($Z$1/(D129/100)*(C125/100),"")</f>
        <v>102024.53987730062</v>
      </c>
      <c r="AB129" s="38"/>
    </row>
    <row r="130" spans="1:28" ht="12.75" customHeight="1">
      <c r="A130" s="644" t="s">
        <v>550</v>
      </c>
      <c r="B130" s="246">
        <v>3298</v>
      </c>
      <c r="C130" s="300">
        <v>45200</v>
      </c>
      <c r="D130" s="253">
        <v>45600</v>
      </c>
      <c r="E130" s="563">
        <v>483</v>
      </c>
      <c r="F130" s="871">
        <v>45600</v>
      </c>
      <c r="G130" s="304">
        <v>2.3199999999999998E-2</v>
      </c>
      <c r="H130" s="236">
        <v>44660</v>
      </c>
      <c r="I130" s="228">
        <v>46500</v>
      </c>
      <c r="J130" s="228">
        <v>44660</v>
      </c>
      <c r="K130" s="257">
        <v>44565</v>
      </c>
      <c r="L130" s="249">
        <v>85723160</v>
      </c>
      <c r="M130" s="232">
        <v>188941</v>
      </c>
      <c r="N130" s="249">
        <v>494</v>
      </c>
      <c r="O130" s="272">
        <v>45401.687696759262</v>
      </c>
      <c r="P130" s="283">
        <v>129</v>
      </c>
      <c r="Q130" s="262">
        <v>0</v>
      </c>
      <c r="R130" s="613">
        <v>0</v>
      </c>
      <c r="S130" s="635">
        <v>0</v>
      </c>
      <c r="T130" s="244">
        <v>0</v>
      </c>
      <c r="U130" s="472"/>
      <c r="V130" s="358"/>
      <c r="W130" s="390">
        <f t="shared" ref="W130" si="59">(V130*X130)</f>
        <v>0</v>
      </c>
      <c r="X130" s="630"/>
      <c r="Y130" s="584">
        <f>IF(D130&lt;&gt;0,($C131*(1-$V$1))-$D130,0)</f>
        <v>-700</v>
      </c>
      <c r="Z130" s="586"/>
      <c r="AA130" s="587"/>
      <c r="AB130" s="38"/>
    </row>
    <row r="131" spans="1:28" ht="12.75" customHeight="1">
      <c r="A131" s="528" t="s">
        <v>185</v>
      </c>
      <c r="B131" s="568">
        <v>1434</v>
      </c>
      <c r="C131" s="237">
        <v>44900</v>
      </c>
      <c r="D131" s="372">
        <v>45550</v>
      </c>
      <c r="E131" s="574">
        <v>244</v>
      </c>
      <c r="F131" s="873">
        <v>44900</v>
      </c>
      <c r="G131" s="306">
        <v>2.2000000000000001E-3</v>
      </c>
      <c r="H131" s="235">
        <v>44800</v>
      </c>
      <c r="I131" s="226">
        <v>47290</v>
      </c>
      <c r="J131" s="226">
        <v>44400</v>
      </c>
      <c r="K131" s="255">
        <v>44800</v>
      </c>
      <c r="L131" s="233">
        <v>656572228</v>
      </c>
      <c r="M131" s="230">
        <v>1438252</v>
      </c>
      <c r="N131" s="233">
        <v>1630</v>
      </c>
      <c r="O131" s="273">
        <v>45401.708437499998</v>
      </c>
      <c r="P131" s="282">
        <v>130</v>
      </c>
      <c r="Q131" s="260">
        <v>0</v>
      </c>
      <c r="R131" s="612">
        <v>0</v>
      </c>
      <c r="S131" s="637">
        <v>0</v>
      </c>
      <c r="T131" s="243">
        <v>0</v>
      </c>
      <c r="U131" s="471"/>
      <c r="V131" s="357">
        <v>0</v>
      </c>
      <c r="W131" s="386">
        <f>V130*(F130/100)</f>
        <v>0</v>
      </c>
      <c r="X131" s="629"/>
      <c r="Y131" s="479">
        <f>IFERROR(INT($Y$1/(F130/100)),"")</f>
        <v>224</v>
      </c>
      <c r="Z131" s="588"/>
      <c r="AA131" s="589"/>
      <c r="AB131" s="38"/>
    </row>
    <row r="132" spans="1:28" ht="12.75" customHeight="1">
      <c r="A132" s="527" t="s">
        <v>551</v>
      </c>
      <c r="B132" s="246"/>
      <c r="C132" s="300"/>
      <c r="D132" s="253"/>
      <c r="E132" s="563"/>
      <c r="F132" s="871"/>
      <c r="G132" s="307"/>
      <c r="H132" s="238"/>
      <c r="I132" s="227"/>
      <c r="J132" s="227"/>
      <c r="K132" s="258">
        <v>23.22</v>
      </c>
      <c r="L132" s="245"/>
      <c r="M132" s="231"/>
      <c r="N132" s="245"/>
      <c r="O132" s="274"/>
      <c r="P132" s="283">
        <v>131</v>
      </c>
      <c r="Q132" s="261">
        <v>0</v>
      </c>
      <c r="R132" s="622">
        <v>0</v>
      </c>
      <c r="S132" s="638">
        <v>0</v>
      </c>
      <c r="T132" s="242">
        <v>0</v>
      </c>
      <c r="U132" s="472"/>
      <c r="V132" s="297"/>
      <c r="W132" s="387">
        <f t="shared" ref="W132" si="60">(V132*X132)</f>
        <v>0</v>
      </c>
      <c r="X132" s="634"/>
      <c r="Y132" s="590">
        <f>IF(D132&lt;&gt;0,($C133*(1-$V$1))-$D132,0)</f>
        <v>0</v>
      </c>
      <c r="Z132" s="591" t="str">
        <f>IFERROR(IF(C132&lt;&gt;"",$Y$1/(D130/100)*(C132/100),""),"")</f>
        <v/>
      </c>
      <c r="AA132" s="592" t="str">
        <f>IFERROR($AA$1/(D132/100)*(C130/100),"")</f>
        <v/>
      </c>
      <c r="AB132" s="38"/>
    </row>
    <row r="133" spans="1:28" ht="12.75" customHeight="1">
      <c r="A133" s="528" t="s">
        <v>242</v>
      </c>
      <c r="B133" s="568"/>
      <c r="C133" s="237"/>
      <c r="D133" s="372"/>
      <c r="E133" s="574"/>
      <c r="F133" s="873"/>
      <c r="G133" s="306"/>
      <c r="H133" s="235"/>
      <c r="I133" s="226"/>
      <c r="J133" s="226"/>
      <c r="K133" s="255">
        <v>26</v>
      </c>
      <c r="L133" s="233"/>
      <c r="M133" s="230"/>
      <c r="N133" s="233"/>
      <c r="O133" s="273"/>
      <c r="P133" s="282">
        <v>132</v>
      </c>
      <c r="Q133" s="260">
        <v>0</v>
      </c>
      <c r="R133" s="612">
        <v>0</v>
      </c>
      <c r="S133" s="637">
        <v>0</v>
      </c>
      <c r="T133" s="243">
        <v>0</v>
      </c>
      <c r="U133" s="471"/>
      <c r="V133" s="296">
        <v>0</v>
      </c>
      <c r="W133" s="388">
        <f>V132*(F132/100)</f>
        <v>0</v>
      </c>
      <c r="X133" s="629"/>
      <c r="Y133" s="480" t="str">
        <f>IFERROR(INT($AA$1/(F132/100)),"")</f>
        <v/>
      </c>
      <c r="Z133" s="593" t="str">
        <f>IFERROR(IF(C133&lt;&gt;"",$Y$1/(D131/100)*(C133/100),""),"")</f>
        <v/>
      </c>
      <c r="AA133" s="594" t="str">
        <f>IFERROR($AA$1/(D133/100)*(C131/100),"")</f>
        <v/>
      </c>
      <c r="AB133" s="38"/>
    </row>
    <row r="134" spans="1:28" ht="12.75" customHeight="1">
      <c r="A134" s="527" t="s">
        <v>552</v>
      </c>
      <c r="B134" s="246">
        <v>15464</v>
      </c>
      <c r="C134" s="300">
        <v>44.5</v>
      </c>
      <c r="D134" s="253">
        <v>44.81</v>
      </c>
      <c r="E134" s="563">
        <v>10734</v>
      </c>
      <c r="F134" s="871">
        <v>44.5</v>
      </c>
      <c r="G134" s="307">
        <v>1.1299999999999999E-2</v>
      </c>
      <c r="H134" s="238">
        <v>43.8</v>
      </c>
      <c r="I134" s="227">
        <v>45.5</v>
      </c>
      <c r="J134" s="227">
        <v>43.8</v>
      </c>
      <c r="K134" s="258">
        <v>44</v>
      </c>
      <c r="L134" s="245">
        <v>62280</v>
      </c>
      <c r="M134" s="231">
        <v>139565</v>
      </c>
      <c r="N134" s="245">
        <v>186</v>
      </c>
      <c r="O134" s="274">
        <v>45401.687615740739</v>
      </c>
      <c r="P134" s="283">
        <v>133</v>
      </c>
      <c r="Q134" s="261">
        <v>0</v>
      </c>
      <c r="R134" s="622">
        <v>0</v>
      </c>
      <c r="S134" s="638">
        <v>0</v>
      </c>
      <c r="T134" s="242">
        <v>0</v>
      </c>
      <c r="U134" s="472"/>
      <c r="V134" s="355">
        <v>0</v>
      </c>
      <c r="W134" s="389">
        <f t="shared" ref="W134" si="61">(V134*X134)</f>
        <v>0</v>
      </c>
      <c r="X134" s="631"/>
      <c r="Y134" s="595">
        <f>IF(D134&lt;&gt;0,($C135*(1-$V$1))-$D134,0)</f>
        <v>-0.45000000000000284</v>
      </c>
      <c r="Z134" s="596">
        <f>IFERROR(IF(C134&lt;&gt;"",$Y$1/(D130/100)*(C134/100),""),"")</f>
        <v>100.1017284289924</v>
      </c>
      <c r="AA134" s="597">
        <f>IFERROR($Z$1/(D134/100)*(C130/100),"")</f>
        <v>100870.34144164249</v>
      </c>
      <c r="AB134" s="38"/>
    </row>
    <row r="135" spans="1:28" ht="12.75" customHeight="1">
      <c r="A135" s="875" t="s">
        <v>243</v>
      </c>
      <c r="B135" s="884">
        <v>2663</v>
      </c>
      <c r="C135" s="309">
        <v>44.36</v>
      </c>
      <c r="D135" s="877">
        <v>44.9</v>
      </c>
      <c r="E135" s="885">
        <v>19980</v>
      </c>
      <c r="F135" s="874">
        <v>44.9</v>
      </c>
      <c r="G135" s="779">
        <v>1.6899999999999998E-2</v>
      </c>
      <c r="H135" s="250">
        <v>44.95</v>
      </c>
      <c r="I135" s="251">
        <v>44.99</v>
      </c>
      <c r="J135" s="251">
        <v>44.037999999999997</v>
      </c>
      <c r="K135" s="886">
        <v>44.15</v>
      </c>
      <c r="L135" s="254">
        <v>106501</v>
      </c>
      <c r="M135" s="252">
        <v>238708</v>
      </c>
      <c r="N135" s="254">
        <v>305</v>
      </c>
      <c r="O135" s="275">
        <v>45401.704629629632</v>
      </c>
      <c r="P135" s="656">
        <v>134</v>
      </c>
      <c r="Q135" s="508">
        <v>0</v>
      </c>
      <c r="R135" s="617">
        <v>0</v>
      </c>
      <c r="S135" s="780">
        <v>0</v>
      </c>
      <c r="T135" s="781">
        <v>0</v>
      </c>
      <c r="U135" s="471"/>
      <c r="V135" s="356">
        <v>0</v>
      </c>
      <c r="W135" s="887">
        <f>V134*(F134/100)</f>
        <v>0</v>
      </c>
      <c r="X135" s="658"/>
      <c r="Y135" s="880">
        <f>IFERROR(INT($Z$1/(F134/100)),"")</f>
        <v>224</v>
      </c>
      <c r="Z135" s="881">
        <f>IFERROR(IF(C135&lt;&gt;"",$Y$1/(D131/100)*(C135/100),""),"")</f>
        <v>99.896337100270443</v>
      </c>
      <c r="AA135" s="882">
        <f>IFERROR($Z$1/(D135/100)*(C131/100),"")</f>
        <v>100000</v>
      </c>
      <c r="AB135" s="38"/>
    </row>
    <row r="136" spans="1:28" ht="12.75" customHeight="1">
      <c r="A136" s="644" t="s">
        <v>553</v>
      </c>
      <c r="B136" s="246">
        <v>320</v>
      </c>
      <c r="C136" s="300">
        <v>62500</v>
      </c>
      <c r="D136" s="253">
        <v>63100</v>
      </c>
      <c r="E136" s="563">
        <v>3730</v>
      </c>
      <c r="F136" s="871">
        <v>62600</v>
      </c>
      <c r="G136" s="304">
        <v>-4.4000000000000003E-3</v>
      </c>
      <c r="H136" s="236">
        <v>62690</v>
      </c>
      <c r="I136" s="228">
        <v>63250</v>
      </c>
      <c r="J136" s="228">
        <v>62200</v>
      </c>
      <c r="K136" s="257">
        <v>62880</v>
      </c>
      <c r="L136" s="249">
        <v>36473378</v>
      </c>
      <c r="M136" s="232">
        <v>58053</v>
      </c>
      <c r="N136" s="249">
        <v>107</v>
      </c>
      <c r="O136" s="272">
        <v>45401.68236111111</v>
      </c>
      <c r="P136" s="283">
        <v>135</v>
      </c>
      <c r="Q136" s="262">
        <v>0</v>
      </c>
      <c r="R136" s="613">
        <v>0</v>
      </c>
      <c r="S136" s="635">
        <v>0</v>
      </c>
      <c r="T136" s="244">
        <v>0</v>
      </c>
      <c r="U136" s="472"/>
      <c r="V136" s="358"/>
      <c r="W136" s="390">
        <f t="shared" ref="W136" si="62">(V136*X136)</f>
        <v>0</v>
      </c>
      <c r="X136" s="630"/>
      <c r="Y136" s="584">
        <f>IF(D136&lt;&gt;0,($C137*(1-$V$1))-$D136,0)</f>
        <v>50</v>
      </c>
      <c r="Z136" s="586"/>
      <c r="AA136" s="587"/>
      <c r="AB136" s="38"/>
    </row>
    <row r="137" spans="1:28" ht="12.75" customHeight="1">
      <c r="A137" s="528" t="s">
        <v>187</v>
      </c>
      <c r="B137" s="568">
        <v>15691</v>
      </c>
      <c r="C137" s="237">
        <v>63150</v>
      </c>
      <c r="D137" s="372">
        <v>63290</v>
      </c>
      <c r="E137" s="574">
        <v>3730</v>
      </c>
      <c r="F137" s="873">
        <v>63150</v>
      </c>
      <c r="G137" s="306">
        <v>5.6999999999999993E-3</v>
      </c>
      <c r="H137" s="235">
        <v>62790</v>
      </c>
      <c r="I137" s="226">
        <v>63580</v>
      </c>
      <c r="J137" s="226">
        <v>62410</v>
      </c>
      <c r="K137" s="255">
        <v>62790</v>
      </c>
      <c r="L137" s="233">
        <v>103023723</v>
      </c>
      <c r="M137" s="230">
        <v>163103</v>
      </c>
      <c r="N137" s="233">
        <v>278</v>
      </c>
      <c r="O137" s="273">
        <v>45401.708553240744</v>
      </c>
      <c r="P137" s="282">
        <v>136</v>
      </c>
      <c r="Q137" s="260">
        <v>0</v>
      </c>
      <c r="R137" s="612">
        <v>0</v>
      </c>
      <c r="S137" s="637">
        <v>0</v>
      </c>
      <c r="T137" s="243">
        <v>0</v>
      </c>
      <c r="U137" s="471"/>
      <c r="V137" s="357">
        <v>0</v>
      </c>
      <c r="W137" s="386">
        <f>V136*(F136/100)</f>
        <v>0</v>
      </c>
      <c r="X137" s="629"/>
      <c r="Y137" s="479">
        <f>IFERROR(INT($Y$1/(F136/100)),"")</f>
        <v>163</v>
      </c>
      <c r="Z137" s="588"/>
      <c r="AA137" s="589"/>
      <c r="AB137" s="38"/>
    </row>
    <row r="138" spans="1:28" ht="12.75" customHeight="1">
      <c r="A138" s="527" t="s">
        <v>554</v>
      </c>
      <c r="B138" s="246"/>
      <c r="C138" s="300"/>
      <c r="D138" s="253"/>
      <c r="E138" s="563"/>
      <c r="F138" s="871"/>
      <c r="G138" s="307"/>
      <c r="H138" s="238"/>
      <c r="I138" s="227"/>
      <c r="J138" s="227"/>
      <c r="K138" s="258">
        <v>52</v>
      </c>
      <c r="L138" s="245"/>
      <c r="M138" s="231"/>
      <c r="N138" s="245"/>
      <c r="O138" s="274"/>
      <c r="P138" s="283">
        <v>137</v>
      </c>
      <c r="Q138" s="261">
        <v>0</v>
      </c>
      <c r="R138" s="622">
        <v>0</v>
      </c>
      <c r="S138" s="638">
        <v>0</v>
      </c>
      <c r="T138" s="242">
        <v>0</v>
      </c>
      <c r="U138" s="472"/>
      <c r="V138" s="297"/>
      <c r="W138" s="387">
        <f t="shared" ref="W138" si="63">(V138*X138)</f>
        <v>0</v>
      </c>
      <c r="X138" s="634"/>
      <c r="Y138" s="590">
        <f>IF(D138&lt;&gt;0,($C139*(1-$V$1))-$D138,0)</f>
        <v>0</v>
      </c>
      <c r="Z138" s="591" t="str">
        <f>IFERROR(IF(C138&lt;&gt;"",$Y$1/(D136/100)*(C138/100),""),"")</f>
        <v/>
      </c>
      <c r="AA138" s="592" t="str">
        <f>IFERROR($Z$1/(D138/100)*(C136/100),"")</f>
        <v/>
      </c>
      <c r="AB138" s="38"/>
    </row>
    <row r="139" spans="1:28" ht="12.75" customHeight="1">
      <c r="A139" s="528" t="s">
        <v>232</v>
      </c>
      <c r="B139" s="568"/>
      <c r="C139" s="237"/>
      <c r="D139" s="372"/>
      <c r="E139" s="574"/>
      <c r="F139" s="873"/>
      <c r="G139" s="306"/>
      <c r="H139" s="235"/>
      <c r="I139" s="226"/>
      <c r="J139" s="226"/>
      <c r="K139" s="255">
        <v>40</v>
      </c>
      <c r="L139" s="233"/>
      <c r="M139" s="230"/>
      <c r="N139" s="233"/>
      <c r="O139" s="273"/>
      <c r="P139" s="282">
        <v>138</v>
      </c>
      <c r="Q139" s="260">
        <v>0</v>
      </c>
      <c r="R139" s="612">
        <v>0</v>
      </c>
      <c r="S139" s="637">
        <v>0</v>
      </c>
      <c r="T139" s="243">
        <v>0</v>
      </c>
      <c r="U139" s="471"/>
      <c r="V139" s="296">
        <v>0</v>
      </c>
      <c r="W139" s="388">
        <f>V138*(F138/100)</f>
        <v>0</v>
      </c>
      <c r="X139" s="629"/>
      <c r="Y139" s="480" t="str">
        <f>IFERROR(INT($AA$1/(F138/100)),"")</f>
        <v/>
      </c>
      <c r="Z139" s="593" t="str">
        <f>IFERROR(IF(C139&lt;&gt;"",$Y$1/(D137/100)*(C139/100),""),"")</f>
        <v/>
      </c>
      <c r="AA139" s="594" t="str">
        <f>IFERROR($Z$1/(D139/100)*(C137/100),"")</f>
        <v/>
      </c>
      <c r="AB139" s="38"/>
    </row>
    <row r="140" spans="1:28" ht="12.75" customHeight="1">
      <c r="A140" s="527" t="s">
        <v>555</v>
      </c>
      <c r="B140" s="246">
        <v>2436</v>
      </c>
      <c r="C140" s="300">
        <v>61.57</v>
      </c>
      <c r="D140" s="253">
        <v>63.14</v>
      </c>
      <c r="E140" s="563">
        <v>2007</v>
      </c>
      <c r="F140" s="871">
        <v>62.43</v>
      </c>
      <c r="G140" s="307">
        <v>-9.0000000000000011E-3</v>
      </c>
      <c r="H140" s="238">
        <v>63</v>
      </c>
      <c r="I140" s="227">
        <v>63.33</v>
      </c>
      <c r="J140" s="227">
        <v>61.4</v>
      </c>
      <c r="K140" s="258">
        <v>63</v>
      </c>
      <c r="L140" s="245">
        <v>18672</v>
      </c>
      <c r="M140" s="231">
        <v>29896</v>
      </c>
      <c r="N140" s="245">
        <v>21</v>
      </c>
      <c r="O140" s="274">
        <v>45401.647905092592</v>
      </c>
      <c r="P140" s="283">
        <v>139</v>
      </c>
      <c r="Q140" s="261">
        <v>0</v>
      </c>
      <c r="R140" s="622">
        <v>0</v>
      </c>
      <c r="S140" s="638">
        <v>0</v>
      </c>
      <c r="T140" s="242">
        <v>0</v>
      </c>
      <c r="U140" s="472"/>
      <c r="V140" s="355">
        <v>0</v>
      </c>
      <c r="W140" s="389">
        <f t="shared" ref="W140" si="64">(V140*X140)</f>
        <v>0</v>
      </c>
      <c r="X140" s="631"/>
      <c r="Y140" s="595">
        <f>IF(D140&lt;&gt;0,($C141*(1-$V$1))-$D140,0)</f>
        <v>-1.1400000000000006</v>
      </c>
      <c r="Z140" s="596">
        <f>IFERROR(IF(C140&lt;&gt;"",$Y$1/(D136/100)*(C140/100),""),"")</f>
        <v>100.08896594434077</v>
      </c>
      <c r="AA140" s="597">
        <f>IFERROR($Z$1/(D140/100)*(C136/100),"")</f>
        <v>98986.379474184359</v>
      </c>
      <c r="AB140" s="38"/>
    </row>
    <row r="141" spans="1:28" ht="12.75" customHeight="1">
      <c r="A141" s="875" t="s">
        <v>233</v>
      </c>
      <c r="B141" s="884">
        <v>1697</v>
      </c>
      <c r="C141" s="309">
        <v>62</v>
      </c>
      <c r="D141" s="877">
        <v>62.95</v>
      </c>
      <c r="E141" s="885">
        <v>4281</v>
      </c>
      <c r="F141" s="874">
        <v>62.95</v>
      </c>
      <c r="G141" s="779">
        <v>2.3E-3</v>
      </c>
      <c r="H141" s="250">
        <v>62</v>
      </c>
      <c r="I141" s="251">
        <v>63.25</v>
      </c>
      <c r="J141" s="251">
        <v>61.2</v>
      </c>
      <c r="K141" s="886">
        <v>62.8</v>
      </c>
      <c r="L141" s="254">
        <v>50231</v>
      </c>
      <c r="M141" s="252">
        <v>79982</v>
      </c>
      <c r="N141" s="254">
        <v>65</v>
      </c>
      <c r="O141" s="275">
        <v>45401.708356481482</v>
      </c>
      <c r="P141" s="656">
        <v>140</v>
      </c>
      <c r="Q141" s="508">
        <v>0</v>
      </c>
      <c r="R141" s="617">
        <v>0</v>
      </c>
      <c r="S141" s="780">
        <v>0</v>
      </c>
      <c r="T141" s="781">
        <v>0</v>
      </c>
      <c r="U141" s="471"/>
      <c r="V141" s="356">
        <v>0</v>
      </c>
      <c r="W141" s="887">
        <f>V140*(F140/100)</f>
        <v>0</v>
      </c>
      <c r="X141" s="658"/>
      <c r="Y141" s="880">
        <f>IFERROR(INT($Z$1/(F140/100)),"")</f>
        <v>160</v>
      </c>
      <c r="Z141" s="881">
        <f>IFERROR(IF(C141&lt;&gt;"",$Y$1/(D137/100)*(C141/100),""),"")</f>
        <v>100.4854083892222</v>
      </c>
      <c r="AA141" s="882">
        <f>IFERROR($Z$1/(D141/100)*(C137/100),"")</f>
        <v>100317.71247021445</v>
      </c>
      <c r="AB141" s="38"/>
    </row>
    <row r="142" spans="1:28" ht="12.75" customHeight="1">
      <c r="A142" s="644" t="s">
        <v>556</v>
      </c>
      <c r="B142" s="246">
        <v>7</v>
      </c>
      <c r="C142" s="300">
        <v>49700</v>
      </c>
      <c r="D142" s="253">
        <v>49995</v>
      </c>
      <c r="E142" s="563">
        <v>305</v>
      </c>
      <c r="F142" s="871">
        <v>49995</v>
      </c>
      <c r="G142" s="304">
        <v>1.8200000000000001E-2</v>
      </c>
      <c r="H142" s="236">
        <v>49190</v>
      </c>
      <c r="I142" s="228">
        <v>50000</v>
      </c>
      <c r="J142" s="228">
        <v>48700</v>
      </c>
      <c r="K142" s="257">
        <v>49100</v>
      </c>
      <c r="L142" s="249">
        <v>465905326</v>
      </c>
      <c r="M142" s="232">
        <v>942966</v>
      </c>
      <c r="N142" s="249">
        <v>1181</v>
      </c>
      <c r="O142" s="272">
        <v>45401.687800925924</v>
      </c>
      <c r="P142" s="283">
        <v>141</v>
      </c>
      <c r="Q142" s="262">
        <v>0</v>
      </c>
      <c r="R142" s="613">
        <v>0</v>
      </c>
      <c r="S142" s="635">
        <v>0</v>
      </c>
      <c r="T142" s="244">
        <v>0</v>
      </c>
      <c r="U142" s="472"/>
      <c r="V142" s="358"/>
      <c r="W142" s="390">
        <f t="shared" ref="W142" si="65">(V142*X142)</f>
        <v>0</v>
      </c>
      <c r="X142" s="630"/>
      <c r="Y142" s="584">
        <f>IF(D142&lt;&gt;0,($C143*(1-$V$1))-$D142,0)</f>
        <v>45</v>
      </c>
      <c r="Z142" s="586"/>
      <c r="AA142" s="587"/>
      <c r="AB142" s="38"/>
    </row>
    <row r="143" spans="1:28" ht="12.75" customHeight="1">
      <c r="A143" s="528" t="s">
        <v>164</v>
      </c>
      <c r="B143" s="568">
        <v>1</v>
      </c>
      <c r="C143" s="237">
        <v>50040</v>
      </c>
      <c r="D143" s="372">
        <v>50150</v>
      </c>
      <c r="E143" s="574">
        <v>50</v>
      </c>
      <c r="F143" s="873">
        <v>50100</v>
      </c>
      <c r="G143" s="306">
        <v>1.84E-2</v>
      </c>
      <c r="H143" s="235">
        <v>49200</v>
      </c>
      <c r="I143" s="226">
        <v>50220</v>
      </c>
      <c r="J143" s="226">
        <v>48810</v>
      </c>
      <c r="K143" s="255">
        <v>49190</v>
      </c>
      <c r="L143" s="233">
        <v>12719363604</v>
      </c>
      <c r="M143" s="230">
        <v>25537830</v>
      </c>
      <c r="N143" s="233">
        <v>4233</v>
      </c>
      <c r="O143" s="273">
        <v>45401.708645833336</v>
      </c>
      <c r="P143" s="282">
        <v>142</v>
      </c>
      <c r="Q143" s="260">
        <v>0</v>
      </c>
      <c r="R143" s="612">
        <v>0</v>
      </c>
      <c r="S143" s="637">
        <v>0</v>
      </c>
      <c r="T143" s="243">
        <v>0</v>
      </c>
      <c r="U143" s="471"/>
      <c r="V143" s="357">
        <v>0</v>
      </c>
      <c r="W143" s="386">
        <f>V142*(F142/100)</f>
        <v>0</v>
      </c>
      <c r="X143" s="629"/>
      <c r="Y143" s="479">
        <f>IFERROR(INT($Y$1/(F142/100)),"")</f>
        <v>205</v>
      </c>
      <c r="Z143" s="588"/>
      <c r="AA143" s="589"/>
      <c r="AB143" s="38"/>
    </row>
    <row r="144" spans="1:28" ht="12.75" customHeight="1">
      <c r="A144" s="527" t="s">
        <v>557</v>
      </c>
      <c r="B144" s="246">
        <v>14632</v>
      </c>
      <c r="C144" s="300">
        <v>46.5</v>
      </c>
      <c r="D144" s="253">
        <v>47.3</v>
      </c>
      <c r="E144" s="563">
        <v>50000</v>
      </c>
      <c r="F144" s="871"/>
      <c r="G144" s="307"/>
      <c r="H144" s="238"/>
      <c r="I144" s="227"/>
      <c r="J144" s="227"/>
      <c r="K144" s="258">
        <v>46.75</v>
      </c>
      <c r="L144" s="245"/>
      <c r="M144" s="231"/>
      <c r="N144" s="245"/>
      <c r="O144" s="274"/>
      <c r="P144" s="283">
        <v>143</v>
      </c>
      <c r="Q144" s="261">
        <v>0</v>
      </c>
      <c r="R144" s="622">
        <v>0</v>
      </c>
      <c r="S144" s="638">
        <v>0</v>
      </c>
      <c r="T144" s="242">
        <v>0</v>
      </c>
      <c r="U144" s="472"/>
      <c r="V144" s="297"/>
      <c r="W144" s="387">
        <f t="shared" ref="W144" si="66">(V144*X144)</f>
        <v>0</v>
      </c>
      <c r="X144" s="634"/>
      <c r="Y144" s="590">
        <f>IF(D144&lt;&gt;0,($C145*(1-$V$1))-$D144,0)</f>
        <v>-0.79899999999999949</v>
      </c>
      <c r="Z144" s="591">
        <f>IFERROR(IF(C144&lt;&gt;"",$Y$1/(D142/100)*(C144/100),""),"")</f>
        <v>95.405362990607159</v>
      </c>
      <c r="AA144" s="592">
        <f>IFERROR($AA$1/(D144/100)*(C142/100),"")</f>
        <v>105073.99577167019</v>
      </c>
      <c r="AB144" s="38"/>
    </row>
    <row r="145" spans="1:32" ht="12.75" customHeight="1">
      <c r="A145" s="528" t="s">
        <v>220</v>
      </c>
      <c r="B145" s="568">
        <v>955</v>
      </c>
      <c r="C145" s="237">
        <v>46.500999999999998</v>
      </c>
      <c r="D145" s="372">
        <v>47.25</v>
      </c>
      <c r="E145" s="574">
        <v>100000</v>
      </c>
      <c r="F145" s="873">
        <v>47.2</v>
      </c>
      <c r="G145" s="306">
        <v>1.4999999999999999E-2</v>
      </c>
      <c r="H145" s="235">
        <v>46.9</v>
      </c>
      <c r="I145" s="226">
        <v>47.2</v>
      </c>
      <c r="J145" s="226">
        <v>46.5</v>
      </c>
      <c r="K145" s="255">
        <v>46.5</v>
      </c>
      <c r="L145" s="233">
        <v>310174</v>
      </c>
      <c r="M145" s="230">
        <v>664755</v>
      </c>
      <c r="N145" s="233">
        <v>9</v>
      </c>
      <c r="O145" s="273">
        <v>45401.686643518522</v>
      </c>
      <c r="P145" s="282">
        <v>144</v>
      </c>
      <c r="Q145" s="260">
        <v>0</v>
      </c>
      <c r="R145" s="612">
        <v>0</v>
      </c>
      <c r="S145" s="637">
        <v>0</v>
      </c>
      <c r="T145" s="243">
        <v>0</v>
      </c>
      <c r="U145" s="471"/>
      <c r="V145" s="296">
        <v>0</v>
      </c>
      <c r="W145" s="388">
        <f>V144*(F144/100)</f>
        <v>0</v>
      </c>
      <c r="X145" s="629"/>
      <c r="Y145" s="480" t="str">
        <f>IFERROR(INT($AA$1/(F144/100)),"")</f>
        <v/>
      </c>
      <c r="Z145" s="593">
        <f>IFERROR(IF(C145&lt;&gt;"",$Y$1/(D143/100)*(C145/100),""),"")</f>
        <v>95.112536368266817</v>
      </c>
      <c r="AA145" s="594">
        <f>IFERROR($AA$1/(D145/100)*(C143/100),"")</f>
        <v>105904.76190476191</v>
      </c>
      <c r="AB145" s="38"/>
    </row>
    <row r="146" spans="1:32" ht="12.75" customHeight="1">
      <c r="A146" s="527" t="s">
        <v>558</v>
      </c>
      <c r="B146" s="246">
        <v>161008</v>
      </c>
      <c r="C146" s="300">
        <v>49</v>
      </c>
      <c r="D146" s="253">
        <v>49.098999999999997</v>
      </c>
      <c r="E146" s="563">
        <v>17308</v>
      </c>
      <c r="F146" s="871">
        <v>49.098999999999997</v>
      </c>
      <c r="G146" s="307">
        <v>1.23E-2</v>
      </c>
      <c r="H146" s="238">
        <v>48</v>
      </c>
      <c r="I146" s="227">
        <v>49.45</v>
      </c>
      <c r="J146" s="227">
        <v>46.5</v>
      </c>
      <c r="K146" s="258">
        <v>48.5</v>
      </c>
      <c r="L146" s="245">
        <v>315365</v>
      </c>
      <c r="M146" s="231">
        <v>648579</v>
      </c>
      <c r="N146" s="245">
        <v>476</v>
      </c>
      <c r="O146" s="274">
        <v>45401.687835648147</v>
      </c>
      <c r="P146" s="283">
        <v>145</v>
      </c>
      <c r="Q146" s="261">
        <v>0</v>
      </c>
      <c r="R146" s="622">
        <v>0</v>
      </c>
      <c r="S146" s="638">
        <v>0</v>
      </c>
      <c r="T146" s="242">
        <v>0</v>
      </c>
      <c r="U146" s="472"/>
      <c r="V146" s="355"/>
      <c r="W146" s="389">
        <f t="shared" ref="W146" si="67">(V146*X146)</f>
        <v>0</v>
      </c>
      <c r="X146" s="631"/>
      <c r="Y146" s="595">
        <f>IF(D146&lt;&gt;0,($C147*(1-$V$1))-$D146,0)</f>
        <v>-0.26899999999999835</v>
      </c>
      <c r="Z146" s="596">
        <f>IFERROR(IF(C146&lt;&gt;"",$Y$1/(D142/100)*(C146/100),""),"")</f>
        <v>100.5346835815</v>
      </c>
      <c r="AA146" s="597">
        <f>IFERROR($Z$1/(D146/100)*(C142/100),"")</f>
        <v>101224.05751644637</v>
      </c>
      <c r="AB146" s="38"/>
    </row>
    <row r="147" spans="1:32" ht="12.75" customHeight="1">
      <c r="A147" s="875" t="s">
        <v>221</v>
      </c>
      <c r="B147" s="884">
        <v>3905</v>
      </c>
      <c r="C147" s="309">
        <v>48.83</v>
      </c>
      <c r="D147" s="877">
        <v>49.34</v>
      </c>
      <c r="E147" s="885">
        <v>15835</v>
      </c>
      <c r="F147" s="874">
        <v>49.34</v>
      </c>
      <c r="G147" s="779">
        <v>2.5699999999999997E-2</v>
      </c>
      <c r="H147" s="250">
        <v>48.58</v>
      </c>
      <c r="I147" s="251">
        <v>49.7</v>
      </c>
      <c r="J147" s="251">
        <v>47.052</v>
      </c>
      <c r="K147" s="886">
        <v>48.1</v>
      </c>
      <c r="L147" s="254">
        <v>2163490</v>
      </c>
      <c r="M147" s="252">
        <v>4444867</v>
      </c>
      <c r="N147" s="254">
        <v>1431</v>
      </c>
      <c r="O147" s="275">
        <v>45401.705937500003</v>
      </c>
      <c r="P147" s="656">
        <v>146</v>
      </c>
      <c r="Q147" s="508">
        <v>0</v>
      </c>
      <c r="R147" s="617">
        <v>0</v>
      </c>
      <c r="S147" s="780">
        <v>0</v>
      </c>
      <c r="T147" s="781">
        <v>0</v>
      </c>
      <c r="U147" s="471"/>
      <c r="V147" s="356">
        <v>0</v>
      </c>
      <c r="W147" s="887">
        <f>V146*(F146/100)</f>
        <v>0</v>
      </c>
      <c r="X147" s="658"/>
      <c r="Y147" s="880">
        <f>IFERROR(INT($Z$1/(F146/100)),"")</f>
        <v>203</v>
      </c>
      <c r="Z147" s="881">
        <f>IFERROR(IF(C147&lt;&gt;"",$Y$1/(D143/100)*(C147/100),""),"")</f>
        <v>99.876242464946316</v>
      </c>
      <c r="AA147" s="882">
        <f>IFERROR($Z$1/(D147/100)*(C143/100),"")</f>
        <v>101418.72719902714</v>
      </c>
      <c r="AB147" s="38"/>
    </row>
    <row r="148" spans="1:32" ht="12.75" customHeight="1">
      <c r="A148" s="644" t="s">
        <v>562</v>
      </c>
      <c r="B148" s="246">
        <v>1884</v>
      </c>
      <c r="C148" s="300">
        <v>55300</v>
      </c>
      <c r="D148" s="253">
        <v>55500</v>
      </c>
      <c r="E148" s="563">
        <v>23</v>
      </c>
      <c r="F148" s="871">
        <v>55330</v>
      </c>
      <c r="G148" s="304">
        <v>2.0799999999999999E-2</v>
      </c>
      <c r="H148" s="236">
        <v>56140</v>
      </c>
      <c r="I148" s="228">
        <v>56690</v>
      </c>
      <c r="J148" s="228">
        <v>54730</v>
      </c>
      <c r="K148" s="257">
        <v>54200</v>
      </c>
      <c r="L148" s="249">
        <v>73355735</v>
      </c>
      <c r="M148" s="232">
        <v>132493</v>
      </c>
      <c r="N148" s="249">
        <v>222</v>
      </c>
      <c r="O148" s="272">
        <v>45401.682129629633</v>
      </c>
      <c r="P148" s="283">
        <v>147</v>
      </c>
      <c r="Q148" s="262">
        <v>0</v>
      </c>
      <c r="R148" s="613">
        <v>0</v>
      </c>
      <c r="S148" s="635">
        <v>0</v>
      </c>
      <c r="T148" s="244">
        <v>0</v>
      </c>
      <c r="U148" s="472"/>
      <c r="V148" s="358">
        <v>0</v>
      </c>
      <c r="W148" s="390">
        <f t="shared" ref="W148" si="68">(V148*X148)</f>
        <v>0</v>
      </c>
      <c r="X148" s="630"/>
      <c r="Y148" s="584">
        <f>IF(D148&lt;&gt;0,($C149*(1-$V$1))-$D148,0)</f>
        <v>0</v>
      </c>
      <c r="Z148" s="586"/>
      <c r="AA148" s="587"/>
      <c r="AB148" s="38"/>
    </row>
    <row r="149" spans="1:32" ht="12.75" customHeight="1">
      <c r="A149" s="528" t="s">
        <v>190</v>
      </c>
      <c r="B149" s="568">
        <v>1167</v>
      </c>
      <c r="C149" s="237">
        <v>55500</v>
      </c>
      <c r="D149" s="372">
        <v>55880</v>
      </c>
      <c r="E149" s="574">
        <v>5</v>
      </c>
      <c r="F149" s="873">
        <v>55500</v>
      </c>
      <c r="G149" s="306">
        <v>9.0000000000000011E-3</v>
      </c>
      <c r="H149" s="235">
        <v>55200</v>
      </c>
      <c r="I149" s="226">
        <v>57460</v>
      </c>
      <c r="J149" s="226">
        <v>55050</v>
      </c>
      <c r="K149" s="255">
        <v>55000</v>
      </c>
      <c r="L149" s="233">
        <v>7021056599</v>
      </c>
      <c r="M149" s="230">
        <v>12592903</v>
      </c>
      <c r="N149" s="233">
        <v>637</v>
      </c>
      <c r="O149" s="273">
        <v>45401.708657407406</v>
      </c>
      <c r="P149" s="282">
        <v>148</v>
      </c>
      <c r="Q149" s="260">
        <v>0</v>
      </c>
      <c r="R149" s="612">
        <v>0</v>
      </c>
      <c r="S149" s="637">
        <v>0</v>
      </c>
      <c r="T149" s="243">
        <v>0</v>
      </c>
      <c r="U149" s="471"/>
      <c r="V149" s="357">
        <v>0</v>
      </c>
      <c r="W149" s="386">
        <f>V148*(F148/100)</f>
        <v>0</v>
      </c>
      <c r="X149" s="629"/>
      <c r="Y149" s="479">
        <f>IFERROR(INT($Y$1/(F148/100)),"")</f>
        <v>185</v>
      </c>
      <c r="Z149" s="588"/>
      <c r="AA149" s="589"/>
      <c r="AB149" s="38"/>
    </row>
    <row r="150" spans="1:32" ht="12.75" customHeight="1">
      <c r="A150" s="527" t="s">
        <v>563</v>
      </c>
      <c r="B150" s="246"/>
      <c r="C150" s="300"/>
      <c r="D150" s="253"/>
      <c r="E150" s="563"/>
      <c r="F150" s="871"/>
      <c r="G150" s="307"/>
      <c r="H150" s="238"/>
      <c r="I150" s="227"/>
      <c r="J150" s="227"/>
      <c r="K150" s="258">
        <v>48.35</v>
      </c>
      <c r="L150" s="245"/>
      <c r="M150" s="231"/>
      <c r="N150" s="245"/>
      <c r="O150" s="274"/>
      <c r="P150" s="283">
        <v>149</v>
      </c>
      <c r="Q150" s="261">
        <v>0</v>
      </c>
      <c r="R150" s="622">
        <v>0</v>
      </c>
      <c r="S150" s="638">
        <v>0</v>
      </c>
      <c r="T150" s="242">
        <v>0</v>
      </c>
      <c r="U150" s="472"/>
      <c r="V150" s="297"/>
      <c r="W150" s="387">
        <f t="shared" ref="W150" si="69">(V150*X150)</f>
        <v>0</v>
      </c>
      <c r="X150" s="634"/>
      <c r="Y150" s="590">
        <f>IF(D150&lt;&gt;0,($C151*(1-$V$1))-$D150,0)</f>
        <v>0</v>
      </c>
      <c r="Z150" s="591" t="str">
        <f>IFERROR(IF(C150&lt;&gt;"",$Y$1/(D148/100)*(C150/100),""),"")</f>
        <v/>
      </c>
      <c r="AA150" s="592" t="str">
        <f>IFERROR($AA$1/(D150/100)*(C148/100),"")</f>
        <v/>
      </c>
      <c r="AB150" s="38"/>
    </row>
    <row r="151" spans="1:32" ht="12.75" customHeight="1">
      <c r="A151" s="528" t="s">
        <v>234</v>
      </c>
      <c r="B151" s="568"/>
      <c r="C151" s="237"/>
      <c r="D151" s="372"/>
      <c r="E151" s="574"/>
      <c r="F151" s="873"/>
      <c r="G151" s="306"/>
      <c r="H151" s="235"/>
      <c r="I151" s="226"/>
      <c r="J151" s="226"/>
      <c r="K151" s="255">
        <v>48</v>
      </c>
      <c r="L151" s="233"/>
      <c r="M151" s="230"/>
      <c r="N151" s="233"/>
      <c r="O151" s="273"/>
      <c r="P151" s="282">
        <v>150</v>
      </c>
      <c r="Q151" s="260">
        <v>0</v>
      </c>
      <c r="R151" s="612">
        <v>0</v>
      </c>
      <c r="S151" s="637">
        <v>0</v>
      </c>
      <c r="T151" s="243">
        <v>0</v>
      </c>
      <c r="U151" s="471"/>
      <c r="V151" s="296">
        <v>0</v>
      </c>
      <c r="W151" s="388">
        <f>V150*(F150/100)</f>
        <v>0</v>
      </c>
      <c r="X151" s="629"/>
      <c r="Y151" s="480" t="str">
        <f>IFERROR(INT($AA$1/(F150/100)),"")</f>
        <v/>
      </c>
      <c r="Z151" s="593" t="str">
        <f>IFERROR(IF(C151&lt;&gt;"",$Y$1/(D149/100)*(C151/100),""),"")</f>
        <v/>
      </c>
      <c r="AA151" s="594" t="str">
        <f>IFERROR($AA$1/(D151/100)*(C149/100),"")</f>
        <v/>
      </c>
      <c r="AB151" s="38"/>
    </row>
    <row r="152" spans="1:32" ht="12.75" customHeight="1">
      <c r="A152" s="527" t="s">
        <v>564</v>
      </c>
      <c r="B152" s="246">
        <v>290</v>
      </c>
      <c r="C152" s="300">
        <v>54.4</v>
      </c>
      <c r="D152" s="253">
        <v>55</v>
      </c>
      <c r="E152" s="563">
        <v>250</v>
      </c>
      <c r="F152" s="871">
        <v>54.44</v>
      </c>
      <c r="G152" s="307">
        <v>8.1000000000000013E-3</v>
      </c>
      <c r="H152" s="238">
        <v>55.41</v>
      </c>
      <c r="I152" s="227">
        <v>55.5</v>
      </c>
      <c r="J152" s="227">
        <v>53.19</v>
      </c>
      <c r="K152" s="258">
        <v>54</v>
      </c>
      <c r="L152" s="245">
        <v>23111</v>
      </c>
      <c r="M152" s="231">
        <v>42158</v>
      </c>
      <c r="N152" s="245">
        <v>88</v>
      </c>
      <c r="O152" s="274">
        <v>45401.672974537039</v>
      </c>
      <c r="P152" s="283">
        <v>151</v>
      </c>
      <c r="Q152" s="261">
        <v>0</v>
      </c>
      <c r="R152" s="622">
        <v>0</v>
      </c>
      <c r="S152" s="638">
        <v>0</v>
      </c>
      <c r="T152" s="242">
        <v>0</v>
      </c>
      <c r="U152" s="472"/>
      <c r="V152" s="355">
        <v>0</v>
      </c>
      <c r="W152" s="389">
        <f t="shared" ref="W152" si="70">(V152*X152)</f>
        <v>0</v>
      </c>
      <c r="X152" s="631"/>
      <c r="Y152" s="595">
        <f>IF(D152&lt;&gt;0,($C153*(1-$V$1))-$D152,0)</f>
        <v>-0.28999999999999915</v>
      </c>
      <c r="Z152" s="596">
        <f>IFERROR(IF(C152&lt;&gt;"",$Y$1/(D148/100)*(C152/100),""),"")</f>
        <v>100.54311230290342</v>
      </c>
      <c r="AA152" s="597">
        <f>IFERROR($Z$1/(D152/100)*(C148/100),"")</f>
        <v>100545.45454545454</v>
      </c>
      <c r="AB152" s="38"/>
    </row>
    <row r="153" spans="1:32" ht="12.75" customHeight="1">
      <c r="A153" s="875" t="s">
        <v>235</v>
      </c>
      <c r="B153" s="884">
        <v>13000</v>
      </c>
      <c r="C153" s="309">
        <v>54.71</v>
      </c>
      <c r="D153" s="877">
        <v>55.1</v>
      </c>
      <c r="E153" s="885">
        <v>15000</v>
      </c>
      <c r="F153" s="874">
        <v>55.09</v>
      </c>
      <c r="G153" s="779">
        <v>1.6399999999999998E-2</v>
      </c>
      <c r="H153" s="250">
        <v>53.2</v>
      </c>
      <c r="I153" s="251">
        <v>55.5</v>
      </c>
      <c r="J153" s="251">
        <v>53.1</v>
      </c>
      <c r="K153" s="886">
        <v>54.2</v>
      </c>
      <c r="L153" s="254">
        <v>93087</v>
      </c>
      <c r="M153" s="252">
        <v>171258</v>
      </c>
      <c r="N153" s="254">
        <v>143</v>
      </c>
      <c r="O153" s="275">
        <v>45401.705787037034</v>
      </c>
      <c r="P153" s="656">
        <v>152</v>
      </c>
      <c r="Q153" s="508">
        <v>0</v>
      </c>
      <c r="R153" s="617">
        <v>0</v>
      </c>
      <c r="S153" s="780">
        <v>0</v>
      </c>
      <c r="T153" s="781">
        <v>0</v>
      </c>
      <c r="U153" s="471"/>
      <c r="V153" s="356">
        <v>0</v>
      </c>
      <c r="W153" s="887">
        <f>V152*(F152/100)</f>
        <v>0</v>
      </c>
      <c r="X153" s="658"/>
      <c r="Y153" s="880">
        <f>IFERROR(INT($Z$1/(F152/100)),"")</f>
        <v>183</v>
      </c>
      <c r="Z153" s="881">
        <f>IFERROR(IF(C153&lt;&gt;"",$Y$1/(D149/100)*(C153/100),""),"")</f>
        <v>100.42844202390675</v>
      </c>
      <c r="AA153" s="882">
        <f>IFERROR($Z$1/(D153/100)*(C149/100),"")</f>
        <v>100725.95281306714</v>
      </c>
      <c r="AB153" s="38"/>
    </row>
    <row r="154" spans="1:32" ht="12.75" customHeight="1">
      <c r="A154" s="644" t="s">
        <v>559</v>
      </c>
      <c r="B154" s="246">
        <v>2103</v>
      </c>
      <c r="C154" s="300">
        <v>47530</v>
      </c>
      <c r="D154" s="253">
        <v>48480</v>
      </c>
      <c r="E154" s="563">
        <v>417</v>
      </c>
      <c r="F154" s="871">
        <v>47650</v>
      </c>
      <c r="G154" s="304">
        <v>1.6799999999999999E-2</v>
      </c>
      <c r="H154" s="236">
        <v>47460</v>
      </c>
      <c r="I154" s="228">
        <v>48500</v>
      </c>
      <c r="J154" s="228">
        <v>46500</v>
      </c>
      <c r="K154" s="257">
        <v>46860</v>
      </c>
      <c r="L154" s="249">
        <v>48053061</v>
      </c>
      <c r="M154" s="232">
        <v>100439</v>
      </c>
      <c r="N154" s="249">
        <v>188</v>
      </c>
      <c r="O154" s="272">
        <v>45401.685046296298</v>
      </c>
      <c r="P154" s="283">
        <v>153</v>
      </c>
      <c r="Q154" s="262"/>
      <c r="R154" s="613">
        <v>0</v>
      </c>
      <c r="S154" s="635">
        <v>0</v>
      </c>
      <c r="T154" s="244">
        <v>0</v>
      </c>
      <c r="U154" s="472"/>
      <c r="V154" s="358">
        <v>0</v>
      </c>
      <c r="W154" s="390">
        <f t="shared" ref="W154" si="71">(V154*X154)</f>
        <v>0</v>
      </c>
      <c r="X154" s="630"/>
      <c r="Y154" s="584">
        <f>IF(D154&lt;&gt;0,($C155*(1-$V$1))-$D154,0)</f>
        <v>-1025</v>
      </c>
      <c r="Z154" s="586"/>
      <c r="AA154" s="587"/>
      <c r="AB154" s="38"/>
      <c r="AC154" s="354">
        <v>28</v>
      </c>
      <c r="AE154" s="47">
        <v>440</v>
      </c>
      <c r="AF154" s="47">
        <f>AC154*AE154</f>
        <v>12320</v>
      </c>
    </row>
    <row r="155" spans="1:32" ht="12.75" customHeight="1">
      <c r="A155" s="528" t="s">
        <v>188</v>
      </c>
      <c r="B155" s="568">
        <v>225</v>
      </c>
      <c r="C155" s="237">
        <v>47455</v>
      </c>
      <c r="D155" s="372">
        <v>47500</v>
      </c>
      <c r="E155" s="574">
        <v>1400</v>
      </c>
      <c r="F155" s="873">
        <v>47600</v>
      </c>
      <c r="G155" s="306">
        <v>3.3E-3</v>
      </c>
      <c r="H155" s="235">
        <v>47700</v>
      </c>
      <c r="I155" s="226">
        <v>48300</v>
      </c>
      <c r="J155" s="226">
        <v>47200</v>
      </c>
      <c r="K155" s="255">
        <v>47440</v>
      </c>
      <c r="L155" s="233">
        <v>3714069430</v>
      </c>
      <c r="M155" s="230">
        <v>7778946</v>
      </c>
      <c r="N155" s="233">
        <v>593</v>
      </c>
      <c r="O155" s="273">
        <v>45401.704699074071</v>
      </c>
      <c r="P155" s="282">
        <v>154</v>
      </c>
      <c r="Q155" s="260"/>
      <c r="R155" s="612">
        <v>0</v>
      </c>
      <c r="S155" s="637">
        <v>0</v>
      </c>
      <c r="T155" s="243">
        <v>0</v>
      </c>
      <c r="U155" s="471"/>
      <c r="V155" s="357">
        <v>0</v>
      </c>
      <c r="W155" s="386">
        <f>V154*(F154/100)</f>
        <v>0</v>
      </c>
      <c r="X155" s="629"/>
      <c r="Y155" s="479">
        <f>IFERROR(INT($Y$1/(F154/100)),"")</f>
        <v>215</v>
      </c>
      <c r="Z155" s="588"/>
      <c r="AA155" s="589"/>
      <c r="AB155" s="38"/>
      <c r="AC155" s="354"/>
      <c r="AF155" s="47">
        <f t="shared" ref="AF155:AF157" si="72">AC155*AE155</f>
        <v>0</v>
      </c>
    </row>
    <row r="156" spans="1:32" ht="12.75" customHeight="1">
      <c r="A156" s="527" t="s">
        <v>560</v>
      </c>
      <c r="B156" s="246"/>
      <c r="C156" s="300"/>
      <c r="D156" s="253"/>
      <c r="E156" s="563"/>
      <c r="F156" s="871"/>
      <c r="G156" s="307"/>
      <c r="H156" s="238"/>
      <c r="I156" s="227"/>
      <c r="J156" s="227"/>
      <c r="K156" s="258">
        <v>36</v>
      </c>
      <c r="L156" s="245"/>
      <c r="M156" s="231"/>
      <c r="N156" s="245"/>
      <c r="O156" s="274"/>
      <c r="P156" s="283">
        <v>155</v>
      </c>
      <c r="Q156" s="261"/>
      <c r="R156" s="622">
        <v>0</v>
      </c>
      <c r="S156" s="638">
        <v>0</v>
      </c>
      <c r="T156" s="242">
        <v>0</v>
      </c>
      <c r="U156" s="472"/>
      <c r="V156" s="297"/>
      <c r="W156" s="387">
        <f t="shared" ref="W156" si="73">(V156*X156)</f>
        <v>0</v>
      </c>
      <c r="X156" s="634"/>
      <c r="Y156" s="590">
        <f>IF(D156&lt;&gt;0,($C157*(1-$V$1))-$D156,0)</f>
        <v>0</v>
      </c>
      <c r="Z156" s="591" t="str">
        <f>IFERROR(IF(C156&lt;&gt;"",$Y$1/(D154/100)*(C156/100),""),"")</f>
        <v/>
      </c>
      <c r="AA156" s="592" t="str">
        <f>IFERROR($AA$1/(D156/100)*(C154/100),"")</f>
        <v/>
      </c>
      <c r="AB156" s="38"/>
      <c r="AC156" s="354"/>
      <c r="AF156" s="47">
        <f t="shared" si="72"/>
        <v>0</v>
      </c>
    </row>
    <row r="157" spans="1:32" ht="12.75" customHeight="1">
      <c r="A157" s="528" t="s">
        <v>236</v>
      </c>
      <c r="B157" s="568"/>
      <c r="C157" s="237"/>
      <c r="D157" s="372"/>
      <c r="E157" s="574"/>
      <c r="F157" s="873"/>
      <c r="G157" s="306"/>
      <c r="H157" s="235"/>
      <c r="I157" s="226"/>
      <c r="J157" s="226"/>
      <c r="K157" s="255">
        <v>42</v>
      </c>
      <c r="L157" s="233"/>
      <c r="M157" s="230"/>
      <c r="N157" s="233"/>
      <c r="O157" s="273"/>
      <c r="P157" s="282">
        <v>156</v>
      </c>
      <c r="Q157" s="260"/>
      <c r="R157" s="612">
        <v>0</v>
      </c>
      <c r="S157" s="637">
        <v>0</v>
      </c>
      <c r="T157" s="243">
        <v>0</v>
      </c>
      <c r="U157" s="471"/>
      <c r="V157" s="296">
        <v>0</v>
      </c>
      <c r="W157" s="388">
        <f>V156*(F156/100)</f>
        <v>0</v>
      </c>
      <c r="X157" s="629"/>
      <c r="Y157" s="480" t="str">
        <f>IFERROR(INT($AA$1/(F156/100)),"")</f>
        <v/>
      </c>
      <c r="Z157" s="593" t="str">
        <f>IFERROR(IF(C157&lt;&gt;"",$Y$1/(D155/100)*(C157/100),""),"")</f>
        <v/>
      </c>
      <c r="AA157" s="594" t="str">
        <f>IFERROR($AA$1/(D157/100)*(C155/100),"")</f>
        <v/>
      </c>
      <c r="AB157" s="38"/>
      <c r="AC157" s="359"/>
      <c r="AD157" s="359"/>
      <c r="AE157" s="359"/>
      <c r="AF157" s="359">
        <f t="shared" si="72"/>
        <v>0</v>
      </c>
    </row>
    <row r="158" spans="1:32" ht="12.75" customHeight="1">
      <c r="A158" s="527" t="s">
        <v>561</v>
      </c>
      <c r="B158" s="246">
        <v>1068</v>
      </c>
      <c r="C158" s="300">
        <v>46.8</v>
      </c>
      <c r="D158" s="253">
        <v>47.5</v>
      </c>
      <c r="E158" s="563">
        <v>6</v>
      </c>
      <c r="F158" s="871">
        <v>47.106000000000002</v>
      </c>
      <c r="G158" s="307">
        <v>1.7299999999999999E-2</v>
      </c>
      <c r="H158" s="238">
        <v>47</v>
      </c>
      <c r="I158" s="227">
        <v>47.7</v>
      </c>
      <c r="J158" s="227">
        <v>45.81</v>
      </c>
      <c r="K158" s="258">
        <v>46.301000000000002</v>
      </c>
      <c r="L158" s="245">
        <v>15750</v>
      </c>
      <c r="M158" s="231">
        <v>33622</v>
      </c>
      <c r="N158" s="245">
        <v>61</v>
      </c>
      <c r="O158" s="274">
        <v>45401.671747685185</v>
      </c>
      <c r="P158" s="283">
        <v>157</v>
      </c>
      <c r="Q158" s="261"/>
      <c r="R158" s="622">
        <v>0</v>
      </c>
      <c r="S158" s="638">
        <v>0</v>
      </c>
      <c r="T158" s="242">
        <v>0</v>
      </c>
      <c r="U158" s="472"/>
      <c r="V158" s="355"/>
      <c r="W158" s="389">
        <f t="shared" ref="W158" si="74">(V158*X158)</f>
        <v>0</v>
      </c>
      <c r="X158" s="631"/>
      <c r="Y158" s="595">
        <f>IF(D158&lt;&gt;0,($C159*(1-$V$1))-$D158,0)</f>
        <v>-0.96999999999999886</v>
      </c>
      <c r="Z158" s="596">
        <f>IFERROR(IF(C158&lt;&gt;"",$Y$1/(D154/100)*(C158/100),""),"")</f>
        <v>99.021534007186602</v>
      </c>
      <c r="AA158" s="597">
        <f>IFERROR($Z$1/(D158/100)*(C154/100),"")</f>
        <v>100063.15789473685</v>
      </c>
      <c r="AB158" s="38"/>
      <c r="AC158" s="363">
        <f>SUM(AC154:AC157)</f>
        <v>28</v>
      </c>
      <c r="AD158" s="364"/>
      <c r="AE158" s="364" t="s">
        <v>588</v>
      </c>
      <c r="AF158" s="364">
        <f>SUM(AF154:AF157)</f>
        <v>12320</v>
      </c>
    </row>
    <row r="159" spans="1:32" ht="12.75" customHeight="1">
      <c r="A159" s="875" t="s">
        <v>237</v>
      </c>
      <c r="B159" s="884">
        <v>106</v>
      </c>
      <c r="C159" s="309">
        <v>46.53</v>
      </c>
      <c r="D159" s="877">
        <v>47.4</v>
      </c>
      <c r="E159" s="885">
        <v>4234</v>
      </c>
      <c r="F159" s="874">
        <v>47.399000000000001</v>
      </c>
      <c r="G159" s="779">
        <v>2.1499999999999998E-2</v>
      </c>
      <c r="H159" s="250">
        <v>46.4</v>
      </c>
      <c r="I159" s="251">
        <v>47.8</v>
      </c>
      <c r="J159" s="251">
        <v>45.709000000000003</v>
      </c>
      <c r="K159" s="886">
        <v>46.4</v>
      </c>
      <c r="L159" s="254">
        <v>40441</v>
      </c>
      <c r="M159" s="252">
        <v>86016</v>
      </c>
      <c r="N159" s="254">
        <v>127</v>
      </c>
      <c r="O159" s="275">
        <v>45401.700185185182</v>
      </c>
      <c r="P159" s="656">
        <v>158</v>
      </c>
      <c r="Q159" s="508"/>
      <c r="R159" s="617">
        <v>0</v>
      </c>
      <c r="S159" s="780">
        <v>0</v>
      </c>
      <c r="T159" s="781">
        <v>0</v>
      </c>
      <c r="U159" s="471"/>
      <c r="V159" s="356">
        <v>0</v>
      </c>
      <c r="W159" s="887">
        <f>V158*(F158/100)</f>
        <v>0</v>
      </c>
      <c r="X159" s="658"/>
      <c r="Y159" s="880">
        <f>IFERROR(INT($Z$1/(F158/100)),"")</f>
        <v>212</v>
      </c>
      <c r="Z159" s="881">
        <f>IFERROR(IF(C159&lt;&gt;"",$Y$1/(D155/100)*(C159/100),""),"")</f>
        <v>100.48144015390956</v>
      </c>
      <c r="AA159" s="882">
        <f>IFERROR($Z$1/(D159/100)*(C155/100),"")</f>
        <v>100116.03375527427</v>
      </c>
      <c r="AB159" s="38"/>
      <c r="AC159" s="830">
        <f>AF158/AC158</f>
        <v>440</v>
      </c>
      <c r="AD159" s="830"/>
      <c r="AE159" s="830"/>
      <c r="AF159" s="830"/>
    </row>
    <row r="160" spans="1:32" ht="12.75" customHeight="1">
      <c r="A160" s="644" t="s">
        <v>565</v>
      </c>
      <c r="B160" s="246">
        <v>504</v>
      </c>
      <c r="C160" s="300">
        <v>51600</v>
      </c>
      <c r="D160" s="253">
        <v>52100</v>
      </c>
      <c r="E160" s="563">
        <v>2136</v>
      </c>
      <c r="F160" s="871">
        <v>52000</v>
      </c>
      <c r="G160" s="304">
        <v>2.9999999999999997E-4</v>
      </c>
      <c r="H160" s="236">
        <v>51980</v>
      </c>
      <c r="I160" s="228">
        <v>52650</v>
      </c>
      <c r="J160" s="228">
        <v>51400</v>
      </c>
      <c r="K160" s="257">
        <v>51980</v>
      </c>
      <c r="L160" s="249">
        <v>11278906</v>
      </c>
      <c r="M160" s="232">
        <v>21619</v>
      </c>
      <c r="N160" s="249">
        <v>62</v>
      </c>
      <c r="O160" s="272">
        <v>45401.687615740739</v>
      </c>
      <c r="P160" s="283">
        <v>159</v>
      </c>
      <c r="Q160" s="262"/>
      <c r="R160" s="613">
        <v>0</v>
      </c>
      <c r="S160" s="635">
        <v>0</v>
      </c>
      <c r="T160" s="244">
        <v>0</v>
      </c>
      <c r="U160" s="472"/>
      <c r="V160" s="358"/>
      <c r="W160" s="390">
        <f t="shared" ref="W160" si="75">(V160*X160)</f>
        <v>0</v>
      </c>
      <c r="X160" s="630"/>
      <c r="Y160" s="584">
        <f>IF(D160&lt;&gt;0,($C161*(1-$V$1))-$D160,0)</f>
        <v>-150</v>
      </c>
      <c r="Z160" s="586"/>
      <c r="AA160" s="587"/>
      <c r="AB160" s="38"/>
    </row>
    <row r="161" spans="1:28" ht="12.75" customHeight="1">
      <c r="A161" s="528" t="s">
        <v>189</v>
      </c>
      <c r="B161" s="568">
        <v>100</v>
      </c>
      <c r="C161" s="237">
        <v>51950</v>
      </c>
      <c r="D161" s="372">
        <v>51990</v>
      </c>
      <c r="E161" s="574">
        <v>45693</v>
      </c>
      <c r="F161" s="873">
        <v>51990</v>
      </c>
      <c r="G161" s="306">
        <v>8.9999999999999998E-4</v>
      </c>
      <c r="H161" s="235">
        <v>51660</v>
      </c>
      <c r="I161" s="226">
        <v>52780</v>
      </c>
      <c r="J161" s="226">
        <v>50800</v>
      </c>
      <c r="K161" s="255">
        <v>51940</v>
      </c>
      <c r="L161" s="233">
        <v>48572907</v>
      </c>
      <c r="M161" s="230">
        <v>93442</v>
      </c>
      <c r="N161" s="233">
        <v>240</v>
      </c>
      <c r="O161" s="273">
        <v>45401.708506944444</v>
      </c>
      <c r="P161" s="282">
        <v>160</v>
      </c>
      <c r="Q161" s="260"/>
      <c r="R161" s="612">
        <v>0</v>
      </c>
      <c r="S161" s="637">
        <v>0</v>
      </c>
      <c r="T161" s="243">
        <v>0</v>
      </c>
      <c r="U161" s="471"/>
      <c r="V161" s="357">
        <v>0</v>
      </c>
      <c r="W161" s="386">
        <f>V160*(F160/100)</f>
        <v>0</v>
      </c>
      <c r="X161" s="629"/>
      <c r="Y161" s="479">
        <f>IFERROR(INT($Y$1/(F160/100)),"")</f>
        <v>197</v>
      </c>
      <c r="Z161" s="588"/>
      <c r="AA161" s="589"/>
      <c r="AB161" s="38"/>
    </row>
    <row r="162" spans="1:28" ht="12.75" customHeight="1">
      <c r="A162" s="527" t="s">
        <v>566</v>
      </c>
      <c r="B162" s="246"/>
      <c r="C162" s="300"/>
      <c r="D162" s="253"/>
      <c r="E162" s="563"/>
      <c r="F162" s="871"/>
      <c r="G162" s="307"/>
      <c r="H162" s="238"/>
      <c r="I162" s="227"/>
      <c r="J162" s="227"/>
      <c r="K162" s="258">
        <v>21.007999999999999</v>
      </c>
      <c r="L162" s="245"/>
      <c r="M162" s="231"/>
      <c r="N162" s="245"/>
      <c r="O162" s="274"/>
      <c r="P162" s="283">
        <v>161</v>
      </c>
      <c r="Q162" s="261"/>
      <c r="R162" s="622">
        <v>0</v>
      </c>
      <c r="S162" s="638">
        <v>0</v>
      </c>
      <c r="T162" s="242">
        <v>0</v>
      </c>
      <c r="U162" s="472"/>
      <c r="V162" s="297"/>
      <c r="W162" s="387">
        <f t="shared" ref="W162" si="76">(V162*X162)</f>
        <v>0</v>
      </c>
      <c r="X162" s="634"/>
      <c r="Y162" s="590">
        <f>IF(D162&lt;&gt;0,($C163*(1-$V$1))-$D162,0)</f>
        <v>0</v>
      </c>
      <c r="Z162" s="591" t="str">
        <f>IFERROR(IF(C162&lt;&gt;"",$Y$1/(D160/100)*(C162/100),""),"")</f>
        <v/>
      </c>
      <c r="AA162" s="592" t="str">
        <f>IFERROR($AA$1/(D162/100)*(C160/100),"")</f>
        <v/>
      </c>
      <c r="AB162" s="38"/>
    </row>
    <row r="163" spans="1:28" ht="12.75" customHeight="1">
      <c r="A163" s="528" t="s">
        <v>276</v>
      </c>
      <c r="B163" s="568"/>
      <c r="C163" s="237"/>
      <c r="D163" s="372"/>
      <c r="E163" s="574"/>
      <c r="F163" s="873"/>
      <c r="G163" s="306"/>
      <c r="H163" s="235"/>
      <c r="I163" s="226"/>
      <c r="J163" s="226"/>
      <c r="K163" s="255">
        <v>25.276</v>
      </c>
      <c r="L163" s="233"/>
      <c r="M163" s="230"/>
      <c r="N163" s="233"/>
      <c r="O163" s="273"/>
      <c r="P163" s="282">
        <v>162</v>
      </c>
      <c r="Q163" s="260"/>
      <c r="R163" s="612">
        <v>0</v>
      </c>
      <c r="S163" s="637">
        <v>0</v>
      </c>
      <c r="T163" s="243">
        <v>0</v>
      </c>
      <c r="U163" s="471"/>
      <c r="V163" s="296">
        <v>0</v>
      </c>
      <c r="W163" s="388">
        <f>V162*(F162/100)</f>
        <v>0</v>
      </c>
      <c r="X163" s="629"/>
      <c r="Y163" s="480" t="str">
        <f>IFERROR(INT($AA$1/(F162/100)),"")</f>
        <v/>
      </c>
      <c r="Z163" s="593" t="str">
        <f>IFERROR(IF(C163&lt;&gt;"",$Y$1/(D161/100)*(C163/100),""),"")</f>
        <v/>
      </c>
      <c r="AA163" s="594" t="str">
        <f>IFERROR($AA$1/(D163/100)*(C161/100),"")</f>
        <v/>
      </c>
      <c r="AB163" s="38"/>
    </row>
    <row r="164" spans="1:28" ht="12.75" customHeight="1">
      <c r="A164" s="527" t="s">
        <v>567</v>
      </c>
      <c r="B164" s="246">
        <v>149</v>
      </c>
      <c r="C164" s="300">
        <v>49.91</v>
      </c>
      <c r="D164" s="253">
        <v>50</v>
      </c>
      <c r="E164" s="563">
        <v>1400</v>
      </c>
      <c r="F164" s="871">
        <v>50</v>
      </c>
      <c r="G164" s="307">
        <v>-1.9599999999999999E-2</v>
      </c>
      <c r="H164" s="238">
        <v>51</v>
      </c>
      <c r="I164" s="227">
        <v>51.8</v>
      </c>
      <c r="J164" s="227">
        <v>50</v>
      </c>
      <c r="K164" s="258">
        <v>51</v>
      </c>
      <c r="L164" s="245">
        <v>3066</v>
      </c>
      <c r="M164" s="231">
        <v>5943</v>
      </c>
      <c r="N164" s="245">
        <v>9</v>
      </c>
      <c r="O164" s="274">
        <v>45401.687615740739</v>
      </c>
      <c r="P164" s="283">
        <v>163</v>
      </c>
      <c r="Q164" s="261"/>
      <c r="R164" s="622">
        <v>0</v>
      </c>
      <c r="S164" s="638">
        <v>0</v>
      </c>
      <c r="T164" s="242">
        <v>0</v>
      </c>
      <c r="U164" s="472"/>
      <c r="V164" s="355">
        <v>4</v>
      </c>
      <c r="W164" s="389">
        <f t="shared" ref="W164" si="77">(V164*X164)</f>
        <v>1.6</v>
      </c>
      <c r="X164" s="631">
        <v>0.4</v>
      </c>
      <c r="Y164" s="595">
        <f>IF(D164&lt;&gt;0,($C165*(1-$V$1))-$D164,0)</f>
        <v>0.29999999999999716</v>
      </c>
      <c r="Z164" s="596">
        <f>IFERROR(IF(C164&lt;&gt;"",$Y$1/(D160/100)*(C164/100),""),"")</f>
        <v>98.264410845448509</v>
      </c>
      <c r="AA164" s="597">
        <f>IFERROR($Z$1/(D164/100)*(C160/100),"")</f>
        <v>103200</v>
      </c>
      <c r="AB164" s="38"/>
    </row>
    <row r="165" spans="1:28" ht="12.75" customHeight="1">
      <c r="A165" s="890" t="s">
        <v>277</v>
      </c>
      <c r="B165" s="766">
        <v>2000</v>
      </c>
      <c r="C165" s="713">
        <v>50.3</v>
      </c>
      <c r="D165" s="891">
        <v>51.95</v>
      </c>
      <c r="E165" s="788">
        <v>173</v>
      </c>
      <c r="F165" s="872">
        <v>51.95</v>
      </c>
      <c r="G165" s="756">
        <v>1.46E-2</v>
      </c>
      <c r="H165" s="740">
        <v>51.95</v>
      </c>
      <c r="I165" s="741">
        <v>51.95</v>
      </c>
      <c r="J165" s="741">
        <v>51.6</v>
      </c>
      <c r="K165" s="892">
        <v>51.2</v>
      </c>
      <c r="L165" s="744">
        <v>2344</v>
      </c>
      <c r="M165" s="743">
        <v>4525</v>
      </c>
      <c r="N165" s="744">
        <v>12</v>
      </c>
      <c r="O165" s="725">
        <v>45401.708564814813</v>
      </c>
      <c r="P165" s="726">
        <v>164</v>
      </c>
      <c r="Q165" s="727"/>
      <c r="R165" s="746">
        <v>0</v>
      </c>
      <c r="S165" s="757">
        <v>0</v>
      </c>
      <c r="T165" s="758">
        <v>0</v>
      </c>
      <c r="U165" s="471"/>
      <c r="V165" s="356">
        <v>0</v>
      </c>
      <c r="W165" s="893">
        <f>V164*(F164/100)</f>
        <v>2</v>
      </c>
      <c r="X165" s="732"/>
      <c r="Y165" s="894">
        <f>IFERROR(INT($Z$1/(F164/100)),"")</f>
        <v>200</v>
      </c>
      <c r="Z165" s="895">
        <f>IFERROR(IF(C165&lt;&gt;"",$Y$1/(D161/100)*(C165/100),""),"")</f>
        <v>99.241786974163702</v>
      </c>
      <c r="AA165" s="896">
        <f>IFERROR($Z$1/(D165/100)*(C161/100),"")</f>
        <v>99999.999999999985</v>
      </c>
      <c r="AB165" s="38"/>
    </row>
    <row r="166" spans="1:28" ht="12.75" customHeight="1">
      <c r="A166" s="644" t="s">
        <v>615</v>
      </c>
      <c r="B166" s="246"/>
      <c r="C166" s="300"/>
      <c r="D166" s="253"/>
      <c r="E166" s="563"/>
      <c r="F166" s="871"/>
      <c r="G166" s="304"/>
      <c r="H166" s="236"/>
      <c r="I166" s="228"/>
      <c r="J166" s="228"/>
      <c r="K166" s="257"/>
      <c r="L166" s="249"/>
      <c r="M166" s="232"/>
      <c r="N166" s="249"/>
      <c r="O166" s="272"/>
      <c r="P166" s="283">
        <v>165</v>
      </c>
      <c r="Q166" s="262"/>
      <c r="R166" s="613">
        <v>0</v>
      </c>
      <c r="S166" s="635">
        <v>0</v>
      </c>
      <c r="T166" s="244">
        <v>0</v>
      </c>
      <c r="U166" s="472"/>
      <c r="V166" s="358"/>
      <c r="W166" s="390">
        <f t="shared" ref="W166" si="78">(V166*X166)</f>
        <v>0</v>
      </c>
      <c r="X166" s="630"/>
      <c r="Y166" s="584">
        <f>IF(D166&lt;&gt;0,($C167*(1-$V$1))-$D166,0)</f>
        <v>0</v>
      </c>
      <c r="Z166" s="586"/>
      <c r="AA166" s="587"/>
    </row>
    <row r="167" spans="1:28" ht="12.75" customHeight="1">
      <c r="A167" s="528" t="s">
        <v>616</v>
      </c>
      <c r="B167" s="568"/>
      <c r="C167" s="237"/>
      <c r="D167" s="372"/>
      <c r="E167" s="574"/>
      <c r="F167" s="873"/>
      <c r="G167" s="306"/>
      <c r="H167" s="235"/>
      <c r="I167" s="226"/>
      <c r="J167" s="226"/>
      <c r="K167" s="255"/>
      <c r="L167" s="233"/>
      <c r="M167" s="230"/>
      <c r="N167" s="233"/>
      <c r="O167" s="273"/>
      <c r="P167" s="282">
        <v>166</v>
      </c>
      <c r="Q167" s="260"/>
      <c r="R167" s="612">
        <v>0</v>
      </c>
      <c r="S167" s="637">
        <v>0</v>
      </c>
      <c r="T167" s="243">
        <v>0</v>
      </c>
      <c r="U167" s="471"/>
      <c r="V167" s="357">
        <v>0</v>
      </c>
      <c r="W167" s="386">
        <f>V166*(D166/100)</f>
        <v>0</v>
      </c>
      <c r="X167" s="629"/>
      <c r="Y167" s="479" t="str">
        <f>IFERROR(INT($Y$1/(F166)),"")</f>
        <v/>
      </c>
      <c r="Z167" s="588"/>
      <c r="AA167" s="589"/>
    </row>
    <row r="168" spans="1:28" ht="12.75" customHeight="1">
      <c r="A168" s="527" t="s">
        <v>617</v>
      </c>
      <c r="B168" s="246"/>
      <c r="C168" s="300"/>
      <c r="D168" s="253"/>
      <c r="E168" s="563"/>
      <c r="F168" s="871"/>
      <c r="G168" s="307"/>
      <c r="H168" s="238"/>
      <c r="I168" s="227"/>
      <c r="J168" s="227"/>
      <c r="K168" s="258"/>
      <c r="L168" s="245"/>
      <c r="M168" s="231"/>
      <c r="N168" s="245"/>
      <c r="O168" s="274"/>
      <c r="P168" s="283">
        <v>167</v>
      </c>
      <c r="Q168" s="261"/>
      <c r="R168" s="622">
        <v>0</v>
      </c>
      <c r="S168" s="638">
        <v>0</v>
      </c>
      <c r="T168" s="242">
        <v>0</v>
      </c>
      <c r="U168" s="472"/>
      <c r="V168" s="297"/>
      <c r="W168" s="387">
        <f t="shared" ref="W168" si="79">(V168*X168)</f>
        <v>0</v>
      </c>
      <c r="X168" s="634"/>
      <c r="Y168" s="590">
        <f>IF(D168&lt;&gt;0,($C169*(1-$V$1))-$D168,0)</f>
        <v>0</v>
      </c>
      <c r="Z168" s="591" t="str">
        <f>IFERROR(IF(C168&lt;&gt;"",$Y$1/(D166)*(C168),""),"")</f>
        <v/>
      </c>
      <c r="AA168" s="592" t="str">
        <f>IFERROR($AA$1/(D168)*(C166),"")</f>
        <v/>
      </c>
    </row>
    <row r="169" spans="1:28" ht="12.75" customHeight="1">
      <c r="A169" s="528" t="s">
        <v>618</v>
      </c>
      <c r="B169" s="568"/>
      <c r="C169" s="237"/>
      <c r="D169" s="372"/>
      <c r="E169" s="574"/>
      <c r="F169" s="873"/>
      <c r="G169" s="306"/>
      <c r="H169" s="235"/>
      <c r="I169" s="226"/>
      <c r="J169" s="226"/>
      <c r="K169" s="255"/>
      <c r="L169" s="233"/>
      <c r="M169" s="230"/>
      <c r="N169" s="233"/>
      <c r="O169" s="273"/>
      <c r="P169" s="282">
        <v>168</v>
      </c>
      <c r="Q169" s="260"/>
      <c r="R169" s="612">
        <v>0</v>
      </c>
      <c r="S169" s="637">
        <v>0</v>
      </c>
      <c r="T169" s="243">
        <v>0</v>
      </c>
      <c r="U169" s="471"/>
      <c r="V169" s="296">
        <v>0</v>
      </c>
      <c r="W169" s="388">
        <f>V168*(F168/100)</f>
        <v>0</v>
      </c>
      <c r="X169" s="629"/>
      <c r="Y169" s="480" t="str">
        <f>IFERROR(INT($AA$1/(F168/100)),"")</f>
        <v/>
      </c>
      <c r="Z169" s="593" t="str">
        <f>IFERROR(IF(C169&lt;&gt;"",$Y$1/(D167)*(C169),""),"")</f>
        <v/>
      </c>
      <c r="AA169" s="594" t="str">
        <f>IFERROR($AA$1/(D169)*(C167),"")</f>
        <v/>
      </c>
    </row>
    <row r="170" spans="1:28" ht="12.75" customHeight="1">
      <c r="A170" s="527" t="s">
        <v>619</v>
      </c>
      <c r="B170" s="246"/>
      <c r="C170" s="300"/>
      <c r="D170" s="253"/>
      <c r="E170" s="563"/>
      <c r="F170" s="871"/>
      <c r="G170" s="307"/>
      <c r="H170" s="238"/>
      <c r="I170" s="227"/>
      <c r="J170" s="227"/>
      <c r="K170" s="258"/>
      <c r="L170" s="245"/>
      <c r="M170" s="231"/>
      <c r="N170" s="245"/>
      <c r="O170" s="274"/>
      <c r="P170" s="283">
        <v>169</v>
      </c>
      <c r="Q170" s="261"/>
      <c r="R170" s="622">
        <v>0</v>
      </c>
      <c r="S170" s="638">
        <v>0</v>
      </c>
      <c r="T170" s="242">
        <v>0</v>
      </c>
      <c r="U170" s="472"/>
      <c r="V170" s="355"/>
      <c r="W170" s="389">
        <f t="shared" ref="W170" si="80">(V170*X170)</f>
        <v>0</v>
      </c>
      <c r="X170" s="631"/>
      <c r="Y170" s="595">
        <f>IF(D170&lt;&gt;0,($C171*(1-$V$1))-$D170,0)</f>
        <v>0</v>
      </c>
      <c r="Z170" s="596" t="str">
        <f>IFERROR(IF(C170&lt;&gt;"",$Y$1/(D166)*(C170),""),"")</f>
        <v/>
      </c>
      <c r="AA170" s="597" t="str">
        <f>IFERROR($Z$1/(D170)*(C166),"")</f>
        <v/>
      </c>
    </row>
    <row r="171" spans="1:28" ht="12.75" customHeight="1">
      <c r="A171" s="642" t="s">
        <v>620</v>
      </c>
      <c r="B171" s="375"/>
      <c r="C171" s="345"/>
      <c r="D171" s="371"/>
      <c r="E171" s="570"/>
      <c r="F171" s="874"/>
      <c r="G171" s="352"/>
      <c r="H171" s="346"/>
      <c r="I171" s="347"/>
      <c r="J171" s="347"/>
      <c r="K171" s="353"/>
      <c r="L171" s="342"/>
      <c r="M171" s="348"/>
      <c r="N171" s="342"/>
      <c r="O171" s="343"/>
      <c r="P171" s="282">
        <v>170</v>
      </c>
      <c r="Q171" s="344"/>
      <c r="R171" s="620">
        <v>0</v>
      </c>
      <c r="S171" s="636">
        <v>0</v>
      </c>
      <c r="T171" s="349">
        <v>0</v>
      </c>
      <c r="U171" s="471"/>
      <c r="V171" s="356">
        <v>0</v>
      </c>
      <c r="W171" s="391">
        <f>V170*(C170/100)</f>
        <v>0</v>
      </c>
      <c r="X171" s="633"/>
      <c r="Y171" s="481" t="str">
        <f>IFERROR(INT($Z$1/(F170)),"")</f>
        <v/>
      </c>
      <c r="Z171" s="598" t="str">
        <f>IFERROR(IF(C171&lt;&gt;"",$Y$1/(D167)*(C171),""),"")</f>
        <v/>
      </c>
      <c r="AA171" s="599" t="str">
        <f>IFERROR($Z$1/(D171)*(C167),"")</f>
        <v/>
      </c>
    </row>
    <row r="172" spans="1:28" ht="12.75" customHeight="1">
      <c r="A172" s="644" t="s">
        <v>621</v>
      </c>
      <c r="B172" s="246"/>
      <c r="C172" s="300"/>
      <c r="D172" s="253"/>
      <c r="E172" s="563"/>
      <c r="F172" s="871"/>
      <c r="G172" s="304"/>
      <c r="H172" s="236"/>
      <c r="I172" s="228"/>
      <c r="J172" s="228"/>
      <c r="K172" s="257"/>
      <c r="L172" s="249"/>
      <c r="M172" s="232"/>
      <c r="N172" s="249"/>
      <c r="O172" s="272"/>
      <c r="P172" s="283">
        <v>171</v>
      </c>
      <c r="Q172" s="262"/>
      <c r="R172" s="613">
        <v>0</v>
      </c>
      <c r="S172" s="635">
        <v>0</v>
      </c>
      <c r="T172" s="244">
        <v>0</v>
      </c>
      <c r="U172" s="472"/>
      <c r="V172" s="358"/>
      <c r="W172" s="390">
        <f t="shared" ref="W172" si="81">(V172*X172)</f>
        <v>0</v>
      </c>
      <c r="X172" s="634"/>
      <c r="Y172" s="584">
        <f>IF(D172&lt;&gt;0,($C173*(1-$V$1))-$D172,0)</f>
        <v>0</v>
      </c>
      <c r="Z172" s="600"/>
      <c r="AA172" s="587"/>
    </row>
    <row r="173" spans="1:28" ht="12.75" customHeight="1">
      <c r="A173" s="528" t="s">
        <v>622</v>
      </c>
      <c r="B173" s="568"/>
      <c r="C173" s="237"/>
      <c r="D173" s="372"/>
      <c r="E173" s="574"/>
      <c r="F173" s="873"/>
      <c r="G173" s="306"/>
      <c r="H173" s="235"/>
      <c r="I173" s="226"/>
      <c r="J173" s="226"/>
      <c r="K173" s="255"/>
      <c r="L173" s="233"/>
      <c r="M173" s="230"/>
      <c r="N173" s="233"/>
      <c r="O173" s="273"/>
      <c r="P173" s="282">
        <v>172</v>
      </c>
      <c r="Q173" s="260"/>
      <c r="R173" s="612">
        <v>0</v>
      </c>
      <c r="S173" s="637">
        <v>0</v>
      </c>
      <c r="T173" s="243">
        <v>0</v>
      </c>
      <c r="U173" s="471"/>
      <c r="V173" s="357">
        <v>0</v>
      </c>
      <c r="W173" s="386">
        <f>V172*(D172/100)</f>
        <v>0</v>
      </c>
      <c r="X173" s="629"/>
      <c r="Y173" s="479" t="str">
        <f>IFERROR(INT($Y$1/(F172)),"")</f>
        <v/>
      </c>
      <c r="Z173" s="588"/>
      <c r="AA173" s="589"/>
    </row>
    <row r="174" spans="1:28" ht="12.75" customHeight="1">
      <c r="A174" s="527" t="s">
        <v>623</v>
      </c>
      <c r="B174" s="246"/>
      <c r="C174" s="300"/>
      <c r="D174" s="253"/>
      <c r="E174" s="563"/>
      <c r="F174" s="871"/>
      <c r="G174" s="307"/>
      <c r="H174" s="238"/>
      <c r="I174" s="227"/>
      <c r="J174" s="227"/>
      <c r="K174" s="258"/>
      <c r="L174" s="245"/>
      <c r="M174" s="231"/>
      <c r="N174" s="245"/>
      <c r="O174" s="274"/>
      <c r="P174" s="283">
        <v>173</v>
      </c>
      <c r="Q174" s="261"/>
      <c r="R174" s="622">
        <v>0</v>
      </c>
      <c r="S174" s="638">
        <v>0</v>
      </c>
      <c r="T174" s="242">
        <v>0</v>
      </c>
      <c r="U174" s="472"/>
      <c r="V174" s="297"/>
      <c r="W174" s="387">
        <f t="shared" ref="W174" si="82">(V174*X174)</f>
        <v>0</v>
      </c>
      <c r="X174" s="634"/>
      <c r="Y174" s="590">
        <f>IF(D174&lt;&gt;0,($C175*(1-$V$1))-$D174,0)</f>
        <v>0</v>
      </c>
      <c r="Z174" s="591" t="str">
        <f>IFERROR(IF(C174&lt;&gt;"",$Y$1/(D172)*(C174),""),"")</f>
        <v/>
      </c>
      <c r="AA174" s="592" t="str">
        <f>IFERROR($AA$1/(D174)*(C172),"")</f>
        <v/>
      </c>
    </row>
    <row r="175" spans="1:28" ht="12.75" customHeight="1">
      <c r="A175" s="528" t="s">
        <v>624</v>
      </c>
      <c r="B175" s="568"/>
      <c r="C175" s="237"/>
      <c r="D175" s="372"/>
      <c r="E175" s="574"/>
      <c r="F175" s="873"/>
      <c r="G175" s="306"/>
      <c r="H175" s="235"/>
      <c r="I175" s="226"/>
      <c r="J175" s="226"/>
      <c r="K175" s="255"/>
      <c r="L175" s="233"/>
      <c r="M175" s="230"/>
      <c r="N175" s="233"/>
      <c r="O175" s="273"/>
      <c r="P175" s="282">
        <v>174</v>
      </c>
      <c r="Q175" s="260"/>
      <c r="R175" s="612">
        <v>0</v>
      </c>
      <c r="S175" s="637">
        <v>0</v>
      </c>
      <c r="T175" s="243">
        <v>0</v>
      </c>
      <c r="U175" s="471"/>
      <c r="V175" s="296">
        <v>0</v>
      </c>
      <c r="W175" s="388">
        <f>V174*(F174/100)</f>
        <v>0</v>
      </c>
      <c r="X175" s="629"/>
      <c r="Y175" s="480" t="str">
        <f>IFERROR(INT($AA$1/(F174/100)),"")</f>
        <v/>
      </c>
      <c r="Z175" s="593" t="str">
        <f>IFERROR(IF(C175&lt;&gt;"",$Y$1/(D173)*(C175),""),"")</f>
        <v/>
      </c>
      <c r="AA175" s="594" t="str">
        <f>IFERROR($AA$1/(D175)*(C173),"")</f>
        <v/>
      </c>
    </row>
    <row r="176" spans="1:28" ht="12.75" customHeight="1">
      <c r="A176" s="527" t="s">
        <v>625</v>
      </c>
      <c r="B176" s="246"/>
      <c r="C176" s="300"/>
      <c r="D176" s="253"/>
      <c r="E176" s="563"/>
      <c r="F176" s="871"/>
      <c r="G176" s="307"/>
      <c r="H176" s="238"/>
      <c r="I176" s="227"/>
      <c r="J176" s="227"/>
      <c r="K176" s="258"/>
      <c r="L176" s="245"/>
      <c r="M176" s="231"/>
      <c r="N176" s="245"/>
      <c r="O176" s="274"/>
      <c r="P176" s="283">
        <v>175</v>
      </c>
      <c r="Q176" s="261"/>
      <c r="R176" s="622">
        <v>0</v>
      </c>
      <c r="S176" s="638">
        <v>0</v>
      </c>
      <c r="T176" s="242">
        <v>0</v>
      </c>
      <c r="U176" s="472"/>
      <c r="V176" s="355"/>
      <c r="W176" s="389">
        <f t="shared" ref="W176" si="83">(V176*X176)</f>
        <v>0</v>
      </c>
      <c r="X176" s="631"/>
      <c r="Y176" s="595">
        <f>IF(D176&lt;&gt;0,($C177*(1-$V$1))-$D176,0)</f>
        <v>0</v>
      </c>
      <c r="Z176" s="596" t="str">
        <f>IFERROR(IF(C176&lt;&gt;"",$Y$1/(D172)*(C176),""),"")</f>
        <v/>
      </c>
      <c r="AA176" s="597" t="str">
        <f>IFERROR($Z$1/(D176)*(C172),"")</f>
        <v/>
      </c>
    </row>
    <row r="177" spans="1:27" ht="12.75" customHeight="1">
      <c r="A177" s="642" t="s">
        <v>626</v>
      </c>
      <c r="B177" s="375"/>
      <c r="C177" s="345"/>
      <c r="D177" s="371"/>
      <c r="E177" s="570"/>
      <c r="F177" s="874"/>
      <c r="G177" s="352"/>
      <c r="H177" s="346"/>
      <c r="I177" s="347"/>
      <c r="J177" s="347"/>
      <c r="K177" s="353"/>
      <c r="L177" s="342"/>
      <c r="M177" s="348"/>
      <c r="N177" s="342"/>
      <c r="O177" s="343"/>
      <c r="P177" s="282">
        <v>176</v>
      </c>
      <c r="Q177" s="344"/>
      <c r="R177" s="620">
        <v>0</v>
      </c>
      <c r="S177" s="636">
        <v>0</v>
      </c>
      <c r="T177" s="349">
        <v>0</v>
      </c>
      <c r="U177" s="471"/>
      <c r="V177" s="356">
        <v>0</v>
      </c>
      <c r="W177" s="391">
        <f>V176*(C176/100)</f>
        <v>0</v>
      </c>
      <c r="X177" s="633"/>
      <c r="Y177" s="481" t="str">
        <f>IFERROR(INT($Z$1/(F176)),"")</f>
        <v/>
      </c>
      <c r="Z177" s="598" t="str">
        <f>IFERROR(IF(C177&lt;&gt;"",$Y$1/(D173)*(C177),""),"")</f>
        <v/>
      </c>
      <c r="AA177" s="599" t="str">
        <f>IFERROR($Z$1/(D177)*(C173),"")</f>
        <v/>
      </c>
    </row>
    <row r="178" spans="1:27" ht="12.75" customHeight="1">
      <c r="A178" s="644" t="s">
        <v>627</v>
      </c>
      <c r="B178" s="246"/>
      <c r="C178" s="300"/>
      <c r="D178" s="253"/>
      <c r="E178" s="563"/>
      <c r="F178" s="871"/>
      <c r="G178" s="304"/>
      <c r="H178" s="236"/>
      <c r="I178" s="228"/>
      <c r="J178" s="228"/>
      <c r="K178" s="257"/>
      <c r="L178" s="249"/>
      <c r="M178" s="232"/>
      <c r="N178" s="249"/>
      <c r="O178" s="272"/>
      <c r="P178" s="283">
        <v>177</v>
      </c>
      <c r="Q178" s="262"/>
      <c r="R178" s="613">
        <v>0</v>
      </c>
      <c r="S178" s="635">
        <v>0</v>
      </c>
      <c r="T178" s="244">
        <v>0</v>
      </c>
      <c r="U178" s="472"/>
      <c r="V178" s="358"/>
      <c r="W178" s="390">
        <f t="shared" ref="W178" si="84">(V178*X178)</f>
        <v>0</v>
      </c>
      <c r="X178" s="634"/>
      <c r="Y178" s="584">
        <f>IF(D178&lt;&gt;0,($C179*(1-$V$1))-$D178,0)</f>
        <v>0</v>
      </c>
      <c r="Z178" s="600"/>
      <c r="AA178" s="587"/>
    </row>
    <row r="179" spans="1:27" ht="12.75" customHeight="1">
      <c r="A179" s="528" t="s">
        <v>628</v>
      </c>
      <c r="B179" s="568"/>
      <c r="C179" s="237"/>
      <c r="D179" s="372"/>
      <c r="E179" s="574"/>
      <c r="F179" s="873"/>
      <c r="G179" s="306"/>
      <c r="H179" s="235"/>
      <c r="I179" s="226"/>
      <c r="J179" s="226"/>
      <c r="K179" s="255"/>
      <c r="L179" s="233"/>
      <c r="M179" s="230"/>
      <c r="N179" s="233"/>
      <c r="O179" s="273"/>
      <c r="P179" s="282">
        <v>178</v>
      </c>
      <c r="Q179" s="260"/>
      <c r="R179" s="612">
        <v>0</v>
      </c>
      <c r="S179" s="637">
        <v>0</v>
      </c>
      <c r="T179" s="243">
        <v>0</v>
      </c>
      <c r="U179" s="471"/>
      <c r="V179" s="357">
        <v>0</v>
      </c>
      <c r="W179" s="386">
        <f>V178*(D178/100)</f>
        <v>0</v>
      </c>
      <c r="X179" s="629"/>
      <c r="Y179" s="479" t="str">
        <f>IFERROR(INT($Y$1/(F178)),"")</f>
        <v/>
      </c>
      <c r="Z179" s="588"/>
      <c r="AA179" s="589"/>
    </row>
    <row r="180" spans="1:27" ht="12.75" customHeight="1">
      <c r="A180" s="527" t="s">
        <v>629</v>
      </c>
      <c r="B180" s="246"/>
      <c r="C180" s="300"/>
      <c r="D180" s="253"/>
      <c r="E180" s="563"/>
      <c r="F180" s="871"/>
      <c r="G180" s="307"/>
      <c r="H180" s="238"/>
      <c r="I180" s="227"/>
      <c r="J180" s="227"/>
      <c r="K180" s="258"/>
      <c r="L180" s="245"/>
      <c r="M180" s="231"/>
      <c r="N180" s="245"/>
      <c r="O180" s="274"/>
      <c r="P180" s="283">
        <v>179</v>
      </c>
      <c r="Q180" s="261"/>
      <c r="R180" s="622">
        <v>0</v>
      </c>
      <c r="S180" s="638">
        <v>0</v>
      </c>
      <c r="T180" s="242">
        <v>0</v>
      </c>
      <c r="U180" s="472"/>
      <c r="V180" s="297"/>
      <c r="W180" s="387">
        <f t="shared" ref="W180" si="85">(V180*X180)</f>
        <v>0</v>
      </c>
      <c r="X180" s="634"/>
      <c r="Y180" s="590">
        <f>IF(D180&lt;&gt;0,($C181*(1-$V$1))-$D180,0)</f>
        <v>0</v>
      </c>
      <c r="Z180" s="591" t="str">
        <f>IFERROR(IF(C180&lt;&gt;"",$Y$1/(D178)*(C180),""),"")</f>
        <v/>
      </c>
      <c r="AA180" s="592" t="str">
        <f>IFERROR($AA$1/(D180)*(C178),"")</f>
        <v/>
      </c>
    </row>
    <row r="181" spans="1:27" ht="12.75" customHeight="1">
      <c r="A181" s="528" t="s">
        <v>630</v>
      </c>
      <c r="B181" s="568"/>
      <c r="C181" s="237"/>
      <c r="D181" s="372"/>
      <c r="E181" s="574"/>
      <c r="F181" s="873"/>
      <c r="G181" s="306"/>
      <c r="H181" s="235"/>
      <c r="I181" s="226"/>
      <c r="J181" s="226"/>
      <c r="K181" s="255"/>
      <c r="L181" s="233"/>
      <c r="M181" s="230"/>
      <c r="N181" s="233"/>
      <c r="O181" s="273"/>
      <c r="P181" s="282">
        <v>180</v>
      </c>
      <c r="Q181" s="260"/>
      <c r="R181" s="612">
        <v>0</v>
      </c>
      <c r="S181" s="637">
        <v>0</v>
      </c>
      <c r="T181" s="243">
        <v>0</v>
      </c>
      <c r="U181" s="471"/>
      <c r="V181" s="296">
        <v>0</v>
      </c>
      <c r="W181" s="388">
        <f>V180*(F180/100)</f>
        <v>0</v>
      </c>
      <c r="X181" s="629"/>
      <c r="Y181" s="480" t="str">
        <f>IFERROR(INT($AA$1/(F180/100)),"")</f>
        <v/>
      </c>
      <c r="Z181" s="593" t="str">
        <f>IFERROR(IF(C181&lt;&gt;"",$Y$1/(D179)*(C181),""),"")</f>
        <v/>
      </c>
      <c r="AA181" s="594" t="str">
        <f>IFERROR($AA$1/(D181)*(C179),"")</f>
        <v/>
      </c>
    </row>
    <row r="182" spans="1:27" ht="12.75" customHeight="1">
      <c r="A182" s="527" t="s">
        <v>631</v>
      </c>
      <c r="B182" s="246"/>
      <c r="C182" s="300"/>
      <c r="D182" s="253"/>
      <c r="E182" s="563"/>
      <c r="F182" s="871"/>
      <c r="G182" s="307"/>
      <c r="H182" s="238"/>
      <c r="I182" s="227"/>
      <c r="J182" s="227"/>
      <c r="K182" s="258"/>
      <c r="L182" s="245"/>
      <c r="M182" s="231"/>
      <c r="N182" s="245"/>
      <c r="O182" s="274"/>
      <c r="P182" s="283">
        <v>181</v>
      </c>
      <c r="Q182" s="261"/>
      <c r="R182" s="622">
        <v>0</v>
      </c>
      <c r="S182" s="638">
        <v>0</v>
      </c>
      <c r="T182" s="242">
        <v>0</v>
      </c>
      <c r="U182" s="472"/>
      <c r="V182" s="355"/>
      <c r="W182" s="389">
        <f t="shared" ref="W182" si="86">(V182*X182)</f>
        <v>0</v>
      </c>
      <c r="X182" s="631"/>
      <c r="Y182" s="595">
        <f>IF(D182&lt;&gt;0,($C183*(1-$V$1))-$D182,0)</f>
        <v>0</v>
      </c>
      <c r="Z182" s="596" t="str">
        <f>IFERROR(IF(C182&lt;&gt;"",$Y$1/(D178)*(C182),""),"")</f>
        <v/>
      </c>
      <c r="AA182" s="597" t="str">
        <f>IFERROR($Z$1/(D182)*(C178),"")</f>
        <v/>
      </c>
    </row>
    <row r="183" spans="1:27" ht="12.75" customHeight="1">
      <c r="A183" s="642" t="s">
        <v>632</v>
      </c>
      <c r="B183" s="375"/>
      <c r="C183" s="345"/>
      <c r="D183" s="371"/>
      <c r="E183" s="570"/>
      <c r="F183" s="874"/>
      <c r="G183" s="352"/>
      <c r="H183" s="346"/>
      <c r="I183" s="347"/>
      <c r="J183" s="347"/>
      <c r="K183" s="353"/>
      <c r="L183" s="342"/>
      <c r="M183" s="348"/>
      <c r="N183" s="342"/>
      <c r="O183" s="343"/>
      <c r="P183" s="282">
        <v>182</v>
      </c>
      <c r="Q183" s="344"/>
      <c r="R183" s="620">
        <v>0</v>
      </c>
      <c r="S183" s="636">
        <v>0</v>
      </c>
      <c r="T183" s="349">
        <v>0</v>
      </c>
      <c r="U183" s="471"/>
      <c r="V183" s="356">
        <v>0</v>
      </c>
      <c r="W183" s="391">
        <f>V182*(C182/100)</f>
        <v>0</v>
      </c>
      <c r="X183" s="633"/>
      <c r="Y183" s="481" t="str">
        <f>IFERROR(INT($Z$1/(F182)),"")</f>
        <v/>
      </c>
      <c r="Z183" s="598" t="str">
        <f>IFERROR(IF(C183&lt;&gt;"",$Y$1/(D179)*(C183),""),"")</f>
        <v/>
      </c>
      <c r="AA183" s="599" t="str">
        <f>IFERROR($Z$1/(D183)*(C179),"")</f>
        <v/>
      </c>
    </row>
    <row r="184" spans="1:27" ht="12.75" customHeight="1">
      <c r="A184" s="644" t="s">
        <v>633</v>
      </c>
      <c r="B184" s="246"/>
      <c r="C184" s="300"/>
      <c r="D184" s="253"/>
      <c r="E184" s="563"/>
      <c r="F184" s="871"/>
      <c r="G184" s="304"/>
      <c r="H184" s="236"/>
      <c r="I184" s="228"/>
      <c r="J184" s="228"/>
      <c r="K184" s="257"/>
      <c r="L184" s="249"/>
      <c r="M184" s="232"/>
      <c r="N184" s="249"/>
      <c r="O184" s="272"/>
      <c r="P184" s="283">
        <v>183</v>
      </c>
      <c r="Q184" s="262"/>
      <c r="R184" s="613">
        <v>0</v>
      </c>
      <c r="S184" s="635">
        <v>0</v>
      </c>
      <c r="T184" s="244">
        <v>0</v>
      </c>
      <c r="U184" s="472"/>
      <c r="V184" s="358"/>
      <c r="W184" s="390">
        <f t="shared" ref="W184" si="87">(V184*X184)</f>
        <v>0</v>
      </c>
      <c r="X184" s="634"/>
      <c r="Y184" s="584">
        <f>IF(D184&lt;&gt;0,($C185*(1-$V$1))-$D184,0)</f>
        <v>0</v>
      </c>
      <c r="Z184" s="600"/>
      <c r="AA184" s="587"/>
    </row>
    <row r="185" spans="1:27" ht="12.75" customHeight="1">
      <c r="A185" s="528" t="s">
        <v>634</v>
      </c>
      <c r="B185" s="568"/>
      <c r="C185" s="237"/>
      <c r="D185" s="372"/>
      <c r="E185" s="574"/>
      <c r="F185" s="873"/>
      <c r="G185" s="306"/>
      <c r="H185" s="235"/>
      <c r="I185" s="226"/>
      <c r="J185" s="226"/>
      <c r="K185" s="255"/>
      <c r="L185" s="233"/>
      <c r="M185" s="230"/>
      <c r="N185" s="233"/>
      <c r="O185" s="273"/>
      <c r="P185" s="282">
        <v>184</v>
      </c>
      <c r="Q185" s="260"/>
      <c r="R185" s="612">
        <v>0</v>
      </c>
      <c r="S185" s="637">
        <v>0</v>
      </c>
      <c r="T185" s="243">
        <v>0</v>
      </c>
      <c r="U185" s="471"/>
      <c r="V185" s="357">
        <v>0</v>
      </c>
      <c r="W185" s="386">
        <f>V184*(D184/100)</f>
        <v>0</v>
      </c>
      <c r="X185" s="629"/>
      <c r="Y185" s="479" t="str">
        <f>IFERROR(INT($Y$1/(F184)),"")</f>
        <v/>
      </c>
      <c r="Z185" s="588"/>
      <c r="AA185" s="589"/>
    </row>
    <row r="186" spans="1:27" ht="12.75" customHeight="1">
      <c r="A186" s="527" t="s">
        <v>635</v>
      </c>
      <c r="B186" s="246"/>
      <c r="C186" s="300"/>
      <c r="D186" s="253"/>
      <c r="E186" s="563"/>
      <c r="F186" s="871"/>
      <c r="G186" s="307"/>
      <c r="H186" s="238"/>
      <c r="I186" s="227"/>
      <c r="J186" s="227"/>
      <c r="K186" s="258"/>
      <c r="L186" s="245"/>
      <c r="M186" s="231"/>
      <c r="N186" s="245"/>
      <c r="O186" s="274"/>
      <c r="P186" s="283">
        <v>185</v>
      </c>
      <c r="Q186" s="261"/>
      <c r="R186" s="622">
        <v>0</v>
      </c>
      <c r="S186" s="638">
        <v>0</v>
      </c>
      <c r="T186" s="242">
        <v>0</v>
      </c>
      <c r="U186" s="472"/>
      <c r="V186" s="297"/>
      <c r="W186" s="387">
        <f t="shared" ref="W186" si="88">(V186*X186)</f>
        <v>0</v>
      </c>
      <c r="X186" s="634"/>
      <c r="Y186" s="590">
        <f>IF(D186&lt;&gt;0,($C187*(1-$V$1))-$D186,0)</f>
        <v>0</v>
      </c>
      <c r="Z186" s="591" t="str">
        <f>IFERROR(IF(C186&lt;&gt;"",$Y$1/(D184)*(C186),""),"")</f>
        <v/>
      </c>
      <c r="AA186" s="592" t="str">
        <f>IFERROR($AA$1/(D186)*(C184),"")</f>
        <v/>
      </c>
    </row>
    <row r="187" spans="1:27" ht="12.75" customHeight="1">
      <c r="A187" s="528" t="s">
        <v>636</v>
      </c>
      <c r="B187" s="568"/>
      <c r="C187" s="237"/>
      <c r="D187" s="372"/>
      <c r="E187" s="574"/>
      <c r="F187" s="873"/>
      <c r="G187" s="306"/>
      <c r="H187" s="235"/>
      <c r="I187" s="226"/>
      <c r="J187" s="226"/>
      <c r="K187" s="255"/>
      <c r="L187" s="233"/>
      <c r="M187" s="230"/>
      <c r="N187" s="233"/>
      <c r="O187" s="273"/>
      <c r="P187" s="282">
        <v>186</v>
      </c>
      <c r="Q187" s="260"/>
      <c r="R187" s="612">
        <v>0</v>
      </c>
      <c r="S187" s="637">
        <v>0</v>
      </c>
      <c r="T187" s="243">
        <v>0</v>
      </c>
      <c r="U187" s="471"/>
      <c r="V187" s="296">
        <v>0</v>
      </c>
      <c r="W187" s="388">
        <f>V186*(F186/100)</f>
        <v>0</v>
      </c>
      <c r="X187" s="629"/>
      <c r="Y187" s="480" t="str">
        <f>IFERROR(INT($AA$1/(F186/100)),"")</f>
        <v/>
      </c>
      <c r="Z187" s="593" t="str">
        <f>IFERROR(IF(C187&lt;&gt;"",$Y$1/(D185)*(C187),""),"")</f>
        <v/>
      </c>
      <c r="AA187" s="594" t="str">
        <f>IFERROR($AA$1/(D187)*(C185),"")</f>
        <v/>
      </c>
    </row>
    <row r="188" spans="1:27" ht="12.75" customHeight="1">
      <c r="A188" s="527" t="s">
        <v>637</v>
      </c>
      <c r="B188" s="246"/>
      <c r="C188" s="300"/>
      <c r="D188" s="253"/>
      <c r="E188" s="563"/>
      <c r="F188" s="871"/>
      <c r="G188" s="307"/>
      <c r="H188" s="238"/>
      <c r="I188" s="227"/>
      <c r="J188" s="227"/>
      <c r="K188" s="258"/>
      <c r="L188" s="245"/>
      <c r="M188" s="231"/>
      <c r="N188" s="245"/>
      <c r="O188" s="274"/>
      <c r="P188" s="283">
        <v>187</v>
      </c>
      <c r="Q188" s="261"/>
      <c r="R188" s="622">
        <v>0</v>
      </c>
      <c r="S188" s="638">
        <v>0</v>
      </c>
      <c r="T188" s="242">
        <v>0</v>
      </c>
      <c r="U188" s="472"/>
      <c r="V188" s="355"/>
      <c r="W188" s="389">
        <f t="shared" ref="W188" si="89">(V188*X188)</f>
        <v>0</v>
      </c>
      <c r="X188" s="631"/>
      <c r="Y188" s="595">
        <f>IF(D188&lt;&gt;0,($C189*(1-$V$1))-$D188,0)</f>
        <v>0</v>
      </c>
      <c r="Z188" s="596" t="str">
        <f>IFERROR(IF(C188&lt;&gt;"",$Y$1/(D184)*(C188),""),"")</f>
        <v/>
      </c>
      <c r="AA188" s="597" t="str">
        <f>IFERROR($Z$1/(D188)*(C184),"")</f>
        <v/>
      </c>
    </row>
    <row r="189" spans="1:27" ht="12.75" customHeight="1">
      <c r="A189" s="642" t="s">
        <v>638</v>
      </c>
      <c r="B189" s="375"/>
      <c r="C189" s="345"/>
      <c r="D189" s="371"/>
      <c r="E189" s="570"/>
      <c r="F189" s="874"/>
      <c r="G189" s="352"/>
      <c r="H189" s="346"/>
      <c r="I189" s="347"/>
      <c r="J189" s="347"/>
      <c r="K189" s="353"/>
      <c r="L189" s="342"/>
      <c r="M189" s="348"/>
      <c r="N189" s="342"/>
      <c r="O189" s="343"/>
      <c r="P189" s="282">
        <v>188</v>
      </c>
      <c r="Q189" s="344"/>
      <c r="R189" s="620">
        <v>0</v>
      </c>
      <c r="S189" s="636">
        <v>0</v>
      </c>
      <c r="T189" s="349">
        <v>0</v>
      </c>
      <c r="U189" s="471"/>
      <c r="V189" s="356">
        <v>0</v>
      </c>
      <c r="W189" s="391">
        <f>V188*(C188/100)</f>
        <v>0</v>
      </c>
      <c r="X189" s="633"/>
      <c r="Y189" s="481" t="str">
        <f>IFERROR(INT($Z$1/(F188)),"")</f>
        <v/>
      </c>
      <c r="Z189" s="598" t="str">
        <f>IFERROR(IF(C189&lt;&gt;"",$Y$1/(D185)*(C189),""),"")</f>
        <v/>
      </c>
      <c r="AA189" s="599" t="str">
        <f>IFERROR($Z$1/(D189)*(C185),"")</f>
        <v/>
      </c>
    </row>
    <row r="190" spans="1:27" ht="12.75" customHeight="1">
      <c r="A190" s="644" t="s">
        <v>639</v>
      </c>
      <c r="B190" s="246"/>
      <c r="C190" s="300"/>
      <c r="D190" s="253"/>
      <c r="E190" s="563"/>
      <c r="F190" s="871"/>
      <c r="G190" s="304"/>
      <c r="H190" s="236"/>
      <c r="I190" s="228"/>
      <c r="J190" s="228"/>
      <c r="K190" s="257"/>
      <c r="L190" s="249"/>
      <c r="M190" s="232"/>
      <c r="N190" s="249"/>
      <c r="O190" s="272"/>
      <c r="P190" s="283">
        <v>189</v>
      </c>
      <c r="Q190" s="262"/>
      <c r="R190" s="613">
        <v>0</v>
      </c>
      <c r="S190" s="635">
        <v>0</v>
      </c>
      <c r="T190" s="244">
        <v>0</v>
      </c>
      <c r="U190" s="472"/>
      <c r="V190" s="358"/>
      <c r="W190" s="390">
        <f t="shared" ref="W190" si="90">(V190*X190)</f>
        <v>0</v>
      </c>
      <c r="X190" s="634"/>
      <c r="Y190" s="584">
        <f>IF(D190&lt;&gt;0,($C191*(1-$V$1))-$D190,0)</f>
        <v>0</v>
      </c>
      <c r="Z190" s="600"/>
      <c r="AA190" s="587"/>
    </row>
    <row r="191" spans="1:27" ht="12.75" customHeight="1">
      <c r="A191" s="528" t="s">
        <v>640</v>
      </c>
      <c r="B191" s="568"/>
      <c r="C191" s="237"/>
      <c r="D191" s="372"/>
      <c r="E191" s="574"/>
      <c r="F191" s="873"/>
      <c r="G191" s="306"/>
      <c r="H191" s="235"/>
      <c r="I191" s="226"/>
      <c r="J191" s="226"/>
      <c r="K191" s="255"/>
      <c r="L191" s="233"/>
      <c r="M191" s="230"/>
      <c r="N191" s="233"/>
      <c r="O191" s="273"/>
      <c r="P191" s="282">
        <v>190</v>
      </c>
      <c r="Q191" s="260"/>
      <c r="R191" s="612">
        <v>0</v>
      </c>
      <c r="S191" s="637">
        <v>0</v>
      </c>
      <c r="T191" s="243">
        <v>0</v>
      </c>
      <c r="U191" s="471"/>
      <c r="V191" s="357">
        <v>0</v>
      </c>
      <c r="W191" s="386">
        <f>V190*(D190/100)</f>
        <v>0</v>
      </c>
      <c r="X191" s="629"/>
      <c r="Y191" s="479" t="str">
        <f>IFERROR(INT($Y$1/(F190)),"")</f>
        <v/>
      </c>
      <c r="Z191" s="588"/>
      <c r="AA191" s="589"/>
    </row>
    <row r="192" spans="1:27" ht="12.75" customHeight="1">
      <c r="A192" s="527" t="s">
        <v>641</v>
      </c>
      <c r="B192" s="246"/>
      <c r="C192" s="300"/>
      <c r="D192" s="253"/>
      <c r="E192" s="563"/>
      <c r="F192" s="871"/>
      <c r="G192" s="307"/>
      <c r="H192" s="238"/>
      <c r="I192" s="227"/>
      <c r="J192" s="227"/>
      <c r="K192" s="258"/>
      <c r="L192" s="245"/>
      <c r="M192" s="231"/>
      <c r="N192" s="245"/>
      <c r="O192" s="274"/>
      <c r="P192" s="283">
        <v>191</v>
      </c>
      <c r="Q192" s="261"/>
      <c r="R192" s="622">
        <v>0</v>
      </c>
      <c r="S192" s="638">
        <v>0</v>
      </c>
      <c r="T192" s="242">
        <v>0</v>
      </c>
      <c r="U192" s="472"/>
      <c r="V192" s="297"/>
      <c r="W192" s="387">
        <f t="shared" ref="W192" si="91">(V192*X192)</f>
        <v>0</v>
      </c>
      <c r="X192" s="634"/>
      <c r="Y192" s="590">
        <f>IF(D192&lt;&gt;0,($C193*(1-$V$1))-$D192,0)</f>
        <v>0</v>
      </c>
      <c r="Z192" s="591" t="str">
        <f>IFERROR(IF(C192&lt;&gt;"",$Y$1/(D190)*(C192),""),"")</f>
        <v/>
      </c>
      <c r="AA192" s="592" t="str">
        <f>IFERROR($AA$1/(D192)*(C190),"")</f>
        <v/>
      </c>
    </row>
    <row r="193" spans="1:27" ht="12.75" customHeight="1">
      <c r="A193" s="528" t="s">
        <v>642</v>
      </c>
      <c r="B193" s="568"/>
      <c r="C193" s="237"/>
      <c r="D193" s="372"/>
      <c r="E193" s="574"/>
      <c r="F193" s="873"/>
      <c r="G193" s="306"/>
      <c r="H193" s="235"/>
      <c r="I193" s="226"/>
      <c r="J193" s="226"/>
      <c r="K193" s="255"/>
      <c r="L193" s="233"/>
      <c r="M193" s="230"/>
      <c r="N193" s="233"/>
      <c r="O193" s="273"/>
      <c r="P193" s="282">
        <v>192</v>
      </c>
      <c r="Q193" s="260"/>
      <c r="R193" s="612">
        <v>0</v>
      </c>
      <c r="S193" s="637">
        <v>0</v>
      </c>
      <c r="T193" s="243">
        <v>0</v>
      </c>
      <c r="U193" s="471"/>
      <c r="V193" s="296">
        <v>0</v>
      </c>
      <c r="W193" s="388">
        <f>V192*(F192/100)</f>
        <v>0</v>
      </c>
      <c r="X193" s="629"/>
      <c r="Y193" s="480" t="str">
        <f>IFERROR(INT($AA$1/(F192/100)),"")</f>
        <v/>
      </c>
      <c r="Z193" s="593" t="str">
        <f>IFERROR(IF(C193&lt;&gt;"",$Y$1/(D191)*(C193),""),"")</f>
        <v/>
      </c>
      <c r="AA193" s="594" t="str">
        <f>IFERROR($AA$1/(D193)*(C191),"")</f>
        <v/>
      </c>
    </row>
    <row r="194" spans="1:27" ht="12.75" customHeight="1">
      <c r="A194" s="527" t="s">
        <v>643</v>
      </c>
      <c r="B194" s="246"/>
      <c r="C194" s="300"/>
      <c r="D194" s="253"/>
      <c r="E194" s="563"/>
      <c r="F194" s="871"/>
      <c r="G194" s="307"/>
      <c r="H194" s="238"/>
      <c r="I194" s="227"/>
      <c r="J194" s="227"/>
      <c r="K194" s="258"/>
      <c r="L194" s="245"/>
      <c r="M194" s="231"/>
      <c r="N194" s="245"/>
      <c r="O194" s="274"/>
      <c r="P194" s="283">
        <v>193</v>
      </c>
      <c r="Q194" s="261"/>
      <c r="R194" s="622">
        <v>0</v>
      </c>
      <c r="S194" s="638">
        <v>0</v>
      </c>
      <c r="T194" s="242">
        <v>0</v>
      </c>
      <c r="U194" s="472"/>
      <c r="V194" s="355"/>
      <c r="W194" s="389">
        <f t="shared" ref="W194" si="92">(V194*X194)</f>
        <v>0</v>
      </c>
      <c r="X194" s="631"/>
      <c r="Y194" s="595">
        <f>IF(D194&lt;&gt;0,($C195*(1-$V$1))-$D194,0)</f>
        <v>0</v>
      </c>
      <c r="Z194" s="596" t="str">
        <f>IFERROR(IF(C194&lt;&gt;"",$Y$1/(D190)*(C194),""),"")</f>
        <v/>
      </c>
      <c r="AA194" s="597" t="str">
        <f>IFERROR($Z$1/(D194)*(C190),"")</f>
        <v/>
      </c>
    </row>
    <row r="195" spans="1:27" ht="12.75" customHeight="1">
      <c r="A195" s="642" t="s">
        <v>644</v>
      </c>
      <c r="B195" s="375"/>
      <c r="C195" s="345"/>
      <c r="D195" s="371"/>
      <c r="E195" s="570"/>
      <c r="F195" s="874"/>
      <c r="G195" s="352"/>
      <c r="H195" s="346"/>
      <c r="I195" s="347"/>
      <c r="J195" s="347"/>
      <c r="K195" s="353"/>
      <c r="L195" s="342"/>
      <c r="M195" s="348"/>
      <c r="N195" s="342"/>
      <c r="O195" s="343"/>
      <c r="P195" s="282">
        <v>194</v>
      </c>
      <c r="Q195" s="344"/>
      <c r="R195" s="620">
        <v>0</v>
      </c>
      <c r="S195" s="636">
        <v>0</v>
      </c>
      <c r="T195" s="349">
        <v>0</v>
      </c>
      <c r="U195" s="471"/>
      <c r="V195" s="356">
        <v>0</v>
      </c>
      <c r="W195" s="391">
        <f>V194*(C194/100)</f>
        <v>0</v>
      </c>
      <c r="X195" s="633"/>
      <c r="Y195" s="481" t="str">
        <f>IFERROR(INT($Z$1/(F194)),"")</f>
        <v/>
      </c>
      <c r="Z195" s="598" t="str">
        <f>IFERROR(IF(C195&lt;&gt;"",$Y$1/(D191)*(C195),""),"")</f>
        <v/>
      </c>
      <c r="AA195" s="599" t="str">
        <f>IFERROR($Z$1/(D195)*(C191),"")</f>
        <v/>
      </c>
    </row>
    <row r="196" spans="1:27" ht="12.75" customHeight="1">
      <c r="A196" s="644" t="s">
        <v>645</v>
      </c>
      <c r="B196" s="246"/>
      <c r="C196" s="300"/>
      <c r="D196" s="253"/>
      <c r="E196" s="563"/>
      <c r="F196" s="871"/>
      <c r="G196" s="304"/>
      <c r="H196" s="236"/>
      <c r="I196" s="228"/>
      <c r="J196" s="228"/>
      <c r="K196" s="257"/>
      <c r="L196" s="249"/>
      <c r="M196" s="232"/>
      <c r="N196" s="249"/>
      <c r="O196" s="272"/>
      <c r="P196" s="283">
        <v>195</v>
      </c>
      <c r="Q196" s="262"/>
      <c r="R196" s="613">
        <v>0</v>
      </c>
      <c r="S196" s="635">
        <v>0</v>
      </c>
      <c r="T196" s="244">
        <v>0</v>
      </c>
      <c r="U196" s="472"/>
      <c r="V196" s="358"/>
      <c r="W196" s="390">
        <f t="shared" ref="W196" si="93">(V196*X196)</f>
        <v>0</v>
      </c>
      <c r="X196" s="634"/>
      <c r="Y196" s="584">
        <f>IF(D196&lt;&gt;0,($C197*(1-$V$1))-$D196,0)</f>
        <v>0</v>
      </c>
      <c r="Z196" s="600"/>
      <c r="AA196" s="587"/>
    </row>
    <row r="197" spans="1:27" ht="12.75" customHeight="1">
      <c r="A197" s="528" t="s">
        <v>646</v>
      </c>
      <c r="B197" s="568"/>
      <c r="C197" s="237"/>
      <c r="D197" s="372"/>
      <c r="E197" s="574"/>
      <c r="F197" s="873"/>
      <c r="G197" s="306"/>
      <c r="H197" s="235"/>
      <c r="I197" s="226"/>
      <c r="J197" s="226"/>
      <c r="K197" s="255"/>
      <c r="L197" s="233"/>
      <c r="M197" s="230"/>
      <c r="N197" s="233"/>
      <c r="O197" s="273"/>
      <c r="P197" s="282">
        <v>196</v>
      </c>
      <c r="Q197" s="260"/>
      <c r="R197" s="612">
        <v>0</v>
      </c>
      <c r="S197" s="637">
        <v>0</v>
      </c>
      <c r="T197" s="243">
        <v>0</v>
      </c>
      <c r="U197" s="471"/>
      <c r="V197" s="357">
        <v>0</v>
      </c>
      <c r="W197" s="386">
        <f>V196*(D196/100)</f>
        <v>0</v>
      </c>
      <c r="X197" s="629"/>
      <c r="Y197" s="479" t="str">
        <f>IFERROR(INT($Y$1/(F196)),"")</f>
        <v/>
      </c>
      <c r="Z197" s="588"/>
      <c r="AA197" s="589"/>
    </row>
    <row r="198" spans="1:27" ht="12.75" customHeight="1">
      <c r="A198" s="527" t="s">
        <v>649</v>
      </c>
      <c r="B198" s="246"/>
      <c r="C198" s="300"/>
      <c r="D198" s="253"/>
      <c r="E198" s="563"/>
      <c r="F198" s="871"/>
      <c r="G198" s="307"/>
      <c r="H198" s="238"/>
      <c r="I198" s="227"/>
      <c r="J198" s="227"/>
      <c r="K198" s="258"/>
      <c r="L198" s="245"/>
      <c r="M198" s="231"/>
      <c r="N198" s="245"/>
      <c r="O198" s="274"/>
      <c r="P198" s="283">
        <v>197</v>
      </c>
      <c r="Q198" s="261"/>
      <c r="R198" s="622">
        <v>0</v>
      </c>
      <c r="S198" s="638">
        <v>0</v>
      </c>
      <c r="T198" s="242">
        <v>0</v>
      </c>
      <c r="U198" s="472"/>
      <c r="V198" s="297"/>
      <c r="W198" s="387">
        <f t="shared" ref="W198" si="94">(V198*X198)</f>
        <v>0</v>
      </c>
      <c r="X198" s="634"/>
      <c r="Y198" s="590">
        <f>IF(D198&lt;&gt;0,($C199*(1-$V$1))-$D198,0)</f>
        <v>0</v>
      </c>
      <c r="Z198" s="591" t="str">
        <f>IFERROR(IF(C198&lt;&gt;"",$Y$1/(D196)*(C198),""),"")</f>
        <v/>
      </c>
      <c r="AA198" s="592" t="str">
        <f>IFERROR($AA$1/(D198)*(C196),"")</f>
        <v/>
      </c>
    </row>
    <row r="199" spans="1:27" ht="12.75" customHeight="1">
      <c r="A199" s="528" t="s">
        <v>650</v>
      </c>
      <c r="B199" s="568"/>
      <c r="C199" s="237"/>
      <c r="D199" s="372"/>
      <c r="E199" s="574"/>
      <c r="F199" s="873"/>
      <c r="G199" s="306"/>
      <c r="H199" s="235"/>
      <c r="I199" s="226"/>
      <c r="J199" s="226"/>
      <c r="K199" s="255"/>
      <c r="L199" s="233"/>
      <c r="M199" s="230"/>
      <c r="N199" s="233"/>
      <c r="O199" s="273"/>
      <c r="P199" s="282">
        <v>198</v>
      </c>
      <c r="Q199" s="260"/>
      <c r="R199" s="612">
        <v>0</v>
      </c>
      <c r="S199" s="637">
        <v>0</v>
      </c>
      <c r="T199" s="243">
        <v>0</v>
      </c>
      <c r="U199" s="471"/>
      <c r="V199" s="296">
        <v>0</v>
      </c>
      <c r="W199" s="388">
        <f>V198*(F198/100)</f>
        <v>0</v>
      </c>
      <c r="X199" s="629"/>
      <c r="Y199" s="480" t="str">
        <f>IFERROR(INT($AA$1/(F198/100)),"")</f>
        <v/>
      </c>
      <c r="Z199" s="593" t="str">
        <f>IFERROR(IF(C199&lt;&gt;"",$Y$1/(D197)*(C199),""),"")</f>
        <v/>
      </c>
      <c r="AA199" s="594" t="str">
        <f>IFERROR($AA$1/(D199)*(C197),"")</f>
        <v/>
      </c>
    </row>
    <row r="200" spans="1:27" ht="12.75" customHeight="1">
      <c r="A200" s="527" t="s">
        <v>647</v>
      </c>
      <c r="B200" s="246"/>
      <c r="C200" s="300"/>
      <c r="D200" s="253"/>
      <c r="E200" s="563"/>
      <c r="F200" s="871"/>
      <c r="G200" s="307"/>
      <c r="H200" s="238"/>
      <c r="I200" s="227"/>
      <c r="J200" s="227"/>
      <c r="K200" s="258"/>
      <c r="L200" s="245"/>
      <c r="M200" s="231"/>
      <c r="N200" s="245"/>
      <c r="O200" s="274"/>
      <c r="P200" s="283">
        <v>199</v>
      </c>
      <c r="Q200" s="261"/>
      <c r="R200" s="622">
        <v>0</v>
      </c>
      <c r="S200" s="638">
        <v>0</v>
      </c>
      <c r="T200" s="242">
        <v>0</v>
      </c>
      <c r="U200" s="472"/>
      <c r="V200" s="355"/>
      <c r="W200" s="389">
        <f t="shared" ref="W200" si="95">(V200*X200)</f>
        <v>0</v>
      </c>
      <c r="X200" s="631"/>
      <c r="Y200" s="595">
        <f>IF(D200&lt;&gt;0,($C201*(1-$V$1))-$D200,0)</f>
        <v>0</v>
      </c>
      <c r="Z200" s="596" t="str">
        <f>IFERROR(IF(C200&lt;&gt;"",$Y$1/(D196)*(C200),""),"")</f>
        <v/>
      </c>
      <c r="AA200" s="597" t="str">
        <f>IFERROR($Z$1/(D200)*(C196),"")</f>
        <v/>
      </c>
    </row>
    <row r="201" spans="1:27" ht="12.75" customHeight="1">
      <c r="A201" s="642" t="s">
        <v>648</v>
      </c>
      <c r="B201" s="375"/>
      <c r="C201" s="345"/>
      <c r="D201" s="371"/>
      <c r="E201" s="570"/>
      <c r="F201" s="874"/>
      <c r="G201" s="352"/>
      <c r="H201" s="346"/>
      <c r="I201" s="347"/>
      <c r="J201" s="347"/>
      <c r="K201" s="353"/>
      <c r="L201" s="342"/>
      <c r="M201" s="348"/>
      <c r="N201" s="342"/>
      <c r="O201" s="343"/>
      <c r="P201" s="282">
        <v>200</v>
      </c>
      <c r="Q201" s="344"/>
      <c r="R201" s="620">
        <v>0</v>
      </c>
      <c r="S201" s="636">
        <v>0</v>
      </c>
      <c r="T201" s="349">
        <v>0</v>
      </c>
      <c r="U201" s="471"/>
      <c r="V201" s="356">
        <v>0</v>
      </c>
      <c r="W201" s="391">
        <f>V200*(C200/100)</f>
        <v>0</v>
      </c>
      <c r="X201" s="633"/>
      <c r="Y201" s="481" t="str">
        <f>IFERROR(INT($Z$1/(F200)),"")</f>
        <v/>
      </c>
      <c r="Z201" s="598" t="str">
        <f>IFERROR(IF(C201&lt;&gt;"",$Y$1/(D197)*(C201),""),"")</f>
        <v/>
      </c>
      <c r="AA201" s="599" t="str">
        <f>IFERROR($Z$1/(D201)*(C197),"")</f>
        <v/>
      </c>
    </row>
    <row r="206" spans="1:27" ht="12.75" customHeight="1">
      <c r="A206" s="695"/>
    </row>
    <row r="207" spans="1:27" ht="12.75" customHeight="1">
      <c r="A207" s="696"/>
    </row>
    <row r="208" spans="1:27" ht="12.75" customHeight="1">
      <c r="A208" s="696"/>
    </row>
    <row r="209" spans="1:1" ht="12.75" customHeight="1">
      <c r="A209" s="696"/>
    </row>
  </sheetData>
  <sortState xmlns:xlrd2="http://schemas.microsoft.com/office/spreadsheetml/2017/richdata2" ref="A15">
    <sortCondition descending="1" ref="A14:A15"/>
  </sortState>
  <mergeCells count="18">
    <mergeCell ref="AA22:AA23"/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</mergeCells>
  <phoneticPr fontId="16" type="noConversion"/>
  <conditionalFormatting sqref="G70:G159 G60:G63 G2:G29">
    <cfRule type="cellIs" dxfId="1731" priority="15484" operator="lessThan">
      <formula>0</formula>
    </cfRule>
  </conditionalFormatting>
  <conditionalFormatting sqref="Q60:T159">
    <cfRule type="cellIs" dxfId="1730" priority="14993" operator="equal">
      <formula>0</formula>
    </cfRule>
  </conditionalFormatting>
  <conditionalFormatting sqref="V60:V81 V2:V41">
    <cfRule type="cellIs" dxfId="1729" priority="15486" operator="lessThan">
      <formula>0</formula>
    </cfRule>
    <cfRule type="cellIs" dxfId="1728" priority="15487" operator="equal">
      <formula>0</formula>
    </cfRule>
  </conditionalFormatting>
  <conditionalFormatting sqref="Y66 Y68">
    <cfRule type="cellIs" dxfId="1727" priority="11089" operator="lessThanOrEqual">
      <formula>0</formula>
    </cfRule>
  </conditionalFormatting>
  <conditionalFormatting sqref="Z30:Z34 W62:X63 Z37:Z39">
    <cfRule type="cellIs" dxfId="1726" priority="15736" operator="equal">
      <formula>0</formula>
    </cfRule>
  </conditionalFormatting>
  <conditionalFormatting sqref="W65">
    <cfRule type="cellIs" dxfId="1725" priority="11043" operator="equal">
      <formula>0</formula>
    </cfRule>
  </conditionalFormatting>
  <conditionalFormatting sqref="W64">
    <cfRule type="cellIs" dxfId="1724" priority="6153" operator="equal">
      <formula>0</formula>
    </cfRule>
    <cfRule type="cellIs" dxfId="1723" priority="6155" operator="lessThan">
      <formula>W65</formula>
    </cfRule>
    <cfRule type="cellIs" dxfId="1722" priority="11042" operator="lessThan">
      <formula>0</formula>
    </cfRule>
  </conditionalFormatting>
  <conditionalFormatting sqref="W67">
    <cfRule type="cellIs" dxfId="1721" priority="11041" operator="equal">
      <formula>0</formula>
    </cfRule>
  </conditionalFormatting>
  <conditionalFormatting sqref="W66">
    <cfRule type="cellIs" dxfId="1720" priority="6151" operator="equal">
      <formula>0</formula>
    </cfRule>
    <cfRule type="cellIs" dxfId="1719" priority="6152" operator="lessThan">
      <formula>W67</formula>
    </cfRule>
    <cfRule type="cellIs" dxfId="1718" priority="11040" operator="lessThan">
      <formula>0</formula>
    </cfRule>
  </conditionalFormatting>
  <conditionalFormatting sqref="W68">
    <cfRule type="cellIs" dxfId="1717" priority="6150" operator="equal">
      <formula>0</formula>
    </cfRule>
    <cfRule type="cellIs" dxfId="1716" priority="6156" operator="lessThan">
      <formula>W69</formula>
    </cfRule>
  </conditionalFormatting>
  <conditionalFormatting sqref="Z2 Z6 Z10 Z14 Z18 Z22">
    <cfRule type="cellIs" dxfId="1715" priority="10710" operator="equal">
      <formula>0</formula>
    </cfRule>
  </conditionalFormatting>
  <conditionalFormatting sqref="Z3 Z7 Z11 Z15 Z19 Z23">
    <cfRule type="cellIs" dxfId="1714" priority="10709" operator="equal">
      <formula>0</formula>
    </cfRule>
  </conditionalFormatting>
  <conditionalFormatting sqref="Z4 Z8 Z12 Z16 Z20 Z24">
    <cfRule type="cellIs" dxfId="1713" priority="10708" operator="equal">
      <formula>0</formula>
    </cfRule>
  </conditionalFormatting>
  <conditionalFormatting sqref="Z5 Z9 Z13 Z17 Z21 Z25">
    <cfRule type="cellIs" dxfId="1712" priority="10707" operator="equal">
      <formula>0</formula>
    </cfRule>
  </conditionalFormatting>
  <conditionalFormatting sqref="G64:G69">
    <cfRule type="cellIs" dxfId="1711" priority="9842" operator="lessThan">
      <formula>0</formula>
    </cfRule>
  </conditionalFormatting>
  <conditionalFormatting sqref="G18">
    <cfRule type="cellIs" dxfId="1710" priority="9841" operator="equal">
      <formula>0</formula>
    </cfRule>
  </conditionalFormatting>
  <conditionalFormatting sqref="G19">
    <cfRule type="cellIs" dxfId="1709" priority="9840" operator="equal">
      <formula>0</formula>
    </cfRule>
  </conditionalFormatting>
  <conditionalFormatting sqref="G20">
    <cfRule type="cellIs" dxfId="1708" priority="9839" operator="equal">
      <formula>0</formula>
    </cfRule>
  </conditionalFormatting>
  <conditionalFormatting sqref="G21">
    <cfRule type="cellIs" dxfId="1707" priority="9838" operator="equal">
      <formula>0</formula>
    </cfRule>
  </conditionalFormatting>
  <conditionalFormatting sqref="G22">
    <cfRule type="cellIs" dxfId="1706" priority="9837" operator="equal">
      <formula>0</formula>
    </cfRule>
  </conditionalFormatting>
  <conditionalFormatting sqref="G23">
    <cfRule type="cellIs" dxfId="1705" priority="9836" operator="equal">
      <formula>0</formula>
    </cfRule>
  </conditionalFormatting>
  <conditionalFormatting sqref="G24">
    <cfRule type="cellIs" dxfId="1704" priority="9835" operator="equal">
      <formula>0</formula>
    </cfRule>
  </conditionalFormatting>
  <conditionalFormatting sqref="G25">
    <cfRule type="cellIs" dxfId="1703" priority="9834" operator="equal">
      <formula>0</formula>
    </cfRule>
  </conditionalFormatting>
  <conditionalFormatting sqref="G2">
    <cfRule type="cellIs" dxfId="1702" priority="9833" operator="equal">
      <formula>0</formula>
    </cfRule>
  </conditionalFormatting>
  <conditionalFormatting sqref="G3">
    <cfRule type="cellIs" dxfId="1701" priority="9832" operator="equal">
      <formula>0</formula>
    </cfRule>
  </conditionalFormatting>
  <conditionalFormatting sqref="G4">
    <cfRule type="cellIs" dxfId="1700" priority="9831" operator="equal">
      <formula>0</formula>
    </cfRule>
  </conditionalFormatting>
  <conditionalFormatting sqref="G5">
    <cfRule type="cellIs" dxfId="1699" priority="9830" operator="equal">
      <formula>0</formula>
    </cfRule>
  </conditionalFormatting>
  <conditionalFormatting sqref="G6">
    <cfRule type="cellIs" dxfId="1698" priority="9829" operator="equal">
      <formula>0</formula>
    </cfRule>
  </conditionalFormatting>
  <conditionalFormatting sqref="G7">
    <cfRule type="cellIs" dxfId="1697" priority="9828" operator="equal">
      <formula>0</formula>
    </cfRule>
  </conditionalFormatting>
  <conditionalFormatting sqref="G8">
    <cfRule type="cellIs" dxfId="1696" priority="9827" operator="equal">
      <formula>0</formula>
    </cfRule>
  </conditionalFormatting>
  <conditionalFormatting sqref="G9">
    <cfRule type="cellIs" dxfId="1695" priority="9826" operator="equal">
      <formula>0</formula>
    </cfRule>
  </conditionalFormatting>
  <conditionalFormatting sqref="G10">
    <cfRule type="cellIs" dxfId="1694" priority="9825" operator="equal">
      <formula>0</formula>
    </cfRule>
  </conditionalFormatting>
  <conditionalFormatting sqref="G11">
    <cfRule type="cellIs" dxfId="1693" priority="9824" operator="equal">
      <formula>0</formula>
    </cfRule>
  </conditionalFormatting>
  <conditionalFormatting sqref="G12">
    <cfRule type="cellIs" dxfId="1692" priority="9823" operator="equal">
      <formula>0</formula>
    </cfRule>
  </conditionalFormatting>
  <conditionalFormatting sqref="G13">
    <cfRule type="cellIs" dxfId="1691" priority="9822" operator="equal">
      <formula>0</formula>
    </cfRule>
  </conditionalFormatting>
  <conditionalFormatting sqref="G14 G26">
    <cfRule type="cellIs" dxfId="1690" priority="9821" operator="equal">
      <formula>0</formula>
    </cfRule>
  </conditionalFormatting>
  <conditionalFormatting sqref="G15 G27">
    <cfRule type="cellIs" dxfId="1689" priority="9820" operator="equal">
      <formula>0</formula>
    </cfRule>
  </conditionalFormatting>
  <conditionalFormatting sqref="G16 G28">
    <cfRule type="cellIs" dxfId="1688" priority="9819" operator="equal">
      <formula>0</formula>
    </cfRule>
  </conditionalFormatting>
  <conditionalFormatting sqref="G17:G25 G29">
    <cfRule type="cellIs" dxfId="1687" priority="9818" operator="equal">
      <formula>0</formula>
    </cfRule>
  </conditionalFormatting>
  <conditionalFormatting sqref="Y3">
    <cfRule type="cellIs" dxfId="1686" priority="9763" operator="equal">
      <formula>0</formula>
    </cfRule>
  </conditionalFormatting>
  <conditionalFormatting sqref="Y4">
    <cfRule type="cellIs" dxfId="1685" priority="9762" operator="equal">
      <formula>0</formula>
    </cfRule>
  </conditionalFormatting>
  <conditionalFormatting sqref="Y7">
    <cfRule type="cellIs" dxfId="1684" priority="9757" operator="equal">
      <formula>0</formula>
    </cfRule>
  </conditionalFormatting>
  <conditionalFormatting sqref="Y8">
    <cfRule type="cellIs" dxfId="1683" priority="9756" operator="equal">
      <formula>0</formula>
    </cfRule>
  </conditionalFormatting>
  <conditionalFormatting sqref="Y11 Y15 Y19 Y23">
    <cfRule type="cellIs" dxfId="1682" priority="9751" operator="equal">
      <formula>0</formula>
    </cfRule>
  </conditionalFormatting>
  <conditionalFormatting sqref="Y12 Y16 Y20 Y24">
    <cfRule type="cellIs" dxfId="1681" priority="9750" operator="equal">
      <formula>0</formula>
    </cfRule>
  </conditionalFormatting>
  <conditionalFormatting sqref="B2 B6 B10 B14">
    <cfRule type="expression" dxfId="1680" priority="18948">
      <formula>IF($Y5&gt;$Y2,AND(MID($A2,5,1)=" "))</formula>
    </cfRule>
    <cfRule type="expression" dxfId="1679" priority="18949">
      <formula>IF($Y5&gt;$Y2,AND(MID($A2,5,1)="C"))</formula>
    </cfRule>
    <cfRule type="expression" dxfId="1678" priority="18950">
      <formula>IF($Y5&gt;$Y2,AND(MID($A2,5,1)="D"))</formula>
    </cfRule>
  </conditionalFormatting>
  <conditionalFormatting sqref="E3 E7 E11 E15">
    <cfRule type="expression" dxfId="1677" priority="18963">
      <formula>IF($Y5&gt;$Y2,AND(MID($A3,5,1)=" "))</formula>
    </cfRule>
    <cfRule type="expression" dxfId="1676" priority="18964">
      <formula>IF($Y5&gt;$Y2,AND(MID($A3,5,1)="C"))</formula>
    </cfRule>
    <cfRule type="expression" dxfId="1675" priority="18965">
      <formula>IF($Y5&gt;$Y2,AND(MID($A3,5,1)="D"))</formula>
    </cfRule>
  </conditionalFormatting>
  <conditionalFormatting sqref="B4 B8 B16">
    <cfRule type="expression" dxfId="1674" priority="18978">
      <formula>IF($Y5&gt;$Y2,AND(MID($A4,5,1)=" "))</formula>
    </cfRule>
    <cfRule type="expression" dxfId="1673" priority="18979">
      <formula>IF($Y5&gt;$Y2,AND(MID($A4,5,1)="C"))</formula>
    </cfRule>
    <cfRule type="expression" dxfId="1672" priority="18980">
      <formula>IF($Y5&gt;$Y2,AND(MID($A4,5,1)="D"))</formula>
    </cfRule>
  </conditionalFormatting>
  <conditionalFormatting sqref="E5 E9 E13 E17">
    <cfRule type="expression" dxfId="1671" priority="18993">
      <formula>IF($Y5&gt;$Y2,AND(MID($A5,5,1)=" "))</formula>
    </cfRule>
    <cfRule type="expression" dxfId="1670" priority="18994">
      <formula>IF($Y5&gt;$Y2,AND(MID($A5,5,1)="C"))</formula>
    </cfRule>
    <cfRule type="expression" dxfId="1669" priority="18995">
      <formula>IF($Y5&gt;$Y2,AND(MID($A5,5,1)="D"))</formula>
    </cfRule>
  </conditionalFormatting>
  <conditionalFormatting sqref="C2 C6 C10 C14">
    <cfRule type="expression" dxfId="1668" priority="19008">
      <formula>IF($Y5&gt;$Y2,AND(MID($A2,5,1)=" "))</formula>
    </cfRule>
    <cfRule type="expression" dxfId="1667" priority="19009">
      <formula>IF($Y5&gt;$Y2,AND(MID($A2,5,1)="C"))</formula>
    </cfRule>
    <cfRule type="expression" dxfId="1666" priority="19010">
      <formula>IF($Y5&gt;$Y2,AND(MID($A2,5,1)="D"))</formula>
    </cfRule>
  </conditionalFormatting>
  <conditionalFormatting sqref="D3 D7 D11 D15">
    <cfRule type="expression" dxfId="1665" priority="19023">
      <formula>IF($Y5&gt;$Y2,AND(MID($A3,5,1)=" "))</formula>
    </cfRule>
    <cfRule type="expression" dxfId="1664" priority="19024">
      <formula>IF($Y5&gt;$Y2,AND(MID($A3,5,1)="C"))</formula>
    </cfRule>
    <cfRule type="expression" dxfId="1663" priority="19025">
      <formula>IF($Y5&gt;$Y2,AND(MID($A3,5,1)="D"))</formula>
    </cfRule>
  </conditionalFormatting>
  <conditionalFormatting sqref="D5 D9 D13 D17">
    <cfRule type="expression" dxfId="1662" priority="19038">
      <formula>IF($Y5&gt;$Y2,AND(MID($A5,5,1)=" "))</formula>
    </cfRule>
    <cfRule type="expression" dxfId="1661" priority="19039">
      <formula>IF($Y5&gt;$Y2,AND(MID($A5,5,1)="C"))</formula>
    </cfRule>
    <cfRule type="expression" dxfId="1660" priority="19040">
      <formula>IF($Y5&gt;$Y2,AND(MID($A5,5,1)="D"))</formula>
    </cfRule>
  </conditionalFormatting>
  <conditionalFormatting sqref="C4 C8 C16">
    <cfRule type="expression" dxfId="1659" priority="19053">
      <formula>IF($Y5&gt;$Y2,AND(MID($A4,5,1)=" "))</formula>
    </cfRule>
    <cfRule type="expression" dxfId="1658" priority="19054">
      <formula>IF($Y5&gt;$Y2,AND(MID($A4,5,1)="C"))</formula>
    </cfRule>
    <cfRule type="expression" dxfId="1657" priority="19055">
      <formula>IF($Y5&gt;$Y2,AND(MID($A4,5,1)="D"))</formula>
    </cfRule>
  </conditionalFormatting>
  <conditionalFormatting sqref="G160:G201">
    <cfRule type="cellIs" dxfId="1656" priority="8909" operator="lessThan">
      <formula>0</formula>
    </cfRule>
  </conditionalFormatting>
  <conditionalFormatting sqref="Q160:T201">
    <cfRule type="cellIs" dxfId="1655" priority="8906" operator="equal">
      <formula>0</formula>
    </cfRule>
  </conditionalFormatting>
  <conditionalFormatting sqref="Z66">
    <cfRule type="cellIs" dxfId="1654" priority="8883" operator="equal">
      <formula>0</formula>
    </cfRule>
  </conditionalFormatting>
  <conditionalFormatting sqref="AA66">
    <cfRule type="cellIs" dxfId="1653" priority="8882" operator="equal">
      <formula>0</formula>
    </cfRule>
  </conditionalFormatting>
  <conditionalFormatting sqref="Z67 Z69">
    <cfRule type="cellIs" dxfId="1652" priority="8880" operator="equal">
      <formula>0</formula>
    </cfRule>
  </conditionalFormatting>
  <conditionalFormatting sqref="AA67:AA69">
    <cfRule type="cellIs" dxfId="1651" priority="8879" operator="equal">
      <formula>0</formula>
    </cfRule>
  </conditionalFormatting>
  <conditionalFormatting sqref="Z72">
    <cfRule type="cellIs" dxfId="1650" priority="8878" operator="equal">
      <formula>0</formula>
    </cfRule>
  </conditionalFormatting>
  <conditionalFormatting sqref="AA72">
    <cfRule type="cellIs" dxfId="1649" priority="8877" operator="equal">
      <formula>0</formula>
    </cfRule>
  </conditionalFormatting>
  <conditionalFormatting sqref="Z73:Z75">
    <cfRule type="cellIs" dxfId="1648" priority="8875" operator="equal">
      <formula>0</formula>
    </cfRule>
  </conditionalFormatting>
  <conditionalFormatting sqref="AA73:AA75">
    <cfRule type="cellIs" dxfId="1647" priority="8874" operator="equal">
      <formula>0</formula>
    </cfRule>
  </conditionalFormatting>
  <conditionalFormatting sqref="Z78">
    <cfRule type="cellIs" dxfId="1646" priority="8873" operator="equal">
      <formula>0</formula>
    </cfRule>
  </conditionalFormatting>
  <conditionalFormatting sqref="AA78">
    <cfRule type="cellIs" dxfId="1645" priority="8872" operator="equal">
      <formula>0</formula>
    </cfRule>
  </conditionalFormatting>
  <conditionalFormatting sqref="Z79:Z81">
    <cfRule type="cellIs" dxfId="1644" priority="8870" operator="equal">
      <formula>0</formula>
    </cfRule>
  </conditionalFormatting>
  <conditionalFormatting sqref="AA79:AA81">
    <cfRule type="cellIs" dxfId="1643" priority="8869" operator="equal">
      <formula>0</formula>
    </cfRule>
  </conditionalFormatting>
  <conditionalFormatting sqref="Z84">
    <cfRule type="cellIs" dxfId="1642" priority="8868" operator="equal">
      <formula>0</formula>
    </cfRule>
  </conditionalFormatting>
  <conditionalFormatting sqref="AA84">
    <cfRule type="cellIs" dxfId="1641" priority="8867" operator="equal">
      <formula>0</formula>
    </cfRule>
  </conditionalFormatting>
  <conditionalFormatting sqref="Z85:Z87">
    <cfRule type="cellIs" dxfId="1640" priority="8865" operator="equal">
      <formula>0</formula>
    </cfRule>
  </conditionalFormatting>
  <conditionalFormatting sqref="AA85:AA87">
    <cfRule type="cellIs" dxfId="1639" priority="8864" operator="equal">
      <formula>0</formula>
    </cfRule>
  </conditionalFormatting>
  <conditionalFormatting sqref="Z90">
    <cfRule type="cellIs" dxfId="1638" priority="8863" operator="equal">
      <formula>0</formula>
    </cfRule>
  </conditionalFormatting>
  <conditionalFormatting sqref="AA90">
    <cfRule type="cellIs" dxfId="1637" priority="8862" operator="equal">
      <formula>0</formula>
    </cfRule>
  </conditionalFormatting>
  <conditionalFormatting sqref="Z91:Z93">
    <cfRule type="cellIs" dxfId="1636" priority="8860" operator="equal">
      <formula>0</formula>
    </cfRule>
  </conditionalFormatting>
  <conditionalFormatting sqref="AA91:AA93">
    <cfRule type="cellIs" dxfId="1635" priority="8859" operator="equal">
      <formula>0</formula>
    </cfRule>
  </conditionalFormatting>
  <conditionalFormatting sqref="Z96">
    <cfRule type="cellIs" dxfId="1634" priority="8858" operator="equal">
      <formula>0</formula>
    </cfRule>
  </conditionalFormatting>
  <conditionalFormatting sqref="AA96">
    <cfRule type="cellIs" dxfId="1633" priority="8857" operator="equal">
      <formula>0</formula>
    </cfRule>
  </conditionalFormatting>
  <conditionalFormatting sqref="Z97:Z99">
    <cfRule type="cellIs" dxfId="1632" priority="8855" operator="equal">
      <formula>0</formula>
    </cfRule>
  </conditionalFormatting>
  <conditionalFormatting sqref="AA97:AA99">
    <cfRule type="cellIs" dxfId="1631" priority="8854" operator="equal">
      <formula>0</formula>
    </cfRule>
  </conditionalFormatting>
  <conditionalFormatting sqref="Z102">
    <cfRule type="cellIs" dxfId="1630" priority="8853" operator="equal">
      <formula>0</formula>
    </cfRule>
  </conditionalFormatting>
  <conditionalFormatting sqref="AA102">
    <cfRule type="cellIs" dxfId="1629" priority="8852" operator="equal">
      <formula>0</formula>
    </cfRule>
  </conditionalFormatting>
  <conditionalFormatting sqref="Z103:Z105">
    <cfRule type="cellIs" dxfId="1628" priority="8850" operator="equal">
      <formula>0</formula>
    </cfRule>
  </conditionalFormatting>
  <conditionalFormatting sqref="AA103:AA105">
    <cfRule type="cellIs" dxfId="1627" priority="8849" operator="equal">
      <formula>0</formula>
    </cfRule>
  </conditionalFormatting>
  <conditionalFormatting sqref="Z108">
    <cfRule type="cellIs" dxfId="1626" priority="8848" operator="equal">
      <formula>0</formula>
    </cfRule>
  </conditionalFormatting>
  <conditionalFormatting sqref="AA108">
    <cfRule type="cellIs" dxfId="1625" priority="8847" operator="equal">
      <formula>0</formula>
    </cfRule>
  </conditionalFormatting>
  <conditionalFormatting sqref="Z109:Z111">
    <cfRule type="cellIs" dxfId="1624" priority="8845" operator="equal">
      <formula>0</formula>
    </cfRule>
  </conditionalFormatting>
  <conditionalFormatting sqref="AA109:AA111">
    <cfRule type="cellIs" dxfId="1623" priority="8844" operator="equal">
      <formula>0</formula>
    </cfRule>
  </conditionalFormatting>
  <conditionalFormatting sqref="Z114">
    <cfRule type="cellIs" dxfId="1622" priority="8843" operator="equal">
      <formula>0</formula>
    </cfRule>
  </conditionalFormatting>
  <conditionalFormatting sqref="AA114">
    <cfRule type="cellIs" dxfId="1621" priority="8842" operator="equal">
      <formula>0</formula>
    </cfRule>
  </conditionalFormatting>
  <conditionalFormatting sqref="Z138">
    <cfRule type="cellIs" dxfId="1620" priority="8823" operator="equal">
      <formula>0</formula>
    </cfRule>
  </conditionalFormatting>
  <conditionalFormatting sqref="Z115:Z117">
    <cfRule type="cellIs" dxfId="1619" priority="8840" operator="equal">
      <formula>0</formula>
    </cfRule>
  </conditionalFormatting>
  <conditionalFormatting sqref="AA115:AA117">
    <cfRule type="cellIs" dxfId="1618" priority="8839" operator="equal">
      <formula>0</formula>
    </cfRule>
  </conditionalFormatting>
  <conditionalFormatting sqref="Z120">
    <cfRule type="cellIs" dxfId="1617" priority="8838" operator="equal">
      <formula>0</formula>
    </cfRule>
  </conditionalFormatting>
  <conditionalFormatting sqref="AA120">
    <cfRule type="cellIs" dxfId="1616" priority="8837" operator="equal">
      <formula>0</formula>
    </cfRule>
  </conditionalFormatting>
  <conditionalFormatting sqref="Z139:Z141">
    <cfRule type="cellIs" dxfId="1615" priority="8820" operator="equal">
      <formula>0</formula>
    </cfRule>
  </conditionalFormatting>
  <conditionalFormatting sqref="Z121:Z123">
    <cfRule type="cellIs" dxfId="1614" priority="8835" operator="equal">
      <formula>0</formula>
    </cfRule>
  </conditionalFormatting>
  <conditionalFormatting sqref="AA121:AA123">
    <cfRule type="cellIs" dxfId="1613" priority="8834" operator="equal">
      <formula>0</formula>
    </cfRule>
  </conditionalFormatting>
  <conditionalFormatting sqref="Z126">
    <cfRule type="cellIs" dxfId="1612" priority="8833" operator="equal">
      <formula>0</formula>
    </cfRule>
  </conditionalFormatting>
  <conditionalFormatting sqref="AA126">
    <cfRule type="cellIs" dxfId="1611" priority="8832" operator="equal">
      <formula>0</formula>
    </cfRule>
  </conditionalFormatting>
  <conditionalFormatting sqref="AA144">
    <cfRule type="cellIs" dxfId="1610" priority="8817" operator="equal">
      <formula>0</formula>
    </cfRule>
  </conditionalFormatting>
  <conditionalFormatting sqref="Z127:Z129">
    <cfRule type="cellIs" dxfId="1609" priority="8830" operator="equal">
      <formula>0</formula>
    </cfRule>
  </conditionalFormatting>
  <conditionalFormatting sqref="AA127:AA129">
    <cfRule type="cellIs" dxfId="1608" priority="8829" operator="equal">
      <formula>0</formula>
    </cfRule>
  </conditionalFormatting>
  <conditionalFormatting sqref="Z132">
    <cfRule type="cellIs" dxfId="1607" priority="8828" operator="equal">
      <formula>0</formula>
    </cfRule>
  </conditionalFormatting>
  <conditionalFormatting sqref="AA132">
    <cfRule type="cellIs" dxfId="1606" priority="8827" operator="equal">
      <formula>0</formula>
    </cfRule>
  </conditionalFormatting>
  <conditionalFormatting sqref="AA145:AA147">
    <cfRule type="cellIs" dxfId="1605" priority="8814" operator="equal">
      <formula>0</formula>
    </cfRule>
  </conditionalFormatting>
  <conditionalFormatting sqref="Z133:Z135">
    <cfRule type="cellIs" dxfId="1604" priority="8825" operator="equal">
      <formula>0</formula>
    </cfRule>
  </conditionalFormatting>
  <conditionalFormatting sqref="AA133:AA135">
    <cfRule type="cellIs" dxfId="1603" priority="8824" operator="equal">
      <formula>0</formula>
    </cfRule>
  </conditionalFormatting>
  <conditionalFormatting sqref="AA138">
    <cfRule type="cellIs" dxfId="1602" priority="8822" operator="equal">
      <formula>0</formula>
    </cfRule>
  </conditionalFormatting>
  <conditionalFormatting sqref="AA139:AA141">
    <cfRule type="cellIs" dxfId="1601" priority="8819" operator="equal">
      <formula>0</formula>
    </cfRule>
  </conditionalFormatting>
  <conditionalFormatting sqref="Z144">
    <cfRule type="cellIs" dxfId="1600" priority="8818" operator="equal">
      <formula>0</formula>
    </cfRule>
  </conditionalFormatting>
  <conditionalFormatting sqref="Z156">
    <cfRule type="cellIs" dxfId="1599" priority="8808" operator="equal">
      <formula>0</formula>
    </cfRule>
  </conditionalFormatting>
  <conditionalFormatting sqref="Z145:Z147">
    <cfRule type="cellIs" dxfId="1598" priority="8815" operator="equal">
      <formula>0</formula>
    </cfRule>
  </conditionalFormatting>
  <conditionalFormatting sqref="Z150">
    <cfRule type="cellIs" dxfId="1597" priority="8813" operator="equal">
      <formula>0</formula>
    </cfRule>
  </conditionalFormatting>
  <conditionalFormatting sqref="AA150">
    <cfRule type="cellIs" dxfId="1596" priority="8812" operator="equal">
      <formula>0</formula>
    </cfRule>
  </conditionalFormatting>
  <conditionalFormatting sqref="Z157:Z159">
    <cfRule type="cellIs" dxfId="1595" priority="8805" operator="equal">
      <formula>0</formula>
    </cfRule>
  </conditionalFormatting>
  <conditionalFormatting sqref="Z151:Z153">
    <cfRule type="cellIs" dxfId="1594" priority="8810" operator="equal">
      <formula>0</formula>
    </cfRule>
  </conditionalFormatting>
  <conditionalFormatting sqref="AA151:AA153">
    <cfRule type="cellIs" dxfId="1593" priority="8809" operator="equal">
      <formula>0</formula>
    </cfRule>
  </conditionalFormatting>
  <conditionalFormatting sqref="AA156">
    <cfRule type="cellIs" dxfId="1592" priority="8807" operator="equal">
      <formula>0</formula>
    </cfRule>
  </conditionalFormatting>
  <conditionalFormatting sqref="AA162 AA168 AA174 AA180 AA186 AA192 AA198">
    <cfRule type="cellIs" dxfId="1591" priority="8802" operator="equal">
      <formula>0</formula>
    </cfRule>
  </conditionalFormatting>
  <conditionalFormatting sqref="AA157:AA159">
    <cfRule type="cellIs" dxfId="1590" priority="8804" operator="equal">
      <formula>0</formula>
    </cfRule>
  </conditionalFormatting>
  <conditionalFormatting sqref="Z162 Z168 Z174 Z180 Z186 Z192 Z198">
    <cfRule type="cellIs" dxfId="1589" priority="8803" operator="equal">
      <formula>0</formula>
    </cfRule>
  </conditionalFormatting>
  <conditionalFormatting sqref="AA163:AA165 AA169:AA171 AA175:AA177 AA181:AA183 AA187:AA189 AA193:AA195 AA199:AA201">
    <cfRule type="cellIs" dxfId="1588" priority="8799" operator="equal">
      <formula>0</formula>
    </cfRule>
  </conditionalFormatting>
  <conditionalFormatting sqref="Z163:Z165 Z169:Z171 Z175:Z177 Z181:Z183 Z187:Z189 Z193:Z195 Z199:Z201">
    <cfRule type="cellIs" dxfId="1587" priority="8800" operator="equal">
      <formula>0</formula>
    </cfRule>
  </conditionalFormatting>
  <conditionalFormatting sqref="AA68 AA74 AA80 AA86 AA92 AA98 AA104 AA110 AA116 AA122 AA128 AA134 AA140 AA146 AA152 AA158 AA164 AA170 AA176 AA182 AA188 AA194 AA200">
    <cfRule type="colorScale" priority="8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586" priority="8793" operator="equal">
      <formula>0</formula>
    </cfRule>
  </conditionalFormatting>
  <conditionalFormatting sqref="Y62">
    <cfRule type="cellIs" dxfId="1585" priority="8570" operator="greaterThan">
      <formula>Z62</formula>
    </cfRule>
    <cfRule type="cellIs" dxfId="1584" priority="8571" operator="lessThanOrEqual">
      <formula>0</formula>
    </cfRule>
  </conditionalFormatting>
  <conditionalFormatting sqref="W69">
    <cfRule type="cellIs" dxfId="1583" priority="6138" operator="equal">
      <formula>0</formula>
    </cfRule>
    <cfRule type="cellIs" dxfId="1582" priority="7615" operator="greaterThan">
      <formula>W68</formula>
    </cfRule>
  </conditionalFormatting>
  <conditionalFormatting sqref="Y67">
    <cfRule type="cellIs" dxfId="1581" priority="6278" operator="equal">
      <formula>0</formula>
    </cfRule>
  </conditionalFormatting>
  <conditionalFormatting sqref="Y69">
    <cfRule type="cellIs" dxfId="1580" priority="6277" operator="equal">
      <formula>0</formula>
    </cfRule>
  </conditionalFormatting>
  <conditionalFormatting sqref="W71">
    <cfRule type="cellIs" dxfId="1579" priority="5699" operator="lessThan">
      <formula>W70</formula>
    </cfRule>
    <cfRule type="cellIs" dxfId="1578" priority="6125" operator="equal">
      <formula>0</formula>
    </cfRule>
  </conditionalFormatting>
  <conditionalFormatting sqref="W70">
    <cfRule type="cellIs" dxfId="1577" priority="5700" operator="lessThan">
      <formula>W71</formula>
    </cfRule>
    <cfRule type="cellIs" dxfId="1576" priority="6118" operator="equal">
      <formula>0</formula>
    </cfRule>
    <cfRule type="cellIs" dxfId="1575" priority="6119" operator="lessThan">
      <formula>W71</formula>
    </cfRule>
    <cfRule type="cellIs" dxfId="1574" priority="6124" operator="lessThan">
      <formula>0</formula>
    </cfRule>
  </conditionalFormatting>
  <conditionalFormatting sqref="W73">
    <cfRule type="cellIs" dxfId="1573" priority="6123" operator="equal">
      <formula>0</formula>
    </cfRule>
  </conditionalFormatting>
  <conditionalFormatting sqref="W72">
    <cfRule type="cellIs" dxfId="1572" priority="6116" operator="equal">
      <formula>0</formula>
    </cfRule>
    <cfRule type="cellIs" dxfId="1571" priority="6117" operator="lessThan">
      <formula>W73</formula>
    </cfRule>
    <cfRule type="cellIs" dxfId="1570" priority="6122" operator="lessThan">
      <formula>0</formula>
    </cfRule>
  </conditionalFormatting>
  <conditionalFormatting sqref="W74">
    <cfRule type="cellIs" dxfId="1569" priority="6115" operator="equal">
      <formula>0</formula>
    </cfRule>
    <cfRule type="cellIs" dxfId="1568" priority="6120" operator="lessThan">
      <formula>W75</formula>
    </cfRule>
  </conditionalFormatting>
  <conditionalFormatting sqref="W79">
    <cfRule type="cellIs" dxfId="1567" priority="6111" operator="equal">
      <formula>0</formula>
    </cfRule>
  </conditionalFormatting>
  <conditionalFormatting sqref="W78">
    <cfRule type="cellIs" dxfId="1566" priority="6104" operator="equal">
      <formula>0</formula>
    </cfRule>
    <cfRule type="cellIs" dxfId="1565" priority="6105" operator="lessThan">
      <formula>W79</formula>
    </cfRule>
    <cfRule type="cellIs" dxfId="1564" priority="6110" operator="lessThan">
      <formula>0</formula>
    </cfRule>
  </conditionalFormatting>
  <conditionalFormatting sqref="W80">
    <cfRule type="cellIs" dxfId="1563" priority="6103" operator="equal">
      <formula>0</formula>
    </cfRule>
    <cfRule type="cellIs" dxfId="1562" priority="6108" operator="lessThan">
      <formula>W81</formula>
    </cfRule>
  </conditionalFormatting>
  <conditionalFormatting sqref="W85">
    <cfRule type="cellIs" dxfId="1561" priority="6099" operator="equal">
      <formula>0</formula>
    </cfRule>
  </conditionalFormatting>
  <conditionalFormatting sqref="W84">
    <cfRule type="cellIs" dxfId="1560" priority="6092" operator="equal">
      <formula>0</formula>
    </cfRule>
    <cfRule type="cellIs" dxfId="1559" priority="6093" operator="lessThan">
      <formula>W85</formula>
    </cfRule>
    <cfRule type="cellIs" dxfId="1558" priority="6098" operator="lessThan">
      <formula>0</formula>
    </cfRule>
  </conditionalFormatting>
  <conditionalFormatting sqref="W86">
    <cfRule type="cellIs" dxfId="1557" priority="6091" operator="equal">
      <formula>0</formula>
    </cfRule>
    <cfRule type="cellIs" dxfId="1556" priority="6096" operator="lessThan">
      <formula>W87</formula>
    </cfRule>
  </conditionalFormatting>
  <conditionalFormatting sqref="W87">
    <cfRule type="cellIs" dxfId="1555" priority="6090" operator="equal">
      <formula>0</formula>
    </cfRule>
    <cfRule type="cellIs" dxfId="1554" priority="6097" operator="greaterThan">
      <formula>W86</formula>
    </cfRule>
  </conditionalFormatting>
  <conditionalFormatting sqref="W91">
    <cfRule type="cellIs" dxfId="1553" priority="6087" operator="equal">
      <formula>0</formula>
    </cfRule>
  </conditionalFormatting>
  <conditionalFormatting sqref="W90">
    <cfRule type="cellIs" dxfId="1552" priority="6080" operator="equal">
      <formula>0</formula>
    </cfRule>
    <cfRule type="cellIs" dxfId="1551" priority="6081" operator="lessThan">
      <formula>W91</formula>
    </cfRule>
    <cfRule type="cellIs" dxfId="1550" priority="6086" operator="lessThan">
      <formula>0</formula>
    </cfRule>
  </conditionalFormatting>
  <conditionalFormatting sqref="W92">
    <cfRule type="cellIs" dxfId="1549" priority="6079" operator="equal">
      <formula>0</formula>
    </cfRule>
    <cfRule type="cellIs" dxfId="1548" priority="6084" operator="lessThan">
      <formula>W93</formula>
    </cfRule>
  </conditionalFormatting>
  <conditionalFormatting sqref="W93">
    <cfRule type="cellIs" dxfId="1547" priority="6078" operator="equal">
      <formula>0</formula>
    </cfRule>
    <cfRule type="cellIs" dxfId="1546" priority="6085" operator="greaterThan">
      <formula>W92</formula>
    </cfRule>
  </conditionalFormatting>
  <conditionalFormatting sqref="W97">
    <cfRule type="cellIs" dxfId="1545" priority="6075" operator="equal">
      <formula>0</formula>
    </cfRule>
  </conditionalFormatting>
  <conditionalFormatting sqref="W96">
    <cfRule type="cellIs" dxfId="1544" priority="6068" operator="equal">
      <formula>0</formula>
    </cfRule>
    <cfRule type="cellIs" dxfId="1543" priority="6069" operator="lessThan">
      <formula>W97</formula>
    </cfRule>
    <cfRule type="cellIs" dxfId="1542" priority="6074" operator="lessThan">
      <formula>0</formula>
    </cfRule>
  </conditionalFormatting>
  <conditionalFormatting sqref="W98">
    <cfRule type="cellIs" dxfId="1541" priority="6067" operator="equal">
      <formula>0</formula>
    </cfRule>
    <cfRule type="cellIs" dxfId="1540" priority="6072" operator="lessThan">
      <formula>W99</formula>
    </cfRule>
  </conditionalFormatting>
  <conditionalFormatting sqref="W99">
    <cfRule type="cellIs" dxfId="1539" priority="6066" operator="equal">
      <formula>0</formula>
    </cfRule>
    <cfRule type="cellIs" dxfId="1538" priority="6073" operator="greaterThan">
      <formula>W98</formula>
    </cfRule>
  </conditionalFormatting>
  <conditionalFormatting sqref="W103">
    <cfRule type="cellIs" dxfId="1537" priority="6063" operator="equal">
      <formula>0</formula>
    </cfRule>
  </conditionalFormatting>
  <conditionalFormatting sqref="W102">
    <cfRule type="cellIs" dxfId="1536" priority="6056" operator="equal">
      <formula>0</formula>
    </cfRule>
    <cfRule type="cellIs" dxfId="1535" priority="6057" operator="lessThan">
      <formula>W103</formula>
    </cfRule>
    <cfRule type="cellIs" dxfId="1534" priority="6062" operator="lessThan">
      <formula>0</formula>
    </cfRule>
  </conditionalFormatting>
  <conditionalFormatting sqref="W104">
    <cfRule type="cellIs" dxfId="1533" priority="6055" operator="equal">
      <formula>0</formula>
    </cfRule>
    <cfRule type="cellIs" dxfId="1532" priority="6060" operator="lessThan">
      <formula>W105</formula>
    </cfRule>
  </conditionalFormatting>
  <conditionalFormatting sqref="W105">
    <cfRule type="cellIs" dxfId="1531" priority="6054" operator="equal">
      <formula>0</formula>
    </cfRule>
    <cfRule type="cellIs" dxfId="1530" priority="6061" operator="greaterThan">
      <formula>W104</formula>
    </cfRule>
  </conditionalFormatting>
  <conditionalFormatting sqref="W109">
    <cfRule type="cellIs" dxfId="1529" priority="6051" operator="equal">
      <formula>0</formula>
    </cfRule>
  </conditionalFormatting>
  <conditionalFormatting sqref="W108">
    <cfRule type="cellIs" dxfId="1528" priority="6044" operator="equal">
      <formula>0</formula>
    </cfRule>
    <cfRule type="cellIs" dxfId="1527" priority="6045" operator="lessThan">
      <formula>W109</formula>
    </cfRule>
    <cfRule type="cellIs" dxfId="1526" priority="6050" operator="lessThan">
      <formula>0</formula>
    </cfRule>
  </conditionalFormatting>
  <conditionalFormatting sqref="W110">
    <cfRule type="cellIs" dxfId="1525" priority="6043" operator="equal">
      <formula>0</formula>
    </cfRule>
    <cfRule type="cellIs" dxfId="1524" priority="6048" operator="lessThan">
      <formula>W111</formula>
    </cfRule>
  </conditionalFormatting>
  <conditionalFormatting sqref="W111">
    <cfRule type="cellIs" dxfId="1523" priority="6042" operator="equal">
      <formula>0</formula>
    </cfRule>
    <cfRule type="cellIs" dxfId="1522" priority="6049" operator="greaterThan">
      <formula>W110</formula>
    </cfRule>
  </conditionalFormatting>
  <conditionalFormatting sqref="W115">
    <cfRule type="cellIs" dxfId="1521" priority="6039" operator="equal">
      <formula>0</formula>
    </cfRule>
  </conditionalFormatting>
  <conditionalFormatting sqref="W114">
    <cfRule type="cellIs" dxfId="1520" priority="6032" operator="equal">
      <formula>0</formula>
    </cfRule>
    <cfRule type="cellIs" dxfId="1519" priority="6033" operator="lessThan">
      <formula>W115</formula>
    </cfRule>
    <cfRule type="cellIs" dxfId="1518" priority="6038" operator="lessThan">
      <formula>0</formula>
    </cfRule>
  </conditionalFormatting>
  <conditionalFormatting sqref="W116">
    <cfRule type="cellIs" dxfId="1517" priority="6031" operator="equal">
      <formula>0</formula>
    </cfRule>
    <cfRule type="cellIs" dxfId="1516" priority="6036" operator="lessThan">
      <formula>W117</formula>
    </cfRule>
  </conditionalFormatting>
  <conditionalFormatting sqref="W117">
    <cfRule type="cellIs" dxfId="1515" priority="6030" operator="equal">
      <formula>0</formula>
    </cfRule>
    <cfRule type="cellIs" dxfId="1514" priority="6037" operator="greaterThan">
      <formula>W116</formula>
    </cfRule>
  </conditionalFormatting>
  <conditionalFormatting sqref="W121">
    <cfRule type="cellIs" dxfId="1513" priority="6027" operator="equal">
      <formula>0</formula>
    </cfRule>
  </conditionalFormatting>
  <conditionalFormatting sqref="W120">
    <cfRule type="cellIs" dxfId="1512" priority="6020" operator="equal">
      <formula>0</formula>
    </cfRule>
    <cfRule type="cellIs" dxfId="1511" priority="6021" operator="lessThan">
      <formula>W121</formula>
    </cfRule>
    <cfRule type="cellIs" dxfId="1510" priority="6026" operator="lessThan">
      <formula>0</formula>
    </cfRule>
  </conditionalFormatting>
  <conditionalFormatting sqref="W122">
    <cfRule type="cellIs" dxfId="1509" priority="6019" operator="equal">
      <formula>0</formula>
    </cfRule>
    <cfRule type="cellIs" dxfId="1508" priority="6024" operator="lessThan">
      <formula>W123</formula>
    </cfRule>
  </conditionalFormatting>
  <conditionalFormatting sqref="W123">
    <cfRule type="cellIs" dxfId="1507" priority="6018" operator="equal">
      <formula>0</formula>
    </cfRule>
    <cfRule type="cellIs" dxfId="1506" priority="6025" operator="greaterThan">
      <formula>W122</formula>
    </cfRule>
  </conditionalFormatting>
  <conditionalFormatting sqref="W127">
    <cfRule type="cellIs" dxfId="1505" priority="6015" operator="equal">
      <formula>0</formula>
    </cfRule>
  </conditionalFormatting>
  <conditionalFormatting sqref="W126">
    <cfRule type="cellIs" dxfId="1504" priority="6008" operator="equal">
      <formula>0</formula>
    </cfRule>
    <cfRule type="cellIs" dxfId="1503" priority="6009" operator="lessThan">
      <formula>W127</formula>
    </cfRule>
    <cfRule type="cellIs" dxfId="1502" priority="6014" operator="lessThan">
      <formula>0</formula>
    </cfRule>
  </conditionalFormatting>
  <conditionalFormatting sqref="W128">
    <cfRule type="cellIs" dxfId="1501" priority="6007" operator="equal">
      <formula>0</formula>
    </cfRule>
    <cfRule type="cellIs" dxfId="1500" priority="6012" operator="lessThan">
      <formula>W129</formula>
    </cfRule>
  </conditionalFormatting>
  <conditionalFormatting sqref="W129">
    <cfRule type="cellIs" dxfId="1499" priority="6006" operator="equal">
      <formula>0</formula>
    </cfRule>
    <cfRule type="cellIs" dxfId="1498" priority="6013" operator="greaterThan">
      <formula>W128</formula>
    </cfRule>
  </conditionalFormatting>
  <conditionalFormatting sqref="W133">
    <cfRule type="cellIs" dxfId="1497" priority="6003" operator="equal">
      <formula>0</formula>
    </cfRule>
  </conditionalFormatting>
  <conditionalFormatting sqref="W132">
    <cfRule type="cellIs" dxfId="1496" priority="5996" operator="equal">
      <formula>0</formula>
    </cfRule>
    <cfRule type="cellIs" dxfId="1495" priority="5997" operator="lessThan">
      <formula>W133</formula>
    </cfRule>
    <cfRule type="cellIs" dxfId="1494" priority="6002" operator="lessThan">
      <formula>0</formula>
    </cfRule>
  </conditionalFormatting>
  <conditionalFormatting sqref="W134">
    <cfRule type="cellIs" dxfId="1493" priority="5995" operator="equal">
      <formula>0</formula>
    </cfRule>
    <cfRule type="cellIs" dxfId="1492" priority="6000" operator="lessThan">
      <formula>W135</formula>
    </cfRule>
  </conditionalFormatting>
  <conditionalFormatting sqref="W135">
    <cfRule type="cellIs" dxfId="1491" priority="5994" operator="equal">
      <formula>0</formula>
    </cfRule>
    <cfRule type="cellIs" dxfId="1490" priority="6001" operator="greaterThan">
      <formula>W134</formula>
    </cfRule>
  </conditionalFormatting>
  <conditionalFormatting sqref="W139">
    <cfRule type="cellIs" dxfId="1489" priority="5991" operator="equal">
      <formula>0</formula>
    </cfRule>
  </conditionalFormatting>
  <conditionalFormatting sqref="W138">
    <cfRule type="cellIs" dxfId="1488" priority="5984" operator="equal">
      <formula>0</formula>
    </cfRule>
    <cfRule type="cellIs" dxfId="1487" priority="5985" operator="lessThan">
      <formula>W139</formula>
    </cfRule>
    <cfRule type="cellIs" dxfId="1486" priority="5990" operator="lessThan">
      <formula>0</formula>
    </cfRule>
  </conditionalFormatting>
  <conditionalFormatting sqref="W140">
    <cfRule type="cellIs" dxfId="1485" priority="5983" operator="equal">
      <formula>0</formula>
    </cfRule>
    <cfRule type="cellIs" dxfId="1484" priority="5988" operator="lessThan">
      <formula>W141</formula>
    </cfRule>
  </conditionalFormatting>
  <conditionalFormatting sqref="W141">
    <cfRule type="cellIs" dxfId="1483" priority="5982" operator="equal">
      <formula>0</formula>
    </cfRule>
    <cfRule type="cellIs" dxfId="1482" priority="5989" operator="greaterThan">
      <formula>W140</formula>
    </cfRule>
  </conditionalFormatting>
  <conditionalFormatting sqref="W145">
    <cfRule type="cellIs" dxfId="1481" priority="5979" operator="equal">
      <formula>0</formula>
    </cfRule>
  </conditionalFormatting>
  <conditionalFormatting sqref="W144">
    <cfRule type="cellIs" dxfId="1480" priority="5972" operator="equal">
      <formula>0</formula>
    </cfRule>
    <cfRule type="cellIs" dxfId="1479" priority="5973" operator="lessThan">
      <formula>W145</formula>
    </cfRule>
    <cfRule type="cellIs" dxfId="1478" priority="5978" operator="lessThan">
      <formula>0</formula>
    </cfRule>
  </conditionalFormatting>
  <conditionalFormatting sqref="W146">
    <cfRule type="cellIs" dxfId="1477" priority="5971" operator="equal">
      <formula>0</formula>
    </cfRule>
    <cfRule type="cellIs" dxfId="1476" priority="5976" operator="lessThan">
      <formula>W147</formula>
    </cfRule>
  </conditionalFormatting>
  <conditionalFormatting sqref="W147">
    <cfRule type="cellIs" dxfId="1475" priority="5970" operator="equal">
      <formula>0</formula>
    </cfRule>
    <cfRule type="cellIs" dxfId="1474" priority="5977" operator="greaterThan">
      <formula>W146</formula>
    </cfRule>
  </conditionalFormatting>
  <conditionalFormatting sqref="W151">
    <cfRule type="cellIs" dxfId="1473" priority="5967" operator="equal">
      <formula>0</formula>
    </cfRule>
  </conditionalFormatting>
  <conditionalFormatting sqref="W150">
    <cfRule type="cellIs" dxfId="1472" priority="5960" operator="equal">
      <formula>0</formula>
    </cfRule>
    <cfRule type="cellIs" dxfId="1471" priority="5961" operator="lessThan">
      <formula>W151</formula>
    </cfRule>
    <cfRule type="cellIs" dxfId="1470" priority="5966" operator="lessThan">
      <formula>0</formula>
    </cfRule>
  </conditionalFormatting>
  <conditionalFormatting sqref="W152">
    <cfRule type="cellIs" dxfId="1469" priority="5959" operator="equal">
      <formula>0</formula>
    </cfRule>
    <cfRule type="cellIs" dxfId="1468" priority="5964" operator="lessThan">
      <formula>W153</formula>
    </cfRule>
  </conditionalFormatting>
  <conditionalFormatting sqref="W153">
    <cfRule type="cellIs" dxfId="1467" priority="5958" operator="equal">
      <formula>0</formula>
    </cfRule>
    <cfRule type="cellIs" dxfId="1466" priority="5965" operator="greaterThan">
      <formula>W152</formula>
    </cfRule>
  </conditionalFormatting>
  <conditionalFormatting sqref="W155">
    <cfRule type="cellIs" dxfId="1465" priority="5957" operator="equal">
      <formula>0</formula>
    </cfRule>
  </conditionalFormatting>
  <conditionalFormatting sqref="W154">
    <cfRule type="cellIs" dxfId="1464" priority="5950" operator="equal">
      <formula>0</formula>
    </cfRule>
    <cfRule type="cellIs" dxfId="1463" priority="5951" operator="lessThan">
      <formula>W155</formula>
    </cfRule>
    <cfRule type="cellIs" dxfId="1462" priority="5956" operator="lessThan">
      <formula>0</formula>
    </cfRule>
  </conditionalFormatting>
  <conditionalFormatting sqref="W157">
    <cfRule type="cellIs" dxfId="1461" priority="5955" operator="equal">
      <formula>0</formula>
    </cfRule>
  </conditionalFormatting>
  <conditionalFormatting sqref="W156">
    <cfRule type="cellIs" dxfId="1460" priority="5948" operator="equal">
      <formula>0</formula>
    </cfRule>
    <cfRule type="cellIs" dxfId="1459" priority="5949" operator="lessThan">
      <formula>W157</formula>
    </cfRule>
    <cfRule type="cellIs" dxfId="1458" priority="5954" operator="lessThan">
      <formula>0</formula>
    </cfRule>
  </conditionalFormatting>
  <conditionalFormatting sqref="W158">
    <cfRule type="cellIs" dxfId="1457" priority="5947" operator="equal">
      <formula>0</formula>
    </cfRule>
    <cfRule type="cellIs" dxfId="1456" priority="5952" operator="lessThan">
      <formula>W159</formula>
    </cfRule>
  </conditionalFormatting>
  <conditionalFormatting sqref="W159">
    <cfRule type="cellIs" dxfId="1455" priority="5946" operator="equal">
      <formula>0</formula>
    </cfRule>
    <cfRule type="cellIs" dxfId="1454" priority="5953" operator="greaterThan">
      <formula>W158</formula>
    </cfRule>
  </conditionalFormatting>
  <conditionalFormatting sqref="W161">
    <cfRule type="cellIs" dxfId="1453" priority="5945" operator="equal">
      <formula>0</formula>
    </cfRule>
  </conditionalFormatting>
  <conditionalFormatting sqref="W160">
    <cfRule type="cellIs" dxfId="1452" priority="5938" operator="equal">
      <formula>0</formula>
    </cfRule>
    <cfRule type="cellIs" dxfId="1451" priority="5939" operator="lessThan">
      <formula>W161</formula>
    </cfRule>
    <cfRule type="cellIs" dxfId="1450" priority="5944" operator="lessThan">
      <formula>0</formula>
    </cfRule>
  </conditionalFormatting>
  <conditionalFormatting sqref="W163">
    <cfRule type="cellIs" dxfId="1449" priority="5943" operator="equal">
      <formula>0</formula>
    </cfRule>
  </conditionalFormatting>
  <conditionalFormatting sqref="W162">
    <cfRule type="cellIs" dxfId="1448" priority="5936" operator="equal">
      <formula>0</formula>
    </cfRule>
    <cfRule type="cellIs" dxfId="1447" priority="5937" operator="lessThan">
      <formula>W163</formula>
    </cfRule>
    <cfRule type="cellIs" dxfId="1446" priority="5942" operator="lessThan">
      <formula>0</formula>
    </cfRule>
  </conditionalFormatting>
  <conditionalFormatting sqref="W164">
    <cfRule type="cellIs" dxfId="1445" priority="5935" operator="equal">
      <formula>0</formula>
    </cfRule>
    <cfRule type="cellIs" dxfId="1444" priority="5940" operator="lessThan">
      <formula>W165</formula>
    </cfRule>
  </conditionalFormatting>
  <conditionalFormatting sqref="W165">
    <cfRule type="cellIs" dxfId="1443" priority="5934" operator="equal">
      <formula>0</formula>
    </cfRule>
    <cfRule type="cellIs" dxfId="1442" priority="5941" operator="greaterThan">
      <formula>W164</formula>
    </cfRule>
  </conditionalFormatting>
  <conditionalFormatting sqref="W167 W173 W179 W185 W191 W197">
    <cfRule type="cellIs" dxfId="1441" priority="5933" operator="equal">
      <formula>0</formula>
    </cfRule>
  </conditionalFormatting>
  <conditionalFormatting sqref="W166 W172 W178 W184 W190 W196">
    <cfRule type="cellIs" dxfId="1440" priority="5926" operator="equal">
      <formula>0</formula>
    </cfRule>
    <cfRule type="cellIs" dxfId="1439" priority="5927" operator="lessThan">
      <formula>W167</formula>
    </cfRule>
    <cfRule type="cellIs" dxfId="1438" priority="5932" operator="lessThan">
      <formula>0</formula>
    </cfRule>
  </conditionalFormatting>
  <conditionalFormatting sqref="W169 W175 W181 W187 W193 W199">
    <cfRule type="cellIs" dxfId="1437" priority="5931" operator="equal">
      <formula>0</formula>
    </cfRule>
  </conditionalFormatting>
  <conditionalFormatting sqref="W168 W174 W180 W186 W192 W198">
    <cfRule type="cellIs" dxfId="1436" priority="5924" operator="equal">
      <formula>0</formula>
    </cfRule>
    <cfRule type="cellIs" dxfId="1435" priority="5925" operator="lessThan">
      <formula>W169</formula>
    </cfRule>
    <cfRule type="cellIs" dxfId="1434" priority="5930" operator="lessThan">
      <formula>0</formula>
    </cfRule>
  </conditionalFormatting>
  <conditionalFormatting sqref="W170 W176 W182 W188 W194 W200">
    <cfRule type="cellIs" dxfId="1433" priority="5923" operator="equal">
      <formula>0</formula>
    </cfRule>
    <cfRule type="cellIs" dxfId="1432" priority="5928" operator="lessThan">
      <formula>W171</formula>
    </cfRule>
  </conditionalFormatting>
  <conditionalFormatting sqref="W171 W177 W183 W189 W195 W201">
    <cfRule type="cellIs" dxfId="1431" priority="5922" operator="equal">
      <formula>0</formula>
    </cfRule>
    <cfRule type="cellIs" dxfId="1430" priority="5929" operator="greaterThan">
      <formula>W170</formula>
    </cfRule>
  </conditionalFormatting>
  <conditionalFormatting sqref="Z68 Z74 Z80 Z86 Z92 Z98 Z104 Z110 Z116 Z122 Z128 Z134 Z140 Z146 Z152 Z158 Z164 Z170 Z176 Z182 Z188 Z194 Z200">
    <cfRule type="colorScale" priority="5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429" priority="5693" operator="lessThan">
      <formula>W76</formula>
    </cfRule>
    <cfRule type="cellIs" dxfId="1428" priority="5698" operator="equal">
      <formula>0</formula>
    </cfRule>
  </conditionalFormatting>
  <conditionalFormatting sqref="W76">
    <cfRule type="cellIs" dxfId="1427" priority="5694" operator="lessThan">
      <formula>W77</formula>
    </cfRule>
    <cfRule type="cellIs" dxfId="1426" priority="5695" operator="equal">
      <formula>0</formula>
    </cfRule>
    <cfRule type="cellIs" dxfId="1425" priority="5696" operator="lessThan">
      <formula>W77</formula>
    </cfRule>
    <cfRule type="cellIs" dxfId="1424" priority="5697" operator="lessThan">
      <formula>0</formula>
    </cfRule>
  </conditionalFormatting>
  <conditionalFormatting sqref="W83">
    <cfRule type="cellIs" dxfId="1423" priority="5687" operator="lessThan">
      <formula>W82</formula>
    </cfRule>
    <cfRule type="cellIs" dxfId="1422" priority="5692" operator="equal">
      <formula>0</formula>
    </cfRule>
  </conditionalFormatting>
  <conditionalFormatting sqref="W82">
    <cfRule type="cellIs" dxfId="1421" priority="5688" operator="lessThan">
      <formula>W83</formula>
    </cfRule>
    <cfRule type="cellIs" dxfId="1420" priority="5689" operator="equal">
      <formula>0</formula>
    </cfRule>
    <cfRule type="cellIs" dxfId="1419" priority="5690" operator="lessThan">
      <formula>W83</formula>
    </cfRule>
    <cfRule type="cellIs" dxfId="1418" priority="5691" operator="lessThan">
      <formula>0</formula>
    </cfRule>
  </conditionalFormatting>
  <conditionalFormatting sqref="W89">
    <cfRule type="cellIs" dxfId="1417" priority="5681" operator="lessThan">
      <formula>W88</formula>
    </cfRule>
    <cfRule type="cellIs" dxfId="1416" priority="5686" operator="equal">
      <formula>0</formula>
    </cfRule>
  </conditionalFormatting>
  <conditionalFormatting sqref="W88">
    <cfRule type="cellIs" dxfId="1415" priority="5682" operator="lessThan">
      <formula>W89</formula>
    </cfRule>
    <cfRule type="cellIs" dxfId="1414" priority="5683" operator="equal">
      <formula>0</formula>
    </cfRule>
    <cfRule type="cellIs" dxfId="1413" priority="5684" operator="lessThan">
      <formula>W89</formula>
    </cfRule>
    <cfRule type="cellIs" dxfId="1412" priority="5685" operator="lessThan">
      <formula>0</formula>
    </cfRule>
  </conditionalFormatting>
  <conditionalFormatting sqref="W95">
    <cfRule type="cellIs" dxfId="1411" priority="5675" operator="lessThan">
      <formula>W94</formula>
    </cfRule>
    <cfRule type="cellIs" dxfId="1410" priority="5680" operator="equal">
      <formula>0</formula>
    </cfRule>
  </conditionalFormatting>
  <conditionalFormatting sqref="W94">
    <cfRule type="cellIs" dxfId="1409" priority="5676" operator="lessThan">
      <formula>W95</formula>
    </cfRule>
    <cfRule type="cellIs" dxfId="1408" priority="5677" operator="equal">
      <formula>0</formula>
    </cfRule>
    <cfRule type="cellIs" dxfId="1407" priority="5678" operator="lessThan">
      <formula>W95</formula>
    </cfRule>
    <cfRule type="cellIs" dxfId="1406" priority="5679" operator="lessThan">
      <formula>0</formula>
    </cfRule>
  </conditionalFormatting>
  <conditionalFormatting sqref="W101">
    <cfRule type="cellIs" dxfId="1405" priority="5669" operator="lessThan">
      <formula>W100</formula>
    </cfRule>
    <cfRule type="cellIs" dxfId="1404" priority="5674" operator="equal">
      <formula>0</formula>
    </cfRule>
  </conditionalFormatting>
  <conditionalFormatting sqref="W100">
    <cfRule type="cellIs" dxfId="1403" priority="5670" operator="lessThan">
      <formula>W101</formula>
    </cfRule>
    <cfRule type="cellIs" dxfId="1402" priority="5671" operator="equal">
      <formula>0</formula>
    </cfRule>
    <cfRule type="cellIs" dxfId="1401" priority="5672" operator="lessThan">
      <formula>W101</formula>
    </cfRule>
    <cfRule type="cellIs" dxfId="1400" priority="5673" operator="lessThan">
      <formula>0</formula>
    </cfRule>
  </conditionalFormatting>
  <conditionalFormatting sqref="W107">
    <cfRule type="cellIs" dxfId="1399" priority="5663" operator="lessThan">
      <formula>W106</formula>
    </cfRule>
    <cfRule type="cellIs" dxfId="1398" priority="5668" operator="equal">
      <formula>0</formula>
    </cfRule>
  </conditionalFormatting>
  <conditionalFormatting sqref="W106">
    <cfRule type="cellIs" dxfId="1397" priority="5664" operator="lessThan">
      <formula>W107</formula>
    </cfRule>
    <cfRule type="cellIs" dxfId="1396" priority="5665" operator="equal">
      <formula>0</formula>
    </cfRule>
    <cfRule type="cellIs" dxfId="1395" priority="5666" operator="lessThan">
      <formula>W107</formula>
    </cfRule>
    <cfRule type="cellIs" dxfId="1394" priority="5667" operator="lessThan">
      <formula>0</formula>
    </cfRule>
  </conditionalFormatting>
  <conditionalFormatting sqref="W113">
    <cfRule type="cellIs" dxfId="1393" priority="5657" operator="lessThan">
      <formula>W112</formula>
    </cfRule>
    <cfRule type="cellIs" dxfId="1392" priority="5662" operator="equal">
      <formula>0</formula>
    </cfRule>
  </conditionalFormatting>
  <conditionalFormatting sqref="W112">
    <cfRule type="cellIs" dxfId="1391" priority="5658" operator="lessThan">
      <formula>W113</formula>
    </cfRule>
    <cfRule type="cellIs" dxfId="1390" priority="5659" operator="equal">
      <formula>0</formula>
    </cfRule>
    <cfRule type="cellIs" dxfId="1389" priority="5660" operator="lessThan">
      <formula>W113</formula>
    </cfRule>
    <cfRule type="cellIs" dxfId="1388" priority="5661" operator="lessThan">
      <formula>0</formula>
    </cfRule>
  </conditionalFormatting>
  <conditionalFormatting sqref="W119">
    <cfRule type="cellIs" dxfId="1387" priority="5651" operator="lessThan">
      <formula>W118</formula>
    </cfRule>
    <cfRule type="cellIs" dxfId="1386" priority="5656" operator="equal">
      <formula>0</formula>
    </cfRule>
  </conditionalFormatting>
  <conditionalFormatting sqref="W118">
    <cfRule type="cellIs" dxfId="1385" priority="5652" operator="lessThan">
      <formula>W119</formula>
    </cfRule>
    <cfRule type="cellIs" dxfId="1384" priority="5653" operator="equal">
      <formula>0</formula>
    </cfRule>
    <cfRule type="cellIs" dxfId="1383" priority="5654" operator="lessThan">
      <formula>W119</formula>
    </cfRule>
    <cfRule type="cellIs" dxfId="1382" priority="5655" operator="lessThan">
      <formula>0</formula>
    </cfRule>
  </conditionalFormatting>
  <conditionalFormatting sqref="W125">
    <cfRule type="cellIs" dxfId="1381" priority="5645" operator="lessThan">
      <formula>W124</formula>
    </cfRule>
    <cfRule type="cellIs" dxfId="1380" priority="5650" operator="equal">
      <formula>0</formula>
    </cfRule>
  </conditionalFormatting>
  <conditionalFormatting sqref="W124">
    <cfRule type="cellIs" dxfId="1379" priority="5646" operator="lessThan">
      <formula>W125</formula>
    </cfRule>
    <cfRule type="cellIs" dxfId="1378" priority="5647" operator="equal">
      <formula>0</formula>
    </cfRule>
    <cfRule type="cellIs" dxfId="1377" priority="5648" operator="lessThan">
      <formula>W125</formula>
    </cfRule>
    <cfRule type="cellIs" dxfId="1376" priority="5649" operator="lessThan">
      <formula>0</formula>
    </cfRule>
  </conditionalFormatting>
  <conditionalFormatting sqref="W131">
    <cfRule type="cellIs" dxfId="1375" priority="5639" operator="lessThan">
      <formula>W130</formula>
    </cfRule>
    <cfRule type="cellIs" dxfId="1374" priority="5644" operator="equal">
      <formula>0</formula>
    </cfRule>
  </conditionalFormatting>
  <conditionalFormatting sqref="W130">
    <cfRule type="cellIs" dxfId="1373" priority="5640" operator="lessThan">
      <formula>W131</formula>
    </cfRule>
    <cfRule type="cellIs" dxfId="1372" priority="5641" operator="equal">
      <formula>0</formula>
    </cfRule>
    <cfRule type="cellIs" dxfId="1371" priority="5642" operator="lessThan">
      <formula>W131</formula>
    </cfRule>
    <cfRule type="cellIs" dxfId="1370" priority="5643" operator="lessThan">
      <formula>0</formula>
    </cfRule>
  </conditionalFormatting>
  <conditionalFormatting sqref="W137">
    <cfRule type="cellIs" dxfId="1369" priority="5633" operator="lessThan">
      <formula>W136</formula>
    </cfRule>
    <cfRule type="cellIs" dxfId="1368" priority="5638" operator="equal">
      <formula>0</formula>
    </cfRule>
  </conditionalFormatting>
  <conditionalFormatting sqref="W136">
    <cfRule type="cellIs" dxfId="1367" priority="5634" operator="lessThan">
      <formula>W137</formula>
    </cfRule>
    <cfRule type="cellIs" dxfId="1366" priority="5635" operator="equal">
      <formula>0</formula>
    </cfRule>
    <cfRule type="cellIs" dxfId="1365" priority="5636" operator="lessThan">
      <formula>W137</formula>
    </cfRule>
    <cfRule type="cellIs" dxfId="1364" priority="5637" operator="lessThan">
      <formula>0</formula>
    </cfRule>
  </conditionalFormatting>
  <conditionalFormatting sqref="W143">
    <cfRule type="cellIs" dxfId="1363" priority="5627" operator="lessThan">
      <formula>W142</formula>
    </cfRule>
    <cfRule type="cellIs" dxfId="1362" priority="5632" operator="equal">
      <formula>0</formula>
    </cfRule>
  </conditionalFormatting>
  <conditionalFormatting sqref="W142">
    <cfRule type="cellIs" dxfId="1361" priority="5628" operator="lessThan">
      <formula>W143</formula>
    </cfRule>
    <cfRule type="cellIs" dxfId="1360" priority="5629" operator="equal">
      <formula>0</formula>
    </cfRule>
    <cfRule type="cellIs" dxfId="1359" priority="5630" operator="lessThan">
      <formula>W143</formula>
    </cfRule>
    <cfRule type="cellIs" dxfId="1358" priority="5631" operator="lessThan">
      <formula>0</formula>
    </cfRule>
  </conditionalFormatting>
  <conditionalFormatting sqref="W149">
    <cfRule type="cellIs" dxfId="1357" priority="5621" operator="lessThan">
      <formula>W148</formula>
    </cfRule>
    <cfRule type="cellIs" dxfId="1356" priority="5626" operator="equal">
      <formula>0</formula>
    </cfRule>
  </conditionalFormatting>
  <conditionalFormatting sqref="W148">
    <cfRule type="cellIs" dxfId="1355" priority="5622" operator="lessThan">
      <formula>W149</formula>
    </cfRule>
    <cfRule type="cellIs" dxfId="1354" priority="5623" operator="equal">
      <formula>0</formula>
    </cfRule>
    <cfRule type="cellIs" dxfId="1353" priority="5624" operator="lessThan">
      <formula>W149</formula>
    </cfRule>
    <cfRule type="cellIs" dxfId="1352" priority="5625" operator="lessThan">
      <formula>0</formula>
    </cfRule>
  </conditionalFormatting>
  <conditionalFormatting sqref="V82:V87">
    <cfRule type="cellIs" dxfId="1351" priority="5619" operator="lessThan">
      <formula>0</formula>
    </cfRule>
    <cfRule type="cellIs" dxfId="1350" priority="5620" operator="equal">
      <formula>0</formula>
    </cfRule>
  </conditionalFormatting>
  <conditionalFormatting sqref="V88:V93">
    <cfRule type="cellIs" dxfId="1349" priority="5617" operator="lessThan">
      <formula>0</formula>
    </cfRule>
    <cfRule type="cellIs" dxfId="1348" priority="5618" operator="equal">
      <formula>0</formula>
    </cfRule>
  </conditionalFormatting>
  <conditionalFormatting sqref="V94:V99">
    <cfRule type="cellIs" dxfId="1347" priority="5615" operator="lessThan">
      <formula>0</formula>
    </cfRule>
    <cfRule type="cellIs" dxfId="1346" priority="5616" operator="equal">
      <formula>0</formula>
    </cfRule>
  </conditionalFormatting>
  <conditionalFormatting sqref="V100:V105">
    <cfRule type="cellIs" dxfId="1345" priority="5613" operator="lessThan">
      <formula>0</formula>
    </cfRule>
    <cfRule type="cellIs" dxfId="1344" priority="5614" operator="equal">
      <formula>0</formula>
    </cfRule>
  </conditionalFormatting>
  <conditionalFormatting sqref="V106:V111">
    <cfRule type="cellIs" dxfId="1343" priority="5611" operator="lessThan">
      <formula>0</formula>
    </cfRule>
    <cfRule type="cellIs" dxfId="1342" priority="5612" operator="equal">
      <formula>0</formula>
    </cfRule>
  </conditionalFormatting>
  <conditionalFormatting sqref="V112:V117">
    <cfRule type="cellIs" dxfId="1341" priority="5609" operator="lessThan">
      <formula>0</formula>
    </cfRule>
    <cfRule type="cellIs" dxfId="1340" priority="5610" operator="equal">
      <formula>0</formula>
    </cfRule>
  </conditionalFormatting>
  <conditionalFormatting sqref="V118:V123">
    <cfRule type="cellIs" dxfId="1339" priority="5607" operator="lessThan">
      <formula>0</formula>
    </cfRule>
    <cfRule type="cellIs" dxfId="1338" priority="5608" operator="equal">
      <formula>0</formula>
    </cfRule>
  </conditionalFormatting>
  <conditionalFormatting sqref="V124:V129">
    <cfRule type="cellIs" dxfId="1337" priority="5605" operator="lessThan">
      <formula>0</formula>
    </cfRule>
    <cfRule type="cellIs" dxfId="1336" priority="5606" operator="equal">
      <formula>0</formula>
    </cfRule>
  </conditionalFormatting>
  <conditionalFormatting sqref="V130:V135">
    <cfRule type="cellIs" dxfId="1335" priority="5603" operator="lessThan">
      <formula>0</formula>
    </cfRule>
    <cfRule type="cellIs" dxfId="1334" priority="5604" operator="equal">
      <formula>0</formula>
    </cfRule>
  </conditionalFormatting>
  <conditionalFormatting sqref="V136:V141">
    <cfRule type="cellIs" dxfId="1333" priority="5601" operator="lessThan">
      <formula>0</formula>
    </cfRule>
    <cfRule type="cellIs" dxfId="1332" priority="5602" operator="equal">
      <formula>0</formula>
    </cfRule>
  </conditionalFormatting>
  <conditionalFormatting sqref="V142:V147">
    <cfRule type="cellIs" dxfId="1331" priority="5599" operator="lessThan">
      <formula>0</formula>
    </cfRule>
    <cfRule type="cellIs" dxfId="1330" priority="5600" operator="equal">
      <formula>0</formula>
    </cfRule>
  </conditionalFormatting>
  <conditionalFormatting sqref="V148:V153">
    <cfRule type="cellIs" dxfId="1329" priority="5597" operator="lessThan">
      <formula>0</formula>
    </cfRule>
    <cfRule type="cellIs" dxfId="1328" priority="5598" operator="equal">
      <formula>0</formula>
    </cfRule>
  </conditionalFormatting>
  <conditionalFormatting sqref="V154:V159">
    <cfRule type="cellIs" dxfId="1327" priority="5595" operator="lessThan">
      <formula>0</formula>
    </cfRule>
    <cfRule type="cellIs" dxfId="1326" priority="5596" operator="equal">
      <formula>0</formula>
    </cfRule>
  </conditionalFormatting>
  <conditionalFormatting sqref="V160:V165">
    <cfRule type="cellIs" dxfId="1325" priority="5593" operator="lessThan">
      <formula>0</formula>
    </cfRule>
    <cfRule type="cellIs" dxfId="1324" priority="5594" operator="equal">
      <formula>0</formula>
    </cfRule>
  </conditionalFormatting>
  <conditionalFormatting sqref="V166:V201">
    <cfRule type="cellIs" dxfId="1323" priority="5591" operator="lessThan">
      <formula>0</formula>
    </cfRule>
    <cfRule type="cellIs" dxfId="1322" priority="5592" operator="equal">
      <formula>0</formula>
    </cfRule>
  </conditionalFormatting>
  <conditionalFormatting sqref="W75">
    <cfRule type="cellIs" dxfId="1321" priority="5550" operator="equal">
      <formula>0</formula>
    </cfRule>
    <cfRule type="cellIs" dxfId="1320" priority="5551" operator="greaterThan">
      <formula>W74</formula>
    </cfRule>
  </conditionalFormatting>
  <conditionalFormatting sqref="W81">
    <cfRule type="cellIs" dxfId="1319" priority="5548" operator="equal">
      <formula>0</formula>
    </cfRule>
    <cfRule type="cellIs" dxfId="1318" priority="5549" operator="greaterThan">
      <formula>W80</formula>
    </cfRule>
  </conditionalFormatting>
  <conditionalFormatting sqref="V45:V56">
    <cfRule type="cellIs" dxfId="1317" priority="3869" operator="lessThan">
      <formula>0</formula>
    </cfRule>
    <cfRule type="cellIs" dxfId="1316" priority="3870" operator="equal">
      <formula>0</formula>
    </cfRule>
  </conditionalFormatting>
  <conditionalFormatting sqref="G30">
    <cfRule type="cellIs" dxfId="1315" priority="3850" operator="lessThan">
      <formula>0</formula>
    </cfRule>
  </conditionalFormatting>
  <conditionalFormatting sqref="D30">
    <cfRule type="expression" dxfId="1314" priority="3848">
      <formula>E30&gt;B30</formula>
    </cfRule>
  </conditionalFormatting>
  <conditionalFormatting sqref="C30">
    <cfRule type="expression" dxfId="1313" priority="3847">
      <formula>B30&gt;E30</formula>
    </cfRule>
  </conditionalFormatting>
  <conditionalFormatting sqref="G31">
    <cfRule type="cellIs" dxfId="1312" priority="3841" operator="lessThan">
      <formula>0</formula>
    </cfRule>
  </conditionalFormatting>
  <conditionalFormatting sqref="G32">
    <cfRule type="cellIs" dxfId="1311" priority="3785" operator="lessThan">
      <formula>0</formula>
    </cfRule>
  </conditionalFormatting>
  <conditionalFormatting sqref="G33">
    <cfRule type="cellIs" dxfId="1310" priority="3779" operator="lessThan">
      <formula>0</formula>
    </cfRule>
  </conditionalFormatting>
  <conditionalFormatting sqref="G34 G36 G38 G40 G45 G47 G49 G51 G53 G55">
    <cfRule type="cellIs" dxfId="1309" priority="3771" operator="lessThan">
      <formula>0</formula>
    </cfRule>
  </conditionalFormatting>
  <conditionalFormatting sqref="G35 G37 G39 G41 G46 G48 G50 G52 G54 G56">
    <cfRule type="cellIs" dxfId="1308" priority="3765" operator="lessThan">
      <formula>0</formula>
    </cfRule>
  </conditionalFormatting>
  <conditionalFormatting sqref="D31">
    <cfRule type="expression" dxfId="1307" priority="3641">
      <formula>E31&gt;B31</formula>
    </cfRule>
  </conditionalFormatting>
  <conditionalFormatting sqref="C31">
    <cfRule type="expression" dxfId="1306" priority="3640">
      <formula>B31&gt;E31</formula>
    </cfRule>
  </conditionalFormatting>
  <conditionalFormatting sqref="D32 D34 D36 D38 D50 D55 D57 D59 D41 D43 D45">
    <cfRule type="expression" dxfId="1305" priority="3639">
      <formula>E32&gt;B32</formula>
    </cfRule>
  </conditionalFormatting>
  <conditionalFormatting sqref="C32 C34 C36 C38 C50 C55 C57 C59 C41 C43 C45">
    <cfRule type="expression" dxfId="1304" priority="3638">
      <formula>B32&gt;E32</formula>
    </cfRule>
  </conditionalFormatting>
  <conditionalFormatting sqref="D33 D35 D37 D51 D56 D58 D39:D40 D42 D44 D46">
    <cfRule type="expression" dxfId="1303" priority="3637">
      <formula>E33&gt;B33</formula>
    </cfRule>
  </conditionalFormatting>
  <conditionalFormatting sqref="C33 C35 C37 C51 C56 C58 C39:C40 C42 C44 C46">
    <cfRule type="expression" dxfId="1302" priority="3636">
      <formula>B33&gt;E33</formula>
    </cfRule>
  </conditionalFormatting>
  <conditionalFormatting sqref="Y30:Y34 Y37:Y39">
    <cfRule type="cellIs" dxfId="1301" priority="3593" operator="equal">
      <formula>0</formula>
    </cfRule>
  </conditionalFormatting>
  <conditionalFormatting sqref="W26:W29">
    <cfRule type="cellIs" dxfId="1300" priority="3546" operator="equal">
      <formula>0</formula>
    </cfRule>
  </conditionalFormatting>
  <conditionalFormatting sqref="W27">
    <cfRule type="cellIs" dxfId="1299" priority="3360" operator="equal">
      <formula>"STOP"</formula>
    </cfRule>
    <cfRule type="cellIs" dxfId="1298" priority="3361" operator="equal">
      <formula>"TRAILING"</formula>
    </cfRule>
  </conditionalFormatting>
  <conditionalFormatting sqref="X60">
    <cfRule type="cellIs" dxfId="1297" priority="3481" operator="equal">
      <formula>0</formula>
    </cfRule>
    <cfRule type="expression" dxfId="1296" priority="3482">
      <formula>F60*100&lt;X60</formula>
    </cfRule>
    <cfRule type="expression" dxfId="1295" priority="3483">
      <formula>X60&lt;F60*100</formula>
    </cfRule>
  </conditionalFormatting>
  <conditionalFormatting sqref="X61">
    <cfRule type="cellIs" dxfId="1294" priority="3478" operator="equal">
      <formula>0</formula>
    </cfRule>
    <cfRule type="expression" dxfId="1293" priority="3479">
      <formula>F61*100&lt;X61</formula>
    </cfRule>
    <cfRule type="expression" dxfId="1292" priority="3480">
      <formula>X61&lt;F61*100</formula>
    </cfRule>
  </conditionalFormatting>
  <conditionalFormatting sqref="W60:W61">
    <cfRule type="cellIs" dxfId="1291" priority="3477" operator="equal">
      <formula>0</formula>
    </cfRule>
  </conditionalFormatting>
  <conditionalFormatting sqref="W60">
    <cfRule type="containsText" dxfId="1290" priority="3475" operator="containsText" text="STOP">
      <formula>NOT(ISERROR(SEARCH("STOP",W60)))</formula>
    </cfRule>
    <cfRule type="containsText" dxfId="1289" priority="3476" operator="containsText" text="TRAILING">
      <formula>NOT(ISERROR(SEARCH("TRAILING",W60)))</formula>
    </cfRule>
  </conditionalFormatting>
  <conditionalFormatting sqref="W61">
    <cfRule type="containsText" dxfId="1288" priority="3473" operator="containsText" text="STOP">
      <formula>NOT(ISERROR(SEARCH("STOP",W61)))</formula>
    </cfRule>
    <cfRule type="containsText" dxfId="1287" priority="3474" operator="containsText" text="TRAILING">
      <formula>NOT(ISERROR(SEARCH("TRAILING",W61)))</formula>
    </cfRule>
  </conditionalFormatting>
  <conditionalFormatting sqref="V42:V43">
    <cfRule type="cellIs" dxfId="1286" priority="3470" operator="lessThan">
      <formula>0</formula>
    </cfRule>
    <cfRule type="cellIs" dxfId="1285" priority="3471" operator="equal">
      <formula>0</formula>
    </cfRule>
  </conditionalFormatting>
  <conditionalFormatting sqref="G43">
    <cfRule type="cellIs" dxfId="1284" priority="3467" operator="lessThan">
      <formula>0</formula>
    </cfRule>
  </conditionalFormatting>
  <conditionalFormatting sqref="G42">
    <cfRule type="cellIs" dxfId="1283" priority="3465" operator="lessThan">
      <formula>0</formula>
    </cfRule>
  </conditionalFormatting>
  <conditionalFormatting sqref="D53">
    <cfRule type="expression" dxfId="1282" priority="3463">
      <formula>E53&gt;B53</formula>
    </cfRule>
  </conditionalFormatting>
  <conditionalFormatting sqref="C53">
    <cfRule type="expression" dxfId="1281" priority="3462">
      <formula>B53&gt;E53</formula>
    </cfRule>
  </conditionalFormatting>
  <conditionalFormatting sqref="D52">
    <cfRule type="expression" dxfId="1280" priority="3461">
      <formula>E52&gt;B52</formula>
    </cfRule>
  </conditionalFormatting>
  <conditionalFormatting sqref="C52">
    <cfRule type="expression" dxfId="1279" priority="3460">
      <formula>B52&gt;E52</formula>
    </cfRule>
  </conditionalFormatting>
  <conditionalFormatting sqref="V57:V59">
    <cfRule type="cellIs" dxfId="1278" priority="3441" operator="lessThan">
      <formula>0</formula>
    </cfRule>
    <cfRule type="cellIs" dxfId="1277" priority="3442" operator="equal">
      <formula>0</formula>
    </cfRule>
  </conditionalFormatting>
  <conditionalFormatting sqref="G58">
    <cfRule type="cellIs" dxfId="1276" priority="3438" operator="lessThan">
      <formula>0</formula>
    </cfRule>
  </conditionalFormatting>
  <conditionalFormatting sqref="G57 G59">
    <cfRule type="cellIs" dxfId="1275" priority="3436" operator="lessThan">
      <formula>0</formula>
    </cfRule>
  </conditionalFormatting>
  <conditionalFormatting sqref="D48">
    <cfRule type="expression" dxfId="1274" priority="3434">
      <formula>E48&gt;B48</formula>
    </cfRule>
  </conditionalFormatting>
  <conditionalFormatting sqref="C48">
    <cfRule type="expression" dxfId="1273" priority="3433">
      <formula>B48&gt;E48</formula>
    </cfRule>
  </conditionalFormatting>
  <conditionalFormatting sqref="D47 D49">
    <cfRule type="expression" dxfId="1272" priority="3432">
      <formula>E47&gt;B47</formula>
    </cfRule>
  </conditionalFormatting>
  <conditionalFormatting sqref="C47 C49">
    <cfRule type="expression" dxfId="1271" priority="3431">
      <formula>B47&gt;E47</formula>
    </cfRule>
  </conditionalFormatting>
  <conditionalFormatting sqref="B55">
    <cfRule type="cellIs" dxfId="1270" priority="3412" operator="greaterThan">
      <formula>E55</formula>
    </cfRule>
  </conditionalFormatting>
  <conditionalFormatting sqref="B56">
    <cfRule type="cellIs" dxfId="1269" priority="3411" operator="greaterThan">
      <formula>E56</formula>
    </cfRule>
  </conditionalFormatting>
  <conditionalFormatting sqref="B57 B59 B41 B43 B45 B47 B49">
    <cfRule type="cellIs" dxfId="1268" priority="3410" operator="greaterThan">
      <formula>E41</formula>
    </cfRule>
  </conditionalFormatting>
  <conditionalFormatting sqref="B58 B40 B42 B44 B46 B48">
    <cfRule type="cellIs" dxfId="1267" priority="3409" operator="greaterThan">
      <formula>E40</formula>
    </cfRule>
  </conditionalFormatting>
  <conditionalFormatting sqref="E55">
    <cfRule type="cellIs" dxfId="1266" priority="3408" operator="greaterThan">
      <formula>B55</formula>
    </cfRule>
  </conditionalFormatting>
  <conditionalFormatting sqref="E56">
    <cfRule type="cellIs" dxfId="1265" priority="3407" operator="greaterThan">
      <formula>B56</formula>
    </cfRule>
  </conditionalFormatting>
  <conditionalFormatting sqref="E57 E59 E41 E45 E47 E49">
    <cfRule type="cellIs" dxfId="1264" priority="3406" operator="greaterThan">
      <formula>B41</formula>
    </cfRule>
  </conditionalFormatting>
  <conditionalFormatting sqref="E58 E40 E42 E44 E46 E48">
    <cfRule type="cellIs" dxfId="1263" priority="3405" operator="greaterThan">
      <formula>B40</formula>
    </cfRule>
  </conditionalFormatting>
  <conditionalFormatting sqref="E43">
    <cfRule type="cellIs" dxfId="1262" priority="3404" operator="greaterThan">
      <formula>H53</formula>
    </cfRule>
  </conditionalFormatting>
  <conditionalFormatting sqref="B30">
    <cfRule type="cellIs" dxfId="1261" priority="3403" operator="greaterThan">
      <formula>E30</formula>
    </cfRule>
  </conditionalFormatting>
  <conditionalFormatting sqref="B31">
    <cfRule type="cellIs" dxfId="1260" priority="3402" operator="greaterThan">
      <formula>E31</formula>
    </cfRule>
  </conditionalFormatting>
  <conditionalFormatting sqref="B32 B34 B36 B38 B50 B52">
    <cfRule type="cellIs" dxfId="1259" priority="3401" operator="greaterThan">
      <formula>E32</formula>
    </cfRule>
  </conditionalFormatting>
  <conditionalFormatting sqref="B33 B35 B37 B39 B51 B53">
    <cfRule type="cellIs" dxfId="1258" priority="3400" operator="greaterThan">
      <formula>E33</formula>
    </cfRule>
  </conditionalFormatting>
  <conditionalFormatting sqref="E30">
    <cfRule type="cellIs" dxfId="1257" priority="3399" operator="greaterThan">
      <formula>B30</formula>
    </cfRule>
  </conditionalFormatting>
  <conditionalFormatting sqref="E31">
    <cfRule type="cellIs" dxfId="1256" priority="3398" operator="greaterThan">
      <formula>B31</formula>
    </cfRule>
  </conditionalFormatting>
  <conditionalFormatting sqref="E32 E34 E36 E50 E52">
    <cfRule type="cellIs" dxfId="1255" priority="3397" operator="greaterThan">
      <formula>B32</formula>
    </cfRule>
  </conditionalFormatting>
  <conditionalFormatting sqref="E33 E35 E37 E39 E51 E53">
    <cfRule type="cellIs" dxfId="1254" priority="3396" operator="greaterThan">
      <formula>B33</formula>
    </cfRule>
  </conditionalFormatting>
  <conditionalFormatting sqref="E38">
    <cfRule type="cellIs" dxfId="1253" priority="3395" operator="greaterThan">
      <formula>H38</formula>
    </cfRule>
  </conditionalFormatting>
  <conditionalFormatting sqref="Y35:Z35">
    <cfRule type="cellIs" dxfId="1252" priority="3384" operator="equal">
      <formula>0</formula>
    </cfRule>
  </conditionalFormatting>
  <conditionalFormatting sqref="Y36:Z36">
    <cfRule type="cellIs" dxfId="1251" priority="3378" operator="equal">
      <formula>0</formula>
    </cfRule>
  </conditionalFormatting>
  <conditionalFormatting sqref="W26">
    <cfRule type="cellIs" dxfId="1250" priority="3354" operator="equal">
      <formula>"STOP"</formula>
    </cfRule>
    <cfRule type="cellIs" dxfId="1249" priority="3355" operator="equal">
      <formula>"TRAILING"</formula>
    </cfRule>
  </conditionalFormatting>
  <conditionalFormatting sqref="W29">
    <cfRule type="cellIs" dxfId="1248" priority="3352" operator="equal">
      <formula>"STOP"</formula>
    </cfRule>
    <cfRule type="cellIs" dxfId="1247" priority="3353" operator="equal">
      <formula>"TRAILING"</formula>
    </cfRule>
  </conditionalFormatting>
  <conditionalFormatting sqref="W28">
    <cfRule type="cellIs" dxfId="1246" priority="3350" operator="equal">
      <formula>"STOP"</formula>
    </cfRule>
    <cfRule type="cellIs" dxfId="1245" priority="3351" operator="equal">
      <formula>"TRAILING"</formula>
    </cfRule>
  </conditionalFormatting>
  <conditionalFormatting sqref="W29">
    <cfRule type="cellIs" dxfId="1244" priority="3311" operator="equal">
      <formula>"STOP"</formula>
    </cfRule>
    <cfRule type="cellIs" dxfId="1243" priority="3312" operator="equal">
      <formula>"TRAILING"</formula>
    </cfRule>
  </conditionalFormatting>
  <conditionalFormatting sqref="W28">
    <cfRule type="cellIs" dxfId="1242" priority="3309" operator="equal">
      <formula>"STOP"</formula>
    </cfRule>
    <cfRule type="cellIs" dxfId="1241" priority="3310" operator="equal">
      <formula>"TRAILING"</formula>
    </cfRule>
  </conditionalFormatting>
  <conditionalFormatting sqref="W30:W31">
    <cfRule type="cellIs" dxfId="1240" priority="3292" operator="equal">
      <formula>0</formula>
    </cfRule>
  </conditionalFormatting>
  <conditionalFormatting sqref="W31">
    <cfRule type="cellIs" dxfId="1239" priority="3290" operator="equal">
      <formula>"STOP"</formula>
    </cfRule>
    <cfRule type="cellIs" dxfId="1238" priority="3291" operator="equal">
      <formula>"TRAILING"</formula>
    </cfRule>
  </conditionalFormatting>
  <conditionalFormatting sqref="W30">
    <cfRule type="cellIs" dxfId="1237" priority="3288" operator="equal">
      <formula>"STOP"</formula>
    </cfRule>
    <cfRule type="cellIs" dxfId="1236" priority="3289" operator="equal">
      <formula>"TRAILING"</formula>
    </cfRule>
  </conditionalFormatting>
  <conditionalFormatting sqref="W31">
    <cfRule type="cellIs" dxfId="1235" priority="3286" operator="equal">
      <formula>"STOP"</formula>
    </cfRule>
    <cfRule type="cellIs" dxfId="1234" priority="3287" operator="equal">
      <formula>"TRAILING"</formula>
    </cfRule>
  </conditionalFormatting>
  <conditionalFormatting sqref="W30">
    <cfRule type="cellIs" dxfId="1233" priority="3284" operator="equal">
      <formula>"STOP"</formula>
    </cfRule>
    <cfRule type="cellIs" dxfId="1232" priority="3285" operator="equal">
      <formula>"TRAILING"</formula>
    </cfRule>
  </conditionalFormatting>
  <conditionalFormatting sqref="W32:W33">
    <cfRule type="cellIs" dxfId="1231" priority="3283" operator="equal">
      <formula>0</formula>
    </cfRule>
  </conditionalFormatting>
  <conditionalFormatting sqref="W33">
    <cfRule type="cellIs" dxfId="1230" priority="3281" operator="equal">
      <formula>"STOP"</formula>
    </cfRule>
    <cfRule type="cellIs" dxfId="1229" priority="3282" operator="equal">
      <formula>"TRAILING"</formula>
    </cfRule>
  </conditionalFormatting>
  <conditionalFormatting sqref="W32">
    <cfRule type="cellIs" dxfId="1228" priority="3279" operator="equal">
      <formula>"STOP"</formula>
    </cfRule>
    <cfRule type="cellIs" dxfId="1227" priority="3280" operator="equal">
      <formula>"TRAILING"</formula>
    </cfRule>
  </conditionalFormatting>
  <conditionalFormatting sqref="W33">
    <cfRule type="cellIs" dxfId="1226" priority="3277" operator="equal">
      <formula>"STOP"</formula>
    </cfRule>
    <cfRule type="cellIs" dxfId="1225" priority="3278" operator="equal">
      <formula>"TRAILING"</formula>
    </cfRule>
  </conditionalFormatting>
  <conditionalFormatting sqref="W32">
    <cfRule type="cellIs" dxfId="1224" priority="3275" operator="equal">
      <formula>"STOP"</formula>
    </cfRule>
    <cfRule type="cellIs" dxfId="1223" priority="3276" operator="equal">
      <formula>"TRAILING"</formula>
    </cfRule>
  </conditionalFormatting>
  <conditionalFormatting sqref="W34:W35">
    <cfRule type="cellIs" dxfId="1222" priority="3274" operator="equal">
      <formula>0</formula>
    </cfRule>
  </conditionalFormatting>
  <conditionalFormatting sqref="W35">
    <cfRule type="cellIs" dxfId="1221" priority="3272" operator="equal">
      <formula>"STOP"</formula>
    </cfRule>
    <cfRule type="cellIs" dxfId="1220" priority="3273" operator="equal">
      <formula>"TRAILING"</formula>
    </cfRule>
  </conditionalFormatting>
  <conditionalFormatting sqref="W34">
    <cfRule type="cellIs" dxfId="1219" priority="3270" operator="equal">
      <formula>"STOP"</formula>
    </cfRule>
    <cfRule type="cellIs" dxfId="1218" priority="3271" operator="equal">
      <formula>"TRAILING"</formula>
    </cfRule>
  </conditionalFormatting>
  <conditionalFormatting sqref="W35">
    <cfRule type="cellIs" dxfId="1217" priority="3268" operator="equal">
      <formula>"STOP"</formula>
    </cfRule>
    <cfRule type="cellIs" dxfId="1216" priority="3269" operator="equal">
      <formula>"TRAILING"</formula>
    </cfRule>
  </conditionalFormatting>
  <conditionalFormatting sqref="W34">
    <cfRule type="cellIs" dxfId="1215" priority="3266" operator="equal">
      <formula>"STOP"</formula>
    </cfRule>
    <cfRule type="cellIs" dxfId="1214" priority="3267" operator="equal">
      <formula>"TRAILING"</formula>
    </cfRule>
  </conditionalFormatting>
  <conditionalFormatting sqref="W36:W37">
    <cfRule type="cellIs" dxfId="1213" priority="3265" operator="equal">
      <formula>0</formula>
    </cfRule>
  </conditionalFormatting>
  <conditionalFormatting sqref="W37">
    <cfRule type="cellIs" dxfId="1212" priority="3263" operator="equal">
      <formula>"STOP"</formula>
    </cfRule>
    <cfRule type="cellIs" dxfId="1211" priority="3264" operator="equal">
      <formula>"TRAILING"</formula>
    </cfRule>
  </conditionalFormatting>
  <conditionalFormatting sqref="W36">
    <cfRule type="cellIs" dxfId="1210" priority="3261" operator="equal">
      <formula>"STOP"</formula>
    </cfRule>
    <cfRule type="cellIs" dxfId="1209" priority="3262" operator="equal">
      <formula>"TRAILING"</formula>
    </cfRule>
  </conditionalFormatting>
  <conditionalFormatting sqref="W37">
    <cfRule type="cellIs" dxfId="1208" priority="3259" operator="equal">
      <formula>"STOP"</formula>
    </cfRule>
    <cfRule type="cellIs" dxfId="1207" priority="3260" operator="equal">
      <formula>"TRAILING"</formula>
    </cfRule>
  </conditionalFormatting>
  <conditionalFormatting sqref="W36">
    <cfRule type="cellIs" dxfId="1206" priority="3257" operator="equal">
      <formula>"STOP"</formula>
    </cfRule>
    <cfRule type="cellIs" dxfId="1205" priority="3258" operator="equal">
      <formula>"TRAILING"</formula>
    </cfRule>
  </conditionalFormatting>
  <conditionalFormatting sqref="W38:W39">
    <cfRule type="cellIs" dxfId="1204" priority="3256" operator="equal">
      <formula>0</formula>
    </cfRule>
  </conditionalFormatting>
  <conditionalFormatting sqref="W39">
    <cfRule type="cellIs" dxfId="1203" priority="3254" operator="equal">
      <formula>"STOP"</formula>
    </cfRule>
    <cfRule type="cellIs" dxfId="1202" priority="3255" operator="equal">
      <formula>"TRAILING"</formula>
    </cfRule>
  </conditionalFormatting>
  <conditionalFormatting sqref="W38">
    <cfRule type="cellIs" dxfId="1201" priority="3252" operator="equal">
      <formula>"STOP"</formula>
    </cfRule>
    <cfRule type="cellIs" dxfId="1200" priority="3253" operator="equal">
      <formula>"TRAILING"</formula>
    </cfRule>
  </conditionalFormatting>
  <conditionalFormatting sqref="W39">
    <cfRule type="cellIs" dxfId="1199" priority="3250" operator="equal">
      <formula>"STOP"</formula>
    </cfRule>
    <cfRule type="cellIs" dxfId="1198" priority="3251" operator="equal">
      <formula>"TRAILING"</formula>
    </cfRule>
  </conditionalFormatting>
  <conditionalFormatting sqref="W38">
    <cfRule type="cellIs" dxfId="1197" priority="3248" operator="equal">
      <formula>"STOP"</formula>
    </cfRule>
    <cfRule type="cellIs" dxfId="1196" priority="3249" operator="equal">
      <formula>"TRAILING"</formula>
    </cfRule>
  </conditionalFormatting>
  <conditionalFormatting sqref="W40:W41">
    <cfRule type="cellIs" dxfId="1195" priority="3247" operator="equal">
      <formula>0</formula>
    </cfRule>
  </conditionalFormatting>
  <conditionalFormatting sqref="W41">
    <cfRule type="cellIs" dxfId="1194" priority="3245" operator="equal">
      <formula>"STOP"</formula>
    </cfRule>
    <cfRule type="cellIs" dxfId="1193" priority="3246" operator="equal">
      <formula>"TRAILING"</formula>
    </cfRule>
  </conditionalFormatting>
  <conditionalFormatting sqref="W40">
    <cfRule type="cellIs" dxfId="1192" priority="3243" operator="equal">
      <formula>"STOP"</formula>
    </cfRule>
    <cfRule type="cellIs" dxfId="1191" priority="3244" operator="equal">
      <formula>"TRAILING"</formula>
    </cfRule>
  </conditionalFormatting>
  <conditionalFormatting sqref="W41">
    <cfRule type="cellIs" dxfId="1190" priority="3241" operator="equal">
      <formula>"STOP"</formula>
    </cfRule>
    <cfRule type="cellIs" dxfId="1189" priority="3242" operator="equal">
      <formula>"TRAILING"</formula>
    </cfRule>
  </conditionalFormatting>
  <conditionalFormatting sqref="W40">
    <cfRule type="cellIs" dxfId="1188" priority="3239" operator="equal">
      <formula>"STOP"</formula>
    </cfRule>
    <cfRule type="cellIs" dxfId="1187" priority="3240" operator="equal">
      <formula>"TRAILING"</formula>
    </cfRule>
  </conditionalFormatting>
  <conditionalFormatting sqref="W42:W43">
    <cfRule type="cellIs" dxfId="1186" priority="3238" operator="equal">
      <formula>0</formula>
    </cfRule>
  </conditionalFormatting>
  <conditionalFormatting sqref="W43">
    <cfRule type="cellIs" dxfId="1185" priority="3236" operator="equal">
      <formula>"STOP"</formula>
    </cfRule>
    <cfRule type="cellIs" dxfId="1184" priority="3237" operator="equal">
      <formula>"TRAILING"</formula>
    </cfRule>
  </conditionalFormatting>
  <conditionalFormatting sqref="W42">
    <cfRule type="cellIs" dxfId="1183" priority="3234" operator="equal">
      <formula>"STOP"</formula>
    </cfRule>
    <cfRule type="cellIs" dxfId="1182" priority="3235" operator="equal">
      <formula>"TRAILING"</formula>
    </cfRule>
  </conditionalFormatting>
  <conditionalFormatting sqref="W43">
    <cfRule type="cellIs" dxfId="1181" priority="3232" operator="equal">
      <formula>"STOP"</formula>
    </cfRule>
    <cfRule type="cellIs" dxfId="1180" priority="3233" operator="equal">
      <formula>"TRAILING"</formula>
    </cfRule>
  </conditionalFormatting>
  <conditionalFormatting sqref="W42">
    <cfRule type="cellIs" dxfId="1179" priority="3230" operator="equal">
      <formula>"STOP"</formula>
    </cfRule>
    <cfRule type="cellIs" dxfId="1178" priority="3231" operator="equal">
      <formula>"TRAILING"</formula>
    </cfRule>
  </conditionalFormatting>
  <conditionalFormatting sqref="X26 X172:X201 X64">
    <cfRule type="expression" dxfId="1177" priority="3064">
      <formula>X26*100&lt;C26</formula>
    </cfRule>
    <cfRule type="cellIs" dxfId="1176" priority="3065" operator="equal">
      <formula>0</formula>
    </cfRule>
  </conditionalFormatting>
  <conditionalFormatting sqref="X27">
    <cfRule type="expression" dxfId="1175" priority="3062">
      <formula>X27*100&lt;C27</formula>
    </cfRule>
    <cfRule type="cellIs" dxfId="1174" priority="3063" operator="equal">
      <formula>0</formula>
    </cfRule>
  </conditionalFormatting>
  <conditionalFormatting sqref="X28">
    <cfRule type="expression" dxfId="1173" priority="3060">
      <formula>X28*100&lt;C28</formula>
    </cfRule>
    <cfRule type="cellIs" dxfId="1172" priority="3061" operator="equal">
      <formula>0</formula>
    </cfRule>
  </conditionalFormatting>
  <conditionalFormatting sqref="X29">
    <cfRule type="expression" dxfId="1171" priority="3058">
      <formula>X29*100&lt;C29</formula>
    </cfRule>
    <cfRule type="cellIs" dxfId="1170" priority="3059" operator="equal">
      <formula>0</formula>
    </cfRule>
  </conditionalFormatting>
  <conditionalFormatting sqref="X65">
    <cfRule type="expression" dxfId="1169" priority="2958">
      <formula>X65*100&lt;C65</formula>
    </cfRule>
    <cfRule type="cellIs" dxfId="1168" priority="2959" operator="equal">
      <formula>0</formula>
    </cfRule>
  </conditionalFormatting>
  <conditionalFormatting sqref="X66">
    <cfRule type="expression" dxfId="1167" priority="2956">
      <formula>X66*100&lt;C66</formula>
    </cfRule>
    <cfRule type="cellIs" dxfId="1166" priority="2957" operator="equal">
      <formula>0</formula>
    </cfRule>
  </conditionalFormatting>
  <conditionalFormatting sqref="X67">
    <cfRule type="expression" dxfId="1165" priority="2954">
      <formula>X67*100&lt;C67</formula>
    </cfRule>
    <cfRule type="cellIs" dxfId="1164" priority="2955" operator="equal">
      <formula>0</formula>
    </cfRule>
  </conditionalFormatting>
  <conditionalFormatting sqref="X68">
    <cfRule type="expression" dxfId="1163" priority="2952">
      <formula>X68*100&lt;C68</formula>
    </cfRule>
    <cfRule type="cellIs" dxfId="1162" priority="2953" operator="equal">
      <formula>0</formula>
    </cfRule>
  </conditionalFormatting>
  <conditionalFormatting sqref="X69">
    <cfRule type="expression" dxfId="1161" priority="2950">
      <formula>X69*100&lt;C69</formula>
    </cfRule>
    <cfRule type="cellIs" dxfId="1160" priority="2951" operator="equal">
      <formula>0</formula>
    </cfRule>
  </conditionalFormatting>
  <conditionalFormatting sqref="X70">
    <cfRule type="expression" dxfId="1159" priority="2948">
      <formula>X70*100&lt;C70</formula>
    </cfRule>
    <cfRule type="cellIs" dxfId="1158" priority="2949" operator="equal">
      <formula>0</formula>
    </cfRule>
  </conditionalFormatting>
  <conditionalFormatting sqref="X71">
    <cfRule type="expression" dxfId="1157" priority="2946">
      <formula>X71*100&lt;C71</formula>
    </cfRule>
    <cfRule type="cellIs" dxfId="1156" priority="2947" operator="equal">
      <formula>0</formula>
    </cfRule>
  </conditionalFormatting>
  <conditionalFormatting sqref="X72">
    <cfRule type="expression" dxfId="1155" priority="2944">
      <formula>X72*100&lt;C72</formula>
    </cfRule>
    <cfRule type="cellIs" dxfId="1154" priority="2945" operator="equal">
      <formula>0</formula>
    </cfRule>
  </conditionalFormatting>
  <conditionalFormatting sqref="X73">
    <cfRule type="expression" dxfId="1153" priority="2942">
      <formula>X73*100&lt;C73</formula>
    </cfRule>
    <cfRule type="cellIs" dxfId="1152" priority="2943" operator="equal">
      <formula>0</formula>
    </cfRule>
  </conditionalFormatting>
  <conditionalFormatting sqref="X74">
    <cfRule type="expression" dxfId="1151" priority="2940">
      <formula>X74*100&lt;C74</formula>
    </cfRule>
    <cfRule type="cellIs" dxfId="1150" priority="2941" operator="equal">
      <formula>0</formula>
    </cfRule>
  </conditionalFormatting>
  <conditionalFormatting sqref="X75">
    <cfRule type="expression" dxfId="1149" priority="2938">
      <formula>X75*100&lt;C75</formula>
    </cfRule>
    <cfRule type="cellIs" dxfId="1148" priority="2939" operator="equal">
      <formula>0</formula>
    </cfRule>
  </conditionalFormatting>
  <conditionalFormatting sqref="X76">
    <cfRule type="expression" dxfId="1147" priority="2936">
      <formula>X76*100&lt;C76</formula>
    </cfRule>
    <cfRule type="cellIs" dxfId="1146" priority="2937" operator="equal">
      <formula>0</formula>
    </cfRule>
  </conditionalFormatting>
  <conditionalFormatting sqref="X77">
    <cfRule type="expression" dxfId="1145" priority="2934">
      <formula>X77*100&lt;C77</formula>
    </cfRule>
    <cfRule type="cellIs" dxfId="1144" priority="2935" operator="equal">
      <formula>0</formula>
    </cfRule>
  </conditionalFormatting>
  <conditionalFormatting sqref="X78">
    <cfRule type="expression" dxfId="1143" priority="2932">
      <formula>X78*100&lt;C78</formula>
    </cfRule>
    <cfRule type="cellIs" dxfId="1142" priority="2933" operator="equal">
      <formula>0</formula>
    </cfRule>
  </conditionalFormatting>
  <conditionalFormatting sqref="X79">
    <cfRule type="expression" dxfId="1141" priority="2930">
      <formula>X79*100&lt;C79</formula>
    </cfRule>
    <cfRule type="cellIs" dxfId="1140" priority="2931" operator="equal">
      <formula>0</formula>
    </cfRule>
  </conditionalFormatting>
  <conditionalFormatting sqref="X80">
    <cfRule type="expression" dxfId="1139" priority="2928">
      <formula>X80*100&lt;C80</formula>
    </cfRule>
    <cfRule type="cellIs" dxfId="1138" priority="2929" operator="equal">
      <formula>0</formula>
    </cfRule>
  </conditionalFormatting>
  <conditionalFormatting sqref="X81">
    <cfRule type="expression" dxfId="1137" priority="2926">
      <formula>X81*100&lt;C81</formula>
    </cfRule>
    <cfRule type="cellIs" dxfId="1136" priority="2927" operator="equal">
      <formula>0</formula>
    </cfRule>
  </conditionalFormatting>
  <conditionalFormatting sqref="X82">
    <cfRule type="expression" dxfId="1135" priority="2924">
      <formula>X82*100&lt;C82</formula>
    </cfRule>
    <cfRule type="cellIs" dxfId="1134" priority="2925" operator="equal">
      <formula>0</formula>
    </cfRule>
  </conditionalFormatting>
  <conditionalFormatting sqref="X83">
    <cfRule type="expression" dxfId="1133" priority="2922">
      <formula>X83*100&lt;C83</formula>
    </cfRule>
    <cfRule type="cellIs" dxfId="1132" priority="2923" operator="equal">
      <formula>0</formula>
    </cfRule>
  </conditionalFormatting>
  <conditionalFormatting sqref="X84">
    <cfRule type="expression" dxfId="1131" priority="2920">
      <formula>X84*100&lt;C84</formula>
    </cfRule>
    <cfRule type="cellIs" dxfId="1130" priority="2921" operator="equal">
      <formula>0</formula>
    </cfRule>
  </conditionalFormatting>
  <conditionalFormatting sqref="X85">
    <cfRule type="expression" dxfId="1129" priority="2918">
      <formula>X85*100&lt;C85</formula>
    </cfRule>
    <cfRule type="cellIs" dxfId="1128" priority="2919" operator="equal">
      <formula>0</formula>
    </cfRule>
  </conditionalFormatting>
  <conditionalFormatting sqref="X86">
    <cfRule type="expression" dxfId="1127" priority="2916">
      <formula>X86*100&lt;C86</formula>
    </cfRule>
    <cfRule type="cellIs" dxfId="1126" priority="2917" operator="equal">
      <formula>0</formula>
    </cfRule>
  </conditionalFormatting>
  <conditionalFormatting sqref="X87">
    <cfRule type="expression" dxfId="1125" priority="2914">
      <formula>X87*100&lt;C87</formula>
    </cfRule>
    <cfRule type="cellIs" dxfId="1124" priority="2915" operator="equal">
      <formula>0</formula>
    </cfRule>
  </conditionalFormatting>
  <conditionalFormatting sqref="X88">
    <cfRule type="expression" dxfId="1123" priority="2912">
      <formula>X88*100&lt;C88</formula>
    </cfRule>
    <cfRule type="cellIs" dxfId="1122" priority="2913" operator="equal">
      <formula>0</formula>
    </cfRule>
  </conditionalFormatting>
  <conditionalFormatting sqref="X89">
    <cfRule type="expression" dxfId="1121" priority="2910">
      <formula>X89*100&lt;C89</formula>
    </cfRule>
    <cfRule type="cellIs" dxfId="1120" priority="2911" operator="equal">
      <formula>0</formula>
    </cfRule>
  </conditionalFormatting>
  <conditionalFormatting sqref="X90">
    <cfRule type="expression" dxfId="1119" priority="2908">
      <formula>X90*100&lt;C90</formula>
    </cfRule>
    <cfRule type="cellIs" dxfId="1118" priority="2909" operator="equal">
      <formula>0</formula>
    </cfRule>
  </conditionalFormatting>
  <conditionalFormatting sqref="X91">
    <cfRule type="expression" dxfId="1117" priority="2906">
      <formula>X91*100&lt;C91</formula>
    </cfRule>
    <cfRule type="cellIs" dxfId="1116" priority="2907" operator="equal">
      <formula>0</formula>
    </cfRule>
  </conditionalFormatting>
  <conditionalFormatting sqref="X92">
    <cfRule type="expression" dxfId="1115" priority="2904">
      <formula>X92*100&lt;C92</formula>
    </cfRule>
    <cfRule type="cellIs" dxfId="1114" priority="2905" operator="equal">
      <formula>0</formula>
    </cfRule>
  </conditionalFormatting>
  <conditionalFormatting sqref="X93">
    <cfRule type="expression" dxfId="1113" priority="2902">
      <formula>X93*100&lt;C93</formula>
    </cfRule>
    <cfRule type="cellIs" dxfId="1112" priority="2903" operator="equal">
      <formula>0</formula>
    </cfRule>
  </conditionalFormatting>
  <conditionalFormatting sqref="X94">
    <cfRule type="expression" dxfId="1111" priority="2900">
      <formula>X94*100&lt;C94</formula>
    </cfRule>
    <cfRule type="cellIs" dxfId="1110" priority="2901" operator="equal">
      <formula>0</formula>
    </cfRule>
  </conditionalFormatting>
  <conditionalFormatting sqref="X95">
    <cfRule type="expression" dxfId="1109" priority="2898">
      <formula>X95*100&lt;C95</formula>
    </cfRule>
    <cfRule type="cellIs" dxfId="1108" priority="2899" operator="equal">
      <formula>0</formula>
    </cfRule>
  </conditionalFormatting>
  <conditionalFormatting sqref="X96">
    <cfRule type="expression" dxfId="1107" priority="2896">
      <formula>X96*100&lt;C96</formula>
    </cfRule>
    <cfRule type="cellIs" dxfId="1106" priority="2897" operator="equal">
      <formula>0</formula>
    </cfRule>
  </conditionalFormatting>
  <conditionalFormatting sqref="X97">
    <cfRule type="expression" dxfId="1105" priority="2894">
      <formula>X97*100&lt;C97</formula>
    </cfRule>
    <cfRule type="cellIs" dxfId="1104" priority="2895" operator="equal">
      <formula>0</formula>
    </cfRule>
  </conditionalFormatting>
  <conditionalFormatting sqref="X98">
    <cfRule type="expression" dxfId="1103" priority="2892">
      <formula>X98*100&lt;C98</formula>
    </cfRule>
    <cfRule type="cellIs" dxfId="1102" priority="2893" operator="equal">
      <formula>0</formula>
    </cfRule>
  </conditionalFormatting>
  <conditionalFormatting sqref="X99">
    <cfRule type="expression" dxfId="1101" priority="2890">
      <formula>X99*100&lt;C99</formula>
    </cfRule>
    <cfRule type="cellIs" dxfId="1100" priority="2891" operator="equal">
      <formula>0</formula>
    </cfRule>
  </conditionalFormatting>
  <conditionalFormatting sqref="X100">
    <cfRule type="expression" dxfId="1099" priority="2888">
      <formula>X100*100&lt;C100</formula>
    </cfRule>
    <cfRule type="cellIs" dxfId="1098" priority="2889" operator="equal">
      <formula>0</formula>
    </cfRule>
  </conditionalFormatting>
  <conditionalFormatting sqref="X101">
    <cfRule type="expression" dxfId="1097" priority="2886">
      <formula>X101*100&lt;C101</formula>
    </cfRule>
    <cfRule type="cellIs" dxfId="1096" priority="2887" operator="equal">
      <formula>0</formula>
    </cfRule>
  </conditionalFormatting>
  <conditionalFormatting sqref="X102">
    <cfRule type="expression" dxfId="1095" priority="2884">
      <formula>X102*100&lt;C102</formula>
    </cfRule>
    <cfRule type="cellIs" dxfId="1094" priority="2885" operator="equal">
      <formula>0</formula>
    </cfRule>
  </conditionalFormatting>
  <conditionalFormatting sqref="X103">
    <cfRule type="expression" dxfId="1093" priority="2882">
      <formula>X103*100&lt;C103</formula>
    </cfRule>
    <cfRule type="cellIs" dxfId="1092" priority="2883" operator="equal">
      <formula>0</formula>
    </cfRule>
  </conditionalFormatting>
  <conditionalFormatting sqref="X104">
    <cfRule type="expression" dxfId="1091" priority="2880">
      <formula>X104*100&lt;C104</formula>
    </cfRule>
    <cfRule type="cellIs" dxfId="1090" priority="2881" operator="equal">
      <formula>0</formula>
    </cfRule>
  </conditionalFormatting>
  <conditionalFormatting sqref="X105">
    <cfRule type="expression" dxfId="1089" priority="2878">
      <formula>X105*100&lt;C105</formula>
    </cfRule>
    <cfRule type="cellIs" dxfId="1088" priority="2879" operator="equal">
      <formula>0</formula>
    </cfRule>
  </conditionalFormatting>
  <conditionalFormatting sqref="X106">
    <cfRule type="expression" dxfId="1087" priority="2876">
      <formula>X106*100&lt;C106</formula>
    </cfRule>
    <cfRule type="cellIs" dxfId="1086" priority="2877" operator="equal">
      <formula>0</formula>
    </cfRule>
  </conditionalFormatting>
  <conditionalFormatting sqref="X107">
    <cfRule type="expression" dxfId="1085" priority="2874">
      <formula>X107*100&lt;C107</formula>
    </cfRule>
    <cfRule type="cellIs" dxfId="1084" priority="2875" operator="equal">
      <formula>0</formula>
    </cfRule>
  </conditionalFormatting>
  <conditionalFormatting sqref="X108">
    <cfRule type="expression" dxfId="1083" priority="2872">
      <formula>X108*100&lt;C108</formula>
    </cfRule>
    <cfRule type="cellIs" dxfId="1082" priority="2873" operator="equal">
      <formula>0</formula>
    </cfRule>
  </conditionalFormatting>
  <conditionalFormatting sqref="X109">
    <cfRule type="expression" dxfId="1081" priority="2870">
      <formula>X109*100&lt;C109</formula>
    </cfRule>
    <cfRule type="cellIs" dxfId="1080" priority="2871" operator="equal">
      <formula>0</formula>
    </cfRule>
  </conditionalFormatting>
  <conditionalFormatting sqref="X110">
    <cfRule type="expression" dxfId="1079" priority="2868">
      <formula>X110*100&lt;C110</formula>
    </cfRule>
    <cfRule type="cellIs" dxfId="1078" priority="2869" operator="equal">
      <formula>0</formula>
    </cfRule>
  </conditionalFormatting>
  <conditionalFormatting sqref="X111">
    <cfRule type="expression" dxfId="1077" priority="2866">
      <formula>X111*100&lt;C111</formula>
    </cfRule>
    <cfRule type="cellIs" dxfId="1076" priority="2867" operator="equal">
      <formula>0</formula>
    </cfRule>
  </conditionalFormatting>
  <conditionalFormatting sqref="X112">
    <cfRule type="expression" dxfId="1075" priority="2864">
      <formula>X112*100&lt;C112</formula>
    </cfRule>
    <cfRule type="cellIs" dxfId="1074" priority="2865" operator="equal">
      <formula>0</formula>
    </cfRule>
  </conditionalFormatting>
  <conditionalFormatting sqref="X113">
    <cfRule type="expression" dxfId="1073" priority="2862">
      <formula>X113*100&lt;C113</formula>
    </cfRule>
    <cfRule type="cellIs" dxfId="1072" priority="2863" operator="equal">
      <formula>0</formula>
    </cfRule>
  </conditionalFormatting>
  <conditionalFormatting sqref="X114">
    <cfRule type="expression" dxfId="1071" priority="2860">
      <formula>X114*100&lt;C114</formula>
    </cfRule>
    <cfRule type="cellIs" dxfId="1070" priority="2861" operator="equal">
      <formula>0</formula>
    </cfRule>
  </conditionalFormatting>
  <conditionalFormatting sqref="X115">
    <cfRule type="expression" dxfId="1069" priority="2858">
      <formula>X115*100&lt;C115</formula>
    </cfRule>
    <cfRule type="cellIs" dxfId="1068" priority="2859" operator="equal">
      <formula>0</formula>
    </cfRule>
  </conditionalFormatting>
  <conditionalFormatting sqref="X116">
    <cfRule type="expression" dxfId="1067" priority="2856">
      <formula>X116*100&lt;C116</formula>
    </cfRule>
    <cfRule type="cellIs" dxfId="1066" priority="2857" operator="equal">
      <formula>0</formula>
    </cfRule>
  </conditionalFormatting>
  <conditionalFormatting sqref="X117">
    <cfRule type="expression" dxfId="1065" priority="2854">
      <formula>X117*100&lt;C117</formula>
    </cfRule>
    <cfRule type="cellIs" dxfId="1064" priority="2855" operator="equal">
      <formula>0</formula>
    </cfRule>
  </conditionalFormatting>
  <conditionalFormatting sqref="X118">
    <cfRule type="expression" dxfId="1063" priority="2852">
      <formula>X118*100&lt;C118</formula>
    </cfRule>
    <cfRule type="cellIs" dxfId="1062" priority="2853" operator="equal">
      <formula>0</formula>
    </cfRule>
  </conditionalFormatting>
  <conditionalFormatting sqref="X119">
    <cfRule type="expression" dxfId="1061" priority="2850">
      <formula>X119*100&lt;C119</formula>
    </cfRule>
    <cfRule type="cellIs" dxfId="1060" priority="2851" operator="equal">
      <formula>0</formula>
    </cfRule>
  </conditionalFormatting>
  <conditionalFormatting sqref="X120">
    <cfRule type="expression" dxfId="1059" priority="2848">
      <formula>X120*100&lt;C120</formula>
    </cfRule>
    <cfRule type="cellIs" dxfId="1058" priority="2849" operator="equal">
      <formula>0</formula>
    </cfRule>
  </conditionalFormatting>
  <conditionalFormatting sqref="X121">
    <cfRule type="expression" dxfId="1057" priority="2846">
      <formula>X121*100&lt;C121</formula>
    </cfRule>
    <cfRule type="cellIs" dxfId="1056" priority="2847" operator="equal">
      <formula>0</formula>
    </cfRule>
  </conditionalFormatting>
  <conditionalFormatting sqref="X122">
    <cfRule type="expression" dxfId="1055" priority="2844">
      <formula>X122*100&lt;C122</formula>
    </cfRule>
    <cfRule type="cellIs" dxfId="1054" priority="2845" operator="equal">
      <formula>0</formula>
    </cfRule>
  </conditionalFormatting>
  <conditionalFormatting sqref="X123">
    <cfRule type="expression" dxfId="1053" priority="2842">
      <formula>X123*100&lt;C123</formula>
    </cfRule>
    <cfRule type="cellIs" dxfId="1052" priority="2843" operator="equal">
      <formula>0</formula>
    </cfRule>
  </conditionalFormatting>
  <conditionalFormatting sqref="X124">
    <cfRule type="expression" dxfId="1051" priority="2840">
      <formula>X124*100&lt;C124</formula>
    </cfRule>
    <cfRule type="cellIs" dxfId="1050" priority="2841" operator="equal">
      <formula>0</formula>
    </cfRule>
  </conditionalFormatting>
  <conditionalFormatting sqref="X125">
    <cfRule type="expression" dxfId="1049" priority="2838">
      <formula>X125*100&lt;C125</formula>
    </cfRule>
    <cfRule type="cellIs" dxfId="1048" priority="2839" operator="equal">
      <formula>0</formula>
    </cfRule>
  </conditionalFormatting>
  <conditionalFormatting sqref="X126">
    <cfRule type="expression" dxfId="1047" priority="2836">
      <formula>X126*100&lt;C126</formula>
    </cfRule>
    <cfRule type="cellIs" dxfId="1046" priority="2837" operator="equal">
      <formula>0</formula>
    </cfRule>
  </conditionalFormatting>
  <conditionalFormatting sqref="X127">
    <cfRule type="expression" dxfId="1045" priority="2834">
      <formula>X127*100&lt;C127</formula>
    </cfRule>
    <cfRule type="cellIs" dxfId="1044" priority="2835" operator="equal">
      <formula>0</formula>
    </cfRule>
  </conditionalFormatting>
  <conditionalFormatting sqref="X128">
    <cfRule type="expression" dxfId="1043" priority="2832">
      <formula>X128*100&lt;C128</formula>
    </cfRule>
    <cfRule type="cellIs" dxfId="1042" priority="2833" operator="equal">
      <formula>0</formula>
    </cfRule>
  </conditionalFormatting>
  <conditionalFormatting sqref="X129">
    <cfRule type="expression" dxfId="1041" priority="2830">
      <formula>X129*100&lt;C129</formula>
    </cfRule>
    <cfRule type="cellIs" dxfId="1040" priority="2831" operator="equal">
      <formula>0</formula>
    </cfRule>
  </conditionalFormatting>
  <conditionalFormatting sqref="X130">
    <cfRule type="expression" dxfId="1039" priority="2828">
      <formula>X130*100&lt;C130</formula>
    </cfRule>
    <cfRule type="cellIs" dxfId="1038" priority="2829" operator="equal">
      <formula>0</formula>
    </cfRule>
  </conditionalFormatting>
  <conditionalFormatting sqref="X131">
    <cfRule type="expression" dxfId="1037" priority="2826">
      <formula>X131*100&lt;C131</formula>
    </cfRule>
    <cfRule type="cellIs" dxfId="1036" priority="2827" operator="equal">
      <formula>0</formula>
    </cfRule>
  </conditionalFormatting>
  <conditionalFormatting sqref="X132">
    <cfRule type="expression" dxfId="1035" priority="2824">
      <formula>X132*100&lt;C132</formula>
    </cfRule>
    <cfRule type="cellIs" dxfId="1034" priority="2825" operator="equal">
      <formula>0</formula>
    </cfRule>
  </conditionalFormatting>
  <conditionalFormatting sqref="X133">
    <cfRule type="expression" dxfId="1033" priority="2822">
      <formula>X133*100&lt;C133</formula>
    </cfRule>
    <cfRule type="cellIs" dxfId="1032" priority="2823" operator="equal">
      <formula>0</formula>
    </cfRule>
  </conditionalFormatting>
  <conditionalFormatting sqref="X134">
    <cfRule type="expression" dxfId="1031" priority="2820">
      <formula>X134*100&lt;C134</formula>
    </cfRule>
    <cfRule type="cellIs" dxfId="1030" priority="2821" operator="equal">
      <formula>0</formula>
    </cfRule>
  </conditionalFormatting>
  <conditionalFormatting sqref="X135">
    <cfRule type="expression" dxfId="1029" priority="2818">
      <formula>X135*100&lt;C135</formula>
    </cfRule>
    <cfRule type="cellIs" dxfId="1028" priority="2819" operator="equal">
      <formula>0</formula>
    </cfRule>
  </conditionalFormatting>
  <conditionalFormatting sqref="X136">
    <cfRule type="expression" dxfId="1027" priority="2816">
      <formula>X136*100&lt;C136</formula>
    </cfRule>
    <cfRule type="cellIs" dxfId="1026" priority="2817" operator="equal">
      <formula>0</formula>
    </cfRule>
  </conditionalFormatting>
  <conditionalFormatting sqref="X137">
    <cfRule type="expression" dxfId="1025" priority="2814">
      <formula>X137*100&lt;C137</formula>
    </cfRule>
    <cfRule type="cellIs" dxfId="1024" priority="2815" operator="equal">
      <formula>0</formula>
    </cfRule>
  </conditionalFormatting>
  <conditionalFormatting sqref="X138">
    <cfRule type="expression" dxfId="1023" priority="2812">
      <formula>X138*100&lt;C138</formula>
    </cfRule>
    <cfRule type="cellIs" dxfId="1022" priority="2813" operator="equal">
      <formula>0</formula>
    </cfRule>
  </conditionalFormatting>
  <conditionalFormatting sqref="X139">
    <cfRule type="expression" dxfId="1021" priority="2810">
      <formula>X139*100&lt;C139</formula>
    </cfRule>
    <cfRule type="cellIs" dxfId="1020" priority="2811" operator="equal">
      <formula>0</formula>
    </cfRule>
  </conditionalFormatting>
  <conditionalFormatting sqref="X140">
    <cfRule type="expression" dxfId="1019" priority="2808">
      <formula>X140*100&lt;C140</formula>
    </cfRule>
    <cfRule type="cellIs" dxfId="1018" priority="2809" operator="equal">
      <formula>0</formula>
    </cfRule>
  </conditionalFormatting>
  <conditionalFormatting sqref="X141">
    <cfRule type="expression" dxfId="1017" priority="2806">
      <formula>X141*100&lt;C141</formula>
    </cfRule>
    <cfRule type="cellIs" dxfId="1016" priority="2807" operator="equal">
      <formula>0</formula>
    </cfRule>
  </conditionalFormatting>
  <conditionalFormatting sqref="X142">
    <cfRule type="expression" dxfId="1015" priority="2804">
      <formula>X142*100&lt;C142</formula>
    </cfRule>
    <cfRule type="cellIs" dxfId="1014" priority="2805" operator="equal">
      <formula>0</formula>
    </cfRule>
  </conditionalFormatting>
  <conditionalFormatting sqref="X143">
    <cfRule type="expression" dxfId="1013" priority="2802">
      <formula>X143*100&lt;C143</formula>
    </cfRule>
    <cfRule type="cellIs" dxfId="1012" priority="2803" operator="equal">
      <formula>0</formula>
    </cfRule>
  </conditionalFormatting>
  <conditionalFormatting sqref="X144">
    <cfRule type="expression" dxfId="1011" priority="2800">
      <formula>X144*100&lt;C144</formula>
    </cfRule>
    <cfRule type="cellIs" dxfId="1010" priority="2801" operator="equal">
      <formula>0</formula>
    </cfRule>
  </conditionalFormatting>
  <conditionalFormatting sqref="X145">
    <cfRule type="expression" dxfId="1009" priority="2798">
      <formula>X145*100&lt;C145</formula>
    </cfRule>
    <cfRule type="cellIs" dxfId="1008" priority="2799" operator="equal">
      <formula>0</formula>
    </cfRule>
  </conditionalFormatting>
  <conditionalFormatting sqref="X146">
    <cfRule type="expression" dxfId="1007" priority="2796">
      <formula>X146*100&lt;C146</formula>
    </cfRule>
    <cfRule type="cellIs" dxfId="1006" priority="2797" operator="equal">
      <formula>0</formula>
    </cfRule>
  </conditionalFormatting>
  <conditionalFormatting sqref="X147">
    <cfRule type="expression" dxfId="1005" priority="2794">
      <formula>X147*100&lt;C147</formula>
    </cfRule>
    <cfRule type="cellIs" dxfId="1004" priority="2795" operator="equal">
      <formula>0</formula>
    </cfRule>
  </conditionalFormatting>
  <conditionalFormatting sqref="X148">
    <cfRule type="expression" dxfId="1003" priority="2792">
      <formula>X148*100&lt;C148</formula>
    </cfRule>
    <cfRule type="cellIs" dxfId="1002" priority="2793" operator="equal">
      <formula>0</formula>
    </cfRule>
  </conditionalFormatting>
  <conditionalFormatting sqref="X149">
    <cfRule type="expression" dxfId="1001" priority="2790">
      <formula>X149*100&lt;C149</formula>
    </cfRule>
    <cfRule type="cellIs" dxfId="1000" priority="2791" operator="equal">
      <formula>0</formula>
    </cfRule>
  </conditionalFormatting>
  <conditionalFormatting sqref="X150">
    <cfRule type="expression" dxfId="999" priority="2788">
      <formula>X150*100&lt;C150</formula>
    </cfRule>
    <cfRule type="cellIs" dxfId="998" priority="2789" operator="equal">
      <formula>0</formula>
    </cfRule>
  </conditionalFormatting>
  <conditionalFormatting sqref="X151">
    <cfRule type="expression" dxfId="997" priority="2786">
      <formula>X151*100&lt;C151</formula>
    </cfRule>
    <cfRule type="cellIs" dxfId="996" priority="2787" operator="equal">
      <formula>0</formula>
    </cfRule>
  </conditionalFormatting>
  <conditionalFormatting sqref="X152">
    <cfRule type="expression" dxfId="995" priority="2784">
      <formula>X152*100&lt;C152</formula>
    </cfRule>
    <cfRule type="cellIs" dxfId="994" priority="2785" operator="equal">
      <formula>0</formula>
    </cfRule>
  </conditionalFormatting>
  <conditionalFormatting sqref="X153">
    <cfRule type="expression" dxfId="993" priority="2782">
      <formula>X153*100&lt;C153</formula>
    </cfRule>
    <cfRule type="cellIs" dxfId="992" priority="2783" operator="equal">
      <formula>0</formula>
    </cfRule>
  </conditionalFormatting>
  <conditionalFormatting sqref="X154">
    <cfRule type="expression" dxfId="991" priority="2780">
      <formula>X154*100&lt;C154</formula>
    </cfRule>
    <cfRule type="cellIs" dxfId="990" priority="2781" operator="equal">
      <formula>0</formula>
    </cfRule>
  </conditionalFormatting>
  <conditionalFormatting sqref="X155">
    <cfRule type="expression" dxfId="989" priority="2778">
      <formula>X155*100&lt;C155</formula>
    </cfRule>
    <cfRule type="cellIs" dxfId="988" priority="2779" operator="equal">
      <formula>0</formula>
    </cfRule>
  </conditionalFormatting>
  <conditionalFormatting sqref="X156">
    <cfRule type="expression" dxfId="987" priority="2776">
      <formula>X156*100&lt;C156</formula>
    </cfRule>
    <cfRule type="cellIs" dxfId="986" priority="2777" operator="equal">
      <formula>0</formula>
    </cfRule>
  </conditionalFormatting>
  <conditionalFormatting sqref="X157">
    <cfRule type="expression" dxfId="985" priority="2774">
      <formula>X157*100&lt;C157</formula>
    </cfRule>
    <cfRule type="cellIs" dxfId="984" priority="2775" operator="equal">
      <formula>0</formula>
    </cfRule>
  </conditionalFormatting>
  <conditionalFormatting sqref="X158">
    <cfRule type="expression" dxfId="983" priority="2772">
      <formula>X158*100&lt;C158</formula>
    </cfRule>
    <cfRule type="cellIs" dxfId="982" priority="2773" operator="equal">
      <formula>0</formula>
    </cfRule>
  </conditionalFormatting>
  <conditionalFormatting sqref="X159">
    <cfRule type="expression" dxfId="981" priority="2770">
      <formula>X159*100&lt;C159</formula>
    </cfRule>
    <cfRule type="cellIs" dxfId="980" priority="2771" operator="equal">
      <formula>0</formula>
    </cfRule>
  </conditionalFormatting>
  <conditionalFormatting sqref="X160">
    <cfRule type="expression" dxfId="979" priority="2768">
      <formula>X160*100&lt;C160</formula>
    </cfRule>
    <cfRule type="cellIs" dxfId="978" priority="2769" operator="equal">
      <formula>0</formula>
    </cfRule>
  </conditionalFormatting>
  <conditionalFormatting sqref="X161">
    <cfRule type="expression" dxfId="977" priority="2766">
      <formula>X161*100&lt;C161</formula>
    </cfRule>
    <cfRule type="cellIs" dxfId="976" priority="2767" operator="equal">
      <formula>0</formula>
    </cfRule>
  </conditionalFormatting>
  <conditionalFormatting sqref="X162">
    <cfRule type="expression" dxfId="975" priority="2764">
      <formula>X162*100&lt;C162</formula>
    </cfRule>
    <cfRule type="cellIs" dxfId="974" priority="2765" operator="equal">
      <formula>0</formula>
    </cfRule>
  </conditionalFormatting>
  <conditionalFormatting sqref="X163">
    <cfRule type="expression" dxfId="973" priority="2762">
      <formula>X163*100&lt;C163</formula>
    </cfRule>
    <cfRule type="cellIs" dxfId="972" priority="2763" operator="equal">
      <formula>0</formula>
    </cfRule>
  </conditionalFormatting>
  <conditionalFormatting sqref="X164">
    <cfRule type="expression" dxfId="971" priority="2760">
      <formula>X164*100&lt;C164</formula>
    </cfRule>
    <cfRule type="cellIs" dxfId="970" priority="2761" operator="equal">
      <formula>0</formula>
    </cfRule>
  </conditionalFormatting>
  <conditionalFormatting sqref="X165">
    <cfRule type="expression" dxfId="969" priority="2758">
      <formula>X165*100&lt;C165</formula>
    </cfRule>
    <cfRule type="cellIs" dxfId="968" priority="2759" operator="equal">
      <formula>0</formula>
    </cfRule>
  </conditionalFormatting>
  <conditionalFormatting sqref="X166">
    <cfRule type="expression" dxfId="967" priority="2756">
      <formula>X166*100&lt;C166</formula>
    </cfRule>
    <cfRule type="cellIs" dxfId="966" priority="2757" operator="equal">
      <formula>0</formula>
    </cfRule>
  </conditionalFormatting>
  <conditionalFormatting sqref="X167">
    <cfRule type="expression" dxfId="965" priority="2754">
      <formula>X167*100&lt;C167</formula>
    </cfRule>
    <cfRule type="cellIs" dxfId="964" priority="2755" operator="equal">
      <formula>0</formula>
    </cfRule>
  </conditionalFormatting>
  <conditionalFormatting sqref="X168">
    <cfRule type="expression" dxfId="963" priority="2752">
      <formula>X168*100&lt;C168</formula>
    </cfRule>
    <cfRule type="cellIs" dxfId="962" priority="2753" operator="equal">
      <formula>0</formula>
    </cfRule>
  </conditionalFormatting>
  <conditionalFormatting sqref="X169">
    <cfRule type="expression" dxfId="961" priority="2750">
      <formula>X169*100&lt;C169</formula>
    </cfRule>
    <cfRule type="cellIs" dxfId="960" priority="2751" operator="equal">
      <formula>0</formula>
    </cfRule>
  </conditionalFormatting>
  <conditionalFormatting sqref="X170">
    <cfRule type="expression" dxfId="959" priority="2748">
      <formula>X170*100&lt;C170</formula>
    </cfRule>
    <cfRule type="cellIs" dxfId="958" priority="2749" operator="equal">
      <formula>0</formula>
    </cfRule>
  </conditionalFormatting>
  <conditionalFormatting sqref="X171">
    <cfRule type="expression" dxfId="957" priority="2746">
      <formula>X171*100&lt;C171</formula>
    </cfRule>
    <cfRule type="cellIs" dxfId="956" priority="2747" operator="equal">
      <formula>0</formula>
    </cfRule>
  </conditionalFormatting>
  <conditionalFormatting sqref="W2:W3">
    <cfRule type="cellIs" dxfId="955" priority="2745" operator="equal">
      <formula>0</formula>
    </cfRule>
  </conditionalFormatting>
  <conditionalFormatting sqref="W3">
    <cfRule type="cellIs" dxfId="954" priority="2743" operator="equal">
      <formula>"STOP"</formula>
    </cfRule>
    <cfRule type="cellIs" dxfId="953" priority="2744" operator="equal">
      <formula>"TRAILING"</formula>
    </cfRule>
  </conditionalFormatting>
  <conditionalFormatting sqref="W2">
    <cfRule type="cellIs" dxfId="952" priority="2741" operator="equal">
      <formula>"STOP"</formula>
    </cfRule>
    <cfRule type="cellIs" dxfId="951" priority="2742" operator="equal">
      <formula>"TRAILING"</formula>
    </cfRule>
  </conditionalFormatting>
  <conditionalFormatting sqref="X2">
    <cfRule type="expression" dxfId="950" priority="2739">
      <formula>X2*100&gt;C2</formula>
    </cfRule>
    <cfRule type="cellIs" dxfId="949" priority="2740" operator="equal">
      <formula>0</formula>
    </cfRule>
  </conditionalFormatting>
  <conditionalFormatting sqref="X3">
    <cfRule type="expression" dxfId="948" priority="2737">
      <formula>X3*100&gt;C3</formula>
    </cfRule>
    <cfRule type="cellIs" dxfId="947" priority="2738" operator="equal">
      <formula>0</formula>
    </cfRule>
  </conditionalFormatting>
  <conditionalFormatting sqref="W4:W5">
    <cfRule type="cellIs" dxfId="946" priority="2736" operator="equal">
      <formula>0</formula>
    </cfRule>
  </conditionalFormatting>
  <conditionalFormatting sqref="W5">
    <cfRule type="cellIs" dxfId="945" priority="2734" operator="equal">
      <formula>"STOP"</formula>
    </cfRule>
    <cfRule type="cellIs" dxfId="944" priority="2735" operator="equal">
      <formula>"TRAILING"</formula>
    </cfRule>
  </conditionalFormatting>
  <conditionalFormatting sqref="W4">
    <cfRule type="cellIs" dxfId="943" priority="2732" operator="equal">
      <formula>"STOP"</formula>
    </cfRule>
    <cfRule type="cellIs" dxfId="942" priority="2733" operator="equal">
      <formula>"TRAILING"</formula>
    </cfRule>
  </conditionalFormatting>
  <conditionalFormatting sqref="X4">
    <cfRule type="expression" dxfId="941" priority="2730">
      <formula>X4*100&gt;C4</formula>
    </cfRule>
    <cfRule type="cellIs" dxfId="940" priority="2731" operator="equal">
      <formula>0</formula>
    </cfRule>
  </conditionalFormatting>
  <conditionalFormatting sqref="X5">
    <cfRule type="expression" dxfId="939" priority="2728">
      <formula>X5*100&gt;C5</formula>
    </cfRule>
    <cfRule type="cellIs" dxfId="938" priority="2729" operator="equal">
      <formula>0</formula>
    </cfRule>
  </conditionalFormatting>
  <conditionalFormatting sqref="W6:W7">
    <cfRule type="cellIs" dxfId="937" priority="2727" operator="equal">
      <formula>0</formula>
    </cfRule>
  </conditionalFormatting>
  <conditionalFormatting sqref="W7">
    <cfRule type="cellIs" dxfId="936" priority="2725" operator="equal">
      <formula>"STOP"</formula>
    </cfRule>
    <cfRule type="cellIs" dxfId="935" priority="2726" operator="equal">
      <formula>"TRAILING"</formula>
    </cfRule>
  </conditionalFormatting>
  <conditionalFormatting sqref="W6">
    <cfRule type="cellIs" dxfId="934" priority="2723" operator="equal">
      <formula>"STOP"</formula>
    </cfRule>
    <cfRule type="cellIs" dxfId="933" priority="2724" operator="equal">
      <formula>"TRAILING"</formula>
    </cfRule>
  </conditionalFormatting>
  <conditionalFormatting sqref="X6">
    <cfRule type="expression" dxfId="932" priority="2721">
      <formula>X6*100&gt;C6</formula>
    </cfRule>
    <cfRule type="cellIs" dxfId="931" priority="2722" operator="equal">
      <formula>0</formula>
    </cfRule>
  </conditionalFormatting>
  <conditionalFormatting sqref="X7">
    <cfRule type="expression" dxfId="930" priority="2719">
      <formula>X7*100&gt;C7</formula>
    </cfRule>
    <cfRule type="cellIs" dxfId="929" priority="2720" operator="equal">
      <formula>0</formula>
    </cfRule>
  </conditionalFormatting>
  <conditionalFormatting sqref="W8:W9">
    <cfRule type="cellIs" dxfId="928" priority="2718" operator="equal">
      <formula>0</formula>
    </cfRule>
  </conditionalFormatting>
  <conditionalFormatting sqref="W9">
    <cfRule type="cellIs" dxfId="927" priority="2716" operator="equal">
      <formula>"STOP"</formula>
    </cfRule>
    <cfRule type="cellIs" dxfId="926" priority="2717" operator="equal">
      <formula>"TRAILING"</formula>
    </cfRule>
  </conditionalFormatting>
  <conditionalFormatting sqref="W8">
    <cfRule type="cellIs" dxfId="925" priority="2714" operator="equal">
      <formula>"STOP"</formula>
    </cfRule>
    <cfRule type="cellIs" dxfId="924" priority="2715" operator="equal">
      <formula>"TRAILING"</formula>
    </cfRule>
  </conditionalFormatting>
  <conditionalFormatting sqref="X8">
    <cfRule type="expression" dxfId="923" priority="2712">
      <formula>X8*100&gt;C8</formula>
    </cfRule>
    <cfRule type="cellIs" dxfId="922" priority="2713" operator="equal">
      <formula>0</formula>
    </cfRule>
  </conditionalFormatting>
  <conditionalFormatting sqref="X9">
    <cfRule type="expression" dxfId="921" priority="2710">
      <formula>X9*100&gt;C9</formula>
    </cfRule>
    <cfRule type="cellIs" dxfId="920" priority="2711" operator="equal">
      <formula>0</formula>
    </cfRule>
  </conditionalFormatting>
  <conditionalFormatting sqref="W10:W11">
    <cfRule type="cellIs" dxfId="919" priority="2709" operator="equal">
      <formula>0</formula>
    </cfRule>
  </conditionalFormatting>
  <conditionalFormatting sqref="W11">
    <cfRule type="cellIs" dxfId="918" priority="2707" operator="equal">
      <formula>"STOP"</formula>
    </cfRule>
    <cfRule type="cellIs" dxfId="917" priority="2708" operator="equal">
      <formula>"TRAILING"</formula>
    </cfRule>
  </conditionalFormatting>
  <conditionalFormatting sqref="W10">
    <cfRule type="cellIs" dxfId="916" priority="2705" operator="equal">
      <formula>"STOP"</formula>
    </cfRule>
    <cfRule type="cellIs" dxfId="915" priority="2706" operator="equal">
      <formula>"TRAILING"</formula>
    </cfRule>
  </conditionalFormatting>
  <conditionalFormatting sqref="W12:W13">
    <cfRule type="cellIs" dxfId="914" priority="2700" operator="equal">
      <formula>0</formula>
    </cfRule>
  </conditionalFormatting>
  <conditionalFormatting sqref="W13">
    <cfRule type="cellIs" dxfId="913" priority="2698" operator="equal">
      <formula>"STOP"</formula>
    </cfRule>
    <cfRule type="cellIs" dxfId="912" priority="2699" operator="equal">
      <formula>"TRAILING"</formula>
    </cfRule>
  </conditionalFormatting>
  <conditionalFormatting sqref="W12">
    <cfRule type="cellIs" dxfId="911" priority="2696" operator="equal">
      <formula>"STOP"</formula>
    </cfRule>
    <cfRule type="cellIs" dxfId="910" priority="2697" operator="equal">
      <formula>"TRAILING"</formula>
    </cfRule>
  </conditionalFormatting>
  <conditionalFormatting sqref="W14:W15 W18:W19 W22:W23">
    <cfRule type="cellIs" dxfId="909" priority="2691" operator="equal">
      <formula>0</formula>
    </cfRule>
  </conditionalFormatting>
  <conditionalFormatting sqref="W15 W19 W23">
    <cfRule type="cellIs" dxfId="908" priority="2689" operator="equal">
      <formula>"STOP"</formula>
    </cfRule>
    <cfRule type="cellIs" dxfId="907" priority="2690" operator="equal">
      <formula>"TRAILING"</formula>
    </cfRule>
  </conditionalFormatting>
  <conditionalFormatting sqref="W14 W18 W22">
    <cfRule type="cellIs" dxfId="906" priority="2687" operator="equal">
      <formula>"STOP"</formula>
    </cfRule>
    <cfRule type="cellIs" dxfId="905" priority="2688" operator="equal">
      <formula>"TRAILING"</formula>
    </cfRule>
  </conditionalFormatting>
  <conditionalFormatting sqref="W16:W17 W20:W21 W24:W25">
    <cfRule type="cellIs" dxfId="904" priority="2682" operator="equal">
      <formula>0</formula>
    </cfRule>
  </conditionalFormatting>
  <conditionalFormatting sqref="W17 W21 W25">
    <cfRule type="cellIs" dxfId="903" priority="2680" operator="equal">
      <formula>"STOP"</formula>
    </cfRule>
    <cfRule type="cellIs" dxfId="902" priority="2681" operator="equal">
      <formula>"TRAILING"</formula>
    </cfRule>
  </conditionalFormatting>
  <conditionalFormatting sqref="W16 W20 W24">
    <cfRule type="cellIs" dxfId="901" priority="2678" operator="equal">
      <formula>"STOP"</formula>
    </cfRule>
    <cfRule type="cellIs" dxfId="900" priority="2679" operator="equal">
      <formula>"TRAILING"</formula>
    </cfRule>
  </conditionalFormatting>
  <conditionalFormatting sqref="Y64">
    <cfRule type="cellIs" dxfId="899" priority="1456" operator="lessThanOrEqual">
      <formula>0</formula>
    </cfRule>
    <cfRule type="expression" dxfId="898" priority="2479">
      <formula>(C65)-(D64)&gt;(C65/100)*(1+$AD$1*$AE$1)</formula>
    </cfRule>
  </conditionalFormatting>
  <conditionalFormatting sqref="Y65">
    <cfRule type="cellIs" dxfId="897" priority="2480" operator="equal">
      <formula>0</formula>
    </cfRule>
  </conditionalFormatting>
  <conditionalFormatting sqref="Y60">
    <cfRule type="expression" dxfId="896" priority="2476">
      <formula>(C61)-(D60)&gt;(C61/100)*(1+$AD$1*$AE$1)</formula>
    </cfRule>
    <cfRule type="cellIs" dxfId="895" priority="2478" operator="lessThanOrEqual">
      <formula>0</formula>
    </cfRule>
  </conditionalFormatting>
  <conditionalFormatting sqref="Y61">
    <cfRule type="cellIs" dxfId="894" priority="2477" operator="equal">
      <formula>0</formula>
    </cfRule>
  </conditionalFormatting>
  <conditionalFormatting sqref="U1">
    <cfRule type="cellIs" dxfId="893" priority="2390" operator="notEqual">
      <formula>0</formula>
    </cfRule>
  </conditionalFormatting>
  <conditionalFormatting sqref="V1">
    <cfRule type="cellIs" dxfId="892" priority="2389" operator="notEqual">
      <formula>0</formula>
    </cfRule>
  </conditionalFormatting>
  <conditionalFormatting sqref="S1">
    <cfRule type="cellIs" dxfId="891" priority="2366" operator="equal">
      <formula>"STOP"</formula>
    </cfRule>
  </conditionalFormatting>
  <conditionalFormatting sqref="R1">
    <cfRule type="cellIs" dxfId="890" priority="2365" operator="equal">
      <formula>"TRAIL"</formula>
    </cfRule>
  </conditionalFormatting>
  <conditionalFormatting sqref="Q1">
    <cfRule type="cellIs" dxfId="889" priority="410" operator="equal">
      <formula>"REC"</formula>
    </cfRule>
    <cfRule type="cellIs" dxfId="888" priority="2364" operator="equal">
      <formula>"PRC"</formula>
    </cfRule>
  </conditionalFormatting>
  <conditionalFormatting sqref="Z26">
    <cfRule type="cellIs" dxfId="887" priority="2356" operator="equal">
      <formula>0</formula>
    </cfRule>
  </conditionalFormatting>
  <conditionalFormatting sqref="Z26">
    <cfRule type="cellIs" dxfId="886" priority="2355" operator="greaterThan">
      <formula>0</formula>
    </cfRule>
  </conditionalFormatting>
  <conditionalFormatting sqref="Z27">
    <cfRule type="cellIs" dxfId="885" priority="2354" operator="equal">
      <formula>0</formula>
    </cfRule>
  </conditionalFormatting>
  <conditionalFormatting sqref="Z27">
    <cfRule type="cellIs" dxfId="884" priority="2353" operator="greaterThan">
      <formula>0</formula>
    </cfRule>
  </conditionalFormatting>
  <conditionalFormatting sqref="Z28">
    <cfRule type="cellIs" dxfId="883" priority="2352" operator="equal">
      <formula>0</formula>
    </cfRule>
  </conditionalFormatting>
  <conditionalFormatting sqref="Z28">
    <cfRule type="cellIs" dxfId="882" priority="2351" operator="greaterThan">
      <formula>0</formula>
    </cfRule>
  </conditionalFormatting>
  <conditionalFormatting sqref="Z29">
    <cfRule type="cellIs" dxfId="881" priority="2350" operator="equal">
      <formula>0</formula>
    </cfRule>
  </conditionalFormatting>
  <conditionalFormatting sqref="Z29">
    <cfRule type="cellIs" dxfId="880" priority="2349" operator="greaterThan">
      <formula>0</formula>
    </cfRule>
  </conditionalFormatting>
  <conditionalFormatting sqref="A30">
    <cfRule type="expression" dxfId="879" priority="2345">
      <formula>X30&lt;&gt;0</formula>
    </cfRule>
  </conditionalFormatting>
  <conditionalFormatting sqref="A31">
    <cfRule type="expression" dxfId="878" priority="2311">
      <formula>X31&lt;&gt;0</formula>
    </cfRule>
  </conditionalFormatting>
  <conditionalFormatting sqref="A32">
    <cfRule type="expression" dxfId="877" priority="2309">
      <formula>X32&lt;&gt;0</formula>
    </cfRule>
  </conditionalFormatting>
  <conditionalFormatting sqref="A33">
    <cfRule type="expression" dxfId="876" priority="2307">
      <formula>X33&lt;&gt;0</formula>
    </cfRule>
  </conditionalFormatting>
  <conditionalFormatting sqref="A34">
    <cfRule type="expression" dxfId="875" priority="2305">
      <formula>X34&lt;&gt;0</formula>
    </cfRule>
  </conditionalFormatting>
  <conditionalFormatting sqref="A35">
    <cfRule type="expression" dxfId="874" priority="2303">
      <formula>X35&lt;&gt;0</formula>
    </cfRule>
  </conditionalFormatting>
  <conditionalFormatting sqref="A36">
    <cfRule type="expression" dxfId="873" priority="2301">
      <formula>X36&lt;&gt;0</formula>
    </cfRule>
  </conditionalFormatting>
  <conditionalFormatting sqref="A37">
    <cfRule type="expression" dxfId="872" priority="2299">
      <formula>X37&lt;&gt;0</formula>
    </cfRule>
  </conditionalFormatting>
  <conditionalFormatting sqref="A38">
    <cfRule type="expression" dxfId="871" priority="2297">
      <formula>X38&lt;&gt;0</formula>
    </cfRule>
  </conditionalFormatting>
  <conditionalFormatting sqref="A39">
    <cfRule type="expression" dxfId="870" priority="2295">
      <formula>X39&lt;&gt;0</formula>
    </cfRule>
  </conditionalFormatting>
  <conditionalFormatting sqref="A50">
    <cfRule type="expression" dxfId="869" priority="2293">
      <formula>X40&lt;&gt;0</formula>
    </cfRule>
  </conditionalFormatting>
  <conditionalFormatting sqref="A51">
    <cfRule type="expression" dxfId="868" priority="2291">
      <formula>X41&lt;&gt;0</formula>
    </cfRule>
  </conditionalFormatting>
  <conditionalFormatting sqref="A52">
    <cfRule type="expression" dxfId="867" priority="2289">
      <formula>X42&lt;&gt;0</formula>
    </cfRule>
  </conditionalFormatting>
  <conditionalFormatting sqref="A53">
    <cfRule type="expression" dxfId="866" priority="2287">
      <formula>X43&lt;&gt;0</formula>
    </cfRule>
  </conditionalFormatting>
  <conditionalFormatting sqref="A55">
    <cfRule type="expression" dxfId="865" priority="1992">
      <formula>X45&lt;&gt;0</formula>
    </cfRule>
  </conditionalFormatting>
  <conditionalFormatting sqref="A56">
    <cfRule type="expression" dxfId="864" priority="1991">
      <formula>X46&lt;&gt;0</formula>
    </cfRule>
  </conditionalFormatting>
  <conditionalFormatting sqref="A57">
    <cfRule type="expression" dxfId="863" priority="1990">
      <formula>X47&lt;&gt;0</formula>
    </cfRule>
  </conditionalFormatting>
  <conditionalFormatting sqref="A58">
    <cfRule type="expression" dxfId="862" priority="1989">
      <formula>X48&lt;&gt;0</formula>
    </cfRule>
  </conditionalFormatting>
  <conditionalFormatting sqref="A59">
    <cfRule type="expression" dxfId="861" priority="1988">
      <formula>X49&lt;&gt;0</formula>
    </cfRule>
  </conditionalFormatting>
  <conditionalFormatting sqref="A40">
    <cfRule type="expression" dxfId="860" priority="1987">
      <formula>X50&lt;&gt;0</formula>
    </cfRule>
  </conditionalFormatting>
  <conditionalFormatting sqref="A41">
    <cfRule type="expression" dxfId="859" priority="1986">
      <formula>X51&lt;&gt;0</formula>
    </cfRule>
  </conditionalFormatting>
  <conditionalFormatting sqref="A42">
    <cfRule type="expression" dxfId="858" priority="1985">
      <formula>X52&lt;&gt;0</formula>
    </cfRule>
  </conditionalFormatting>
  <conditionalFormatting sqref="A43">
    <cfRule type="expression" dxfId="857" priority="1984">
      <formula>X53&lt;&gt;0</formula>
    </cfRule>
  </conditionalFormatting>
  <conditionalFormatting sqref="A44">
    <cfRule type="expression" dxfId="856" priority="1983">
      <formula>X54&lt;&gt;0</formula>
    </cfRule>
  </conditionalFormatting>
  <conditionalFormatting sqref="A45">
    <cfRule type="expression" dxfId="855" priority="1982">
      <formula>X55&lt;&gt;0</formula>
    </cfRule>
  </conditionalFormatting>
  <conditionalFormatting sqref="A46">
    <cfRule type="expression" dxfId="854" priority="1981">
      <formula>X56&lt;&gt;0</formula>
    </cfRule>
  </conditionalFormatting>
  <conditionalFormatting sqref="A47">
    <cfRule type="expression" dxfId="853" priority="1980">
      <formula>X57&lt;&gt;0</formula>
    </cfRule>
  </conditionalFormatting>
  <conditionalFormatting sqref="A48">
    <cfRule type="expression" dxfId="852" priority="1979">
      <formula>X58&lt;&gt;0</formula>
    </cfRule>
  </conditionalFormatting>
  <conditionalFormatting sqref="A49">
    <cfRule type="expression" dxfId="851" priority="1978">
      <formula>X59&lt;&gt;0</formula>
    </cfRule>
  </conditionalFormatting>
  <conditionalFormatting sqref="B26 B64:B65 E64:E65">
    <cfRule type="expression" dxfId="850" priority="1882">
      <formula>IF($V26&lt;&gt;0,AND(MID($A26,5,1)=" "))</formula>
    </cfRule>
    <cfRule type="expression" dxfId="849" priority="1883">
      <formula>IF($V26&lt;&gt;0,AND(MID($A26,5,1)="C"))</formula>
    </cfRule>
    <cfRule type="expression" dxfId="848" priority="1884">
      <formula>IF($V26&lt;&gt;0,AND(MID($A26,5,1)="D"))</formula>
    </cfRule>
  </conditionalFormatting>
  <conditionalFormatting sqref="F26">
    <cfRule type="expression" dxfId="847" priority="1873">
      <formula>IF($V26&lt;&gt;0,AND(MID($A26,5,1)=" "))</formula>
    </cfRule>
    <cfRule type="expression" dxfId="846" priority="1874">
      <formula>IF($V26&lt;&gt;0,AND(MID($A26,5,1)="C"))</formula>
    </cfRule>
    <cfRule type="expression" dxfId="845" priority="1875">
      <formula>IF($V26&lt;&gt;0,AND(MID($A26,5,1)="D"))</formula>
    </cfRule>
  </conditionalFormatting>
  <conditionalFormatting sqref="E26">
    <cfRule type="expression" dxfId="844" priority="1867">
      <formula>IF($V26&lt;&gt;0,AND(MID($A26,5,1)=" "))</formula>
    </cfRule>
    <cfRule type="expression" dxfId="843" priority="1868">
      <formula>IF($V26&lt;&gt;0,AND(MID($A26,5,1)="C"))</formula>
    </cfRule>
    <cfRule type="expression" dxfId="842" priority="1869">
      <formula>IF($V26&lt;&gt;0,AND(MID($A26,5,1)="D"))</formula>
    </cfRule>
  </conditionalFormatting>
  <conditionalFormatting sqref="B28">
    <cfRule type="expression" dxfId="841" priority="1864">
      <formula>IF($V28&lt;&gt;0,AND(MID($A28,5,1)=" "))</formula>
    </cfRule>
    <cfRule type="expression" dxfId="840" priority="1865">
      <formula>IF($V28&lt;&gt;0,AND(MID($A28,5,1)="C"))</formula>
    </cfRule>
    <cfRule type="expression" dxfId="839" priority="1866">
      <formula>IF($V28&lt;&gt;0,AND(MID($A28,5,1)="D"))</formula>
    </cfRule>
  </conditionalFormatting>
  <conditionalFormatting sqref="F28">
    <cfRule type="expression" dxfId="838" priority="1855">
      <formula>IF($V28&lt;&gt;0,AND(MID($A28,5,1)=" "))</formula>
    </cfRule>
    <cfRule type="expression" dxfId="837" priority="1856">
      <formula>IF($V28&lt;&gt;0,AND(MID($A28,5,1)="C"))</formula>
    </cfRule>
    <cfRule type="expression" dxfId="836" priority="1857">
      <formula>IF($V28&lt;&gt;0,AND(MID($A28,5,1)="D"))</formula>
    </cfRule>
  </conditionalFormatting>
  <conditionalFormatting sqref="E28">
    <cfRule type="expression" dxfId="835" priority="1849">
      <formula>IF($V28&lt;&gt;0,AND(MID($A28,5,1)=" "))</formula>
    </cfRule>
    <cfRule type="expression" dxfId="834" priority="1850">
      <formula>IF($V28&lt;&gt;0,AND(MID($A28,5,1)="C"))</formula>
    </cfRule>
    <cfRule type="expression" dxfId="833" priority="1851">
      <formula>IF($V28&lt;&gt;0,AND(MID($A28,5,1)="D"))</formula>
    </cfRule>
  </conditionalFormatting>
  <conditionalFormatting sqref="B29">
    <cfRule type="expression" dxfId="832" priority="1846">
      <formula>IF($V29&lt;&gt;0,AND(MID($A29,5,1)=" "))</formula>
    </cfRule>
    <cfRule type="expression" dxfId="831" priority="1847">
      <formula>IF($V29&lt;&gt;0,AND(MID($A29,5,1)="C"))</formula>
    </cfRule>
    <cfRule type="expression" dxfId="830" priority="1848">
      <formula>IF($V29&lt;&gt;0,AND(MID($A29,5,1)="D"))</formula>
    </cfRule>
  </conditionalFormatting>
  <conditionalFormatting sqref="F29">
    <cfRule type="expression" dxfId="829" priority="1837">
      <formula>IF($V29&lt;&gt;0,AND(MID($A29,5,1)=" "))</formula>
    </cfRule>
    <cfRule type="expression" dxfId="828" priority="1838">
      <formula>IF($V29&lt;&gt;0,AND(MID($A29,5,1)="C"))</formula>
    </cfRule>
    <cfRule type="expression" dxfId="827" priority="1839">
      <formula>IF($V29&lt;&gt;0,AND(MID($A29,5,1)="D"))</formula>
    </cfRule>
  </conditionalFormatting>
  <conditionalFormatting sqref="E29">
    <cfRule type="expression" dxfId="826" priority="1831">
      <formula>IF($V29&lt;&gt;0,AND(MID($A29,5,1)=" "))</formula>
    </cfRule>
    <cfRule type="expression" dxfId="825" priority="1832">
      <formula>IF($V29&lt;&gt;0,AND(MID($A29,5,1)="C"))</formula>
    </cfRule>
    <cfRule type="expression" dxfId="824" priority="1833">
      <formula>IF($V29&lt;&gt;0,AND(MID($A29,5,1)="D"))</formula>
    </cfRule>
  </conditionalFormatting>
  <conditionalFormatting sqref="B27">
    <cfRule type="expression" dxfId="823" priority="1828">
      <formula>IF($V27&lt;&gt;0,AND(MID($A27,5,1)=" "))</formula>
    </cfRule>
    <cfRule type="expression" dxfId="822" priority="1829">
      <formula>IF($V27&lt;&gt;0,AND(MID($A27,5,1)="C"))</formula>
    </cfRule>
    <cfRule type="expression" dxfId="821" priority="1830">
      <formula>IF($V27&lt;&gt;0,AND(MID($A27,5,1)="D"))</formula>
    </cfRule>
  </conditionalFormatting>
  <conditionalFormatting sqref="F27">
    <cfRule type="expression" dxfId="820" priority="1819">
      <formula>IF($V27&lt;&gt;0,AND(MID($A27,5,1)=" "))</formula>
    </cfRule>
    <cfRule type="expression" dxfId="819" priority="1820">
      <formula>IF($V27&lt;&gt;0,AND(MID($A27,5,1)="C"))</formula>
    </cfRule>
    <cfRule type="expression" dxfId="818" priority="1821">
      <formula>IF($V27&lt;&gt;0,AND(MID($A27,5,1)="D"))</formula>
    </cfRule>
  </conditionalFormatting>
  <conditionalFormatting sqref="E27">
    <cfRule type="expression" dxfId="817" priority="1813">
      <formula>IF($V27&lt;&gt;0,AND(MID($A27,5,1)=" "))</formula>
    </cfRule>
    <cfRule type="expression" dxfId="816" priority="1814">
      <formula>IF($V27&lt;&gt;0,AND(MID($A27,5,1)="C"))</formula>
    </cfRule>
    <cfRule type="expression" dxfId="815" priority="1815">
      <formula>IF($V27&lt;&gt;0,AND(MID($A27,5,1)="D"))</formula>
    </cfRule>
  </conditionalFormatting>
  <conditionalFormatting sqref="C26 C64:C65">
    <cfRule type="cellIs" dxfId="814" priority="1780" operator="lessThan">
      <formula>D26</formula>
    </cfRule>
    <cfRule type="expression" dxfId="813" priority="1784">
      <formula>IF($V26&lt;&gt;0,AND(MID($A26,5,1)=" "))</formula>
    </cfRule>
    <cfRule type="expression" dxfId="812" priority="1785">
      <formula>IF($V26&lt;&gt;0,AND(MID($A26,5,1)="C"))</formula>
    </cfRule>
    <cfRule type="expression" dxfId="811" priority="1786">
      <formula>IF($V26&lt;&gt;0,AND(MID($A26,5,1)="D"))</formula>
    </cfRule>
  </conditionalFormatting>
  <conditionalFormatting sqref="D26 D64:D65">
    <cfRule type="cellIs" dxfId="810" priority="1779" operator="lessThan">
      <formula>C26</formula>
    </cfRule>
    <cfRule type="expression" dxfId="809" priority="1781">
      <formula>IF($V26&lt;&gt;0,AND(MID($A26,5,1)=" "))</formula>
    </cfRule>
    <cfRule type="expression" dxfId="808" priority="1782">
      <formula>IF($V26&lt;&gt;0,AND(MID($A26,5,1)="C"))</formula>
    </cfRule>
    <cfRule type="expression" dxfId="807" priority="1783">
      <formula>IF($V26&lt;&gt;0,AND(MID($A26,5,1)="D"))</formula>
    </cfRule>
  </conditionalFormatting>
  <conditionalFormatting sqref="C27">
    <cfRule type="cellIs" dxfId="806" priority="1772" operator="lessThan">
      <formula>D27</formula>
    </cfRule>
    <cfRule type="expression" dxfId="805" priority="1776">
      <formula>IF($V27&lt;&gt;0,AND(MID($A27,5,1)=" "))</formula>
    </cfRule>
    <cfRule type="expression" dxfId="804" priority="1777">
      <formula>IF($V27&lt;&gt;0,AND(MID($A27,5,1)="C"))</formula>
    </cfRule>
    <cfRule type="expression" dxfId="803" priority="1778">
      <formula>IF($V27&lt;&gt;0,AND(MID($A27,5,1)="D"))</formula>
    </cfRule>
  </conditionalFormatting>
  <conditionalFormatting sqref="D27">
    <cfRule type="cellIs" dxfId="802" priority="1771" operator="lessThan">
      <formula>C27</formula>
    </cfRule>
    <cfRule type="expression" dxfId="801" priority="1773">
      <formula>IF($V27&lt;&gt;0,AND(MID($A27,5,1)=" "))</formula>
    </cfRule>
    <cfRule type="expression" dxfId="800" priority="1774">
      <formula>IF($V27&lt;&gt;0,AND(MID($A27,5,1)="C"))</formula>
    </cfRule>
    <cfRule type="expression" dxfId="799" priority="1775">
      <formula>IF($V27&lt;&gt;0,AND(MID($A27,5,1)="D"))</formula>
    </cfRule>
  </conditionalFormatting>
  <conditionalFormatting sqref="C28">
    <cfRule type="cellIs" dxfId="798" priority="1764" operator="lessThan">
      <formula>D28</formula>
    </cfRule>
    <cfRule type="expression" dxfId="797" priority="1768">
      <formula>IF($V28&lt;&gt;0,AND(MID($A28,5,1)=" "))</formula>
    </cfRule>
    <cfRule type="expression" dxfId="796" priority="1769">
      <formula>IF($V28&lt;&gt;0,AND(MID($A28,5,1)="C"))</formula>
    </cfRule>
    <cfRule type="expression" dxfId="795" priority="1770">
      <formula>IF($V28&lt;&gt;0,AND(MID($A28,5,1)="D"))</formula>
    </cfRule>
  </conditionalFormatting>
  <conditionalFormatting sqref="D28">
    <cfRule type="cellIs" dxfId="794" priority="1763" operator="lessThan">
      <formula>C28</formula>
    </cfRule>
    <cfRule type="expression" dxfId="793" priority="1765">
      <formula>IF($V28&lt;&gt;0,AND(MID($A28,5,1)=" "))</formula>
    </cfRule>
    <cfRule type="expression" dxfId="792" priority="1766">
      <formula>IF($V28&lt;&gt;0,AND(MID($A28,5,1)="C"))</formula>
    </cfRule>
    <cfRule type="expression" dxfId="791" priority="1767">
      <formula>IF($V28&lt;&gt;0,AND(MID($A28,5,1)="D"))</formula>
    </cfRule>
  </conditionalFormatting>
  <conditionalFormatting sqref="C29">
    <cfRule type="cellIs" dxfId="790" priority="1756" operator="lessThan">
      <formula>D29</formula>
    </cfRule>
    <cfRule type="expression" dxfId="789" priority="1760">
      <formula>IF($V29&lt;&gt;0,AND(MID($A29,5,1)=" "))</formula>
    </cfRule>
    <cfRule type="expression" dxfId="788" priority="1761">
      <formula>IF($V29&lt;&gt;0,AND(MID($A29,5,1)="C"))</formula>
    </cfRule>
    <cfRule type="expression" dxfId="787" priority="1762">
      <formula>IF($V29&lt;&gt;0,AND(MID($A29,5,1)="D"))</formula>
    </cfRule>
  </conditionalFormatting>
  <conditionalFormatting sqref="D29">
    <cfRule type="cellIs" dxfId="786" priority="1755" operator="lessThan">
      <formula>C29</formula>
    </cfRule>
    <cfRule type="expression" dxfId="785" priority="1757">
      <formula>IF($V29&lt;&gt;0,AND(MID($A29,5,1)=" "))</formula>
    </cfRule>
    <cfRule type="expression" dxfId="784" priority="1758">
      <formula>IF($V29&lt;&gt;0,AND(MID($A29,5,1)="C"))</formula>
    </cfRule>
    <cfRule type="expression" dxfId="783" priority="1759">
      <formula>IF($V29&lt;&gt;0,AND(MID($A29,5,1)="D"))</formula>
    </cfRule>
  </conditionalFormatting>
  <conditionalFormatting sqref="A15">
    <cfRule type="expression" dxfId="782" priority="1678">
      <formula>IF($Y17&gt;$Y14,AND(MID($A15,5,1)=" "))</formula>
    </cfRule>
    <cfRule type="expression" dxfId="781" priority="1679">
      <formula>IF($Y17&gt;$Y14,AND(MID($A15,5,1)="C"))</formula>
    </cfRule>
    <cfRule type="expression" dxfId="780" priority="1680">
      <formula>IF($Y17&gt;$Y14,AND(MID($A15,5,1)="D"))</formula>
    </cfRule>
  </conditionalFormatting>
  <conditionalFormatting sqref="A16">
    <cfRule type="expression" dxfId="779" priority="1681">
      <formula>IF($Y17&gt;$Y14,AND(MID($A16,5,1)=" "))</formula>
    </cfRule>
    <cfRule type="expression" dxfId="778" priority="1682">
      <formula>IF($Y17&gt;$Y14,AND(MID($A16,5,1)="C"))</formula>
    </cfRule>
    <cfRule type="expression" dxfId="777" priority="1683">
      <formula>IF($Y17&gt;$Y14,AND(MID($A16,5,1)="D"))</formula>
    </cfRule>
  </conditionalFormatting>
  <conditionalFormatting sqref="A17">
    <cfRule type="expression" dxfId="776" priority="1675">
      <formula>IF($Y17&gt;$Y14,AND(MID($A17,5,1)=" "))</formula>
    </cfRule>
    <cfRule type="expression" dxfId="775" priority="1676">
      <formula>IF($Y17&gt;$Y14,AND(MID($A17,5,1)="C"))</formula>
    </cfRule>
    <cfRule type="expression" dxfId="774" priority="1677">
      <formula>IF($Y17&gt;$Y14,AND(MID($A17,5,1)="D"))</formula>
    </cfRule>
  </conditionalFormatting>
  <conditionalFormatting sqref="A14">
    <cfRule type="expression" dxfId="773" priority="1672">
      <formula>IF($Y17&gt;$Y14,AND(MID($A14,5,1)=" "))</formula>
    </cfRule>
    <cfRule type="expression" dxfId="772" priority="1673">
      <formula>IF($Y17&gt;$Y14,AND(MID($A14,5,1)="C"))</formula>
    </cfRule>
    <cfRule type="expression" dxfId="771" priority="1674">
      <formula>IF($Y17&gt;$Y14,AND(MID($A14,5,1)="D"))</formula>
    </cfRule>
  </conditionalFormatting>
  <conditionalFormatting sqref="B12">
    <cfRule type="expression" dxfId="770" priority="1666">
      <formula>IF($Y13&gt;$Y10,AND(MID($A12,5,1)=" "))</formula>
    </cfRule>
    <cfRule type="expression" dxfId="769" priority="1667">
      <formula>IF($Y13&gt;$Y10,AND(MID($A12,5,1)="C"))</formula>
    </cfRule>
    <cfRule type="expression" dxfId="768" priority="1668">
      <formula>IF($Y13&gt;$Y10,AND(MID($A12,5,1)="D"))</formula>
    </cfRule>
  </conditionalFormatting>
  <conditionalFormatting sqref="C12">
    <cfRule type="expression" dxfId="767" priority="1669">
      <formula>IF($Y13&gt;$Y10,AND(MID($A12,5,1)=" "))</formula>
    </cfRule>
    <cfRule type="expression" dxfId="766" priority="1670">
      <formula>IF($Y13&gt;$Y10,AND(MID($A12,5,1)="C"))</formula>
    </cfRule>
    <cfRule type="expression" dxfId="765" priority="1671">
      <formula>IF($Y13&gt;$Y10,AND(MID($A12,5,1)="D"))</formula>
    </cfRule>
  </conditionalFormatting>
  <conditionalFormatting sqref="A26">
    <cfRule type="expression" dxfId="764" priority="683">
      <formula>X26&lt;&gt;0</formula>
    </cfRule>
    <cfRule type="expression" dxfId="763" priority="1642">
      <formula>IF($V26&lt;&gt;0,AND(MID($A26,5,1)=" "))</formula>
    </cfRule>
    <cfRule type="expression" dxfId="762" priority="1643">
      <formula>IF($V26&lt;&gt;0,AND(MID($A26,5,1)="C"))</formula>
    </cfRule>
    <cfRule type="expression" dxfId="761" priority="1644">
      <formula>IF($V26&lt;&gt;0,AND(MID($A26,5,1)="D"))</formula>
    </cfRule>
  </conditionalFormatting>
  <conditionalFormatting sqref="Y72 Y74">
    <cfRule type="cellIs" dxfId="760" priority="1455" operator="lessThanOrEqual">
      <formula>0</formula>
    </cfRule>
  </conditionalFormatting>
  <conditionalFormatting sqref="Y73">
    <cfRule type="cellIs" dxfId="759" priority="1454" operator="equal">
      <formula>0</formula>
    </cfRule>
  </conditionalFormatting>
  <conditionalFormatting sqref="Y75">
    <cfRule type="cellIs" dxfId="758" priority="1453" operator="equal">
      <formula>0</formula>
    </cfRule>
  </conditionalFormatting>
  <conditionalFormatting sqref="Y71">
    <cfRule type="cellIs" dxfId="757" priority="1452" operator="equal">
      <formula>0</formula>
    </cfRule>
  </conditionalFormatting>
  <conditionalFormatting sqref="Y78 Y80">
    <cfRule type="cellIs" dxfId="756" priority="1449" operator="lessThanOrEqual">
      <formula>0</formula>
    </cfRule>
  </conditionalFormatting>
  <conditionalFormatting sqref="Y79">
    <cfRule type="cellIs" dxfId="755" priority="1448" operator="equal">
      <formula>0</formula>
    </cfRule>
  </conditionalFormatting>
  <conditionalFormatting sqref="Y81">
    <cfRule type="cellIs" dxfId="754" priority="1447" operator="equal">
      <formula>0</formula>
    </cfRule>
  </conditionalFormatting>
  <conditionalFormatting sqref="Y77">
    <cfRule type="cellIs" dxfId="753" priority="1446" operator="equal">
      <formula>0</formula>
    </cfRule>
  </conditionalFormatting>
  <conditionalFormatting sqref="Y84 Y86">
    <cfRule type="cellIs" dxfId="752" priority="1443" operator="lessThanOrEqual">
      <formula>0</formula>
    </cfRule>
  </conditionalFormatting>
  <conditionalFormatting sqref="Y85">
    <cfRule type="cellIs" dxfId="751" priority="1442" operator="equal">
      <formula>0</formula>
    </cfRule>
  </conditionalFormatting>
  <conditionalFormatting sqref="Y87">
    <cfRule type="cellIs" dxfId="750" priority="1441" operator="equal">
      <formula>0</formula>
    </cfRule>
  </conditionalFormatting>
  <conditionalFormatting sqref="Y83">
    <cfRule type="cellIs" dxfId="749" priority="1440" operator="equal">
      <formula>0</formula>
    </cfRule>
  </conditionalFormatting>
  <conditionalFormatting sqref="Y90 Y92">
    <cfRule type="cellIs" dxfId="748" priority="1437" operator="lessThanOrEqual">
      <formula>0</formula>
    </cfRule>
  </conditionalFormatting>
  <conditionalFormatting sqref="Y91">
    <cfRule type="cellIs" dxfId="747" priority="1436" operator="equal">
      <formula>0</formula>
    </cfRule>
  </conditionalFormatting>
  <conditionalFormatting sqref="Y93">
    <cfRule type="cellIs" dxfId="746" priority="1435" operator="equal">
      <formula>0</formula>
    </cfRule>
  </conditionalFormatting>
  <conditionalFormatting sqref="Y89">
    <cfRule type="cellIs" dxfId="745" priority="1434" operator="equal">
      <formula>0</formula>
    </cfRule>
  </conditionalFormatting>
  <conditionalFormatting sqref="Y96 Y98">
    <cfRule type="cellIs" dxfId="744" priority="1431" operator="lessThanOrEqual">
      <formula>0</formula>
    </cfRule>
  </conditionalFormatting>
  <conditionalFormatting sqref="Y97">
    <cfRule type="cellIs" dxfId="743" priority="1430" operator="equal">
      <formula>0</formula>
    </cfRule>
  </conditionalFormatting>
  <conditionalFormatting sqref="Y99">
    <cfRule type="cellIs" dxfId="742" priority="1429" operator="equal">
      <formula>0</formula>
    </cfRule>
  </conditionalFormatting>
  <conditionalFormatting sqref="Y95">
    <cfRule type="cellIs" dxfId="741" priority="1428" operator="equal">
      <formula>0</formula>
    </cfRule>
  </conditionalFormatting>
  <conditionalFormatting sqref="Y102 Y104">
    <cfRule type="cellIs" dxfId="740" priority="1425" operator="lessThanOrEqual">
      <formula>0</formula>
    </cfRule>
  </conditionalFormatting>
  <conditionalFormatting sqref="Y103">
    <cfRule type="cellIs" dxfId="739" priority="1424" operator="equal">
      <formula>0</formula>
    </cfRule>
  </conditionalFormatting>
  <conditionalFormatting sqref="Y105">
    <cfRule type="cellIs" dxfId="738" priority="1423" operator="equal">
      <formula>0</formula>
    </cfRule>
  </conditionalFormatting>
  <conditionalFormatting sqref="Y101">
    <cfRule type="cellIs" dxfId="737" priority="1422" operator="equal">
      <formula>0</formula>
    </cfRule>
  </conditionalFormatting>
  <conditionalFormatting sqref="Y108 Y110">
    <cfRule type="cellIs" dxfId="736" priority="1419" operator="lessThanOrEqual">
      <formula>0</formula>
    </cfRule>
  </conditionalFormatting>
  <conditionalFormatting sqref="Y109">
    <cfRule type="cellIs" dxfId="735" priority="1418" operator="equal">
      <formula>0</formula>
    </cfRule>
  </conditionalFormatting>
  <conditionalFormatting sqref="Y111">
    <cfRule type="cellIs" dxfId="734" priority="1417" operator="equal">
      <formula>0</formula>
    </cfRule>
  </conditionalFormatting>
  <conditionalFormatting sqref="Y107">
    <cfRule type="cellIs" dxfId="733" priority="1416" operator="equal">
      <formula>0</formula>
    </cfRule>
  </conditionalFormatting>
  <conditionalFormatting sqref="Y114 Y116">
    <cfRule type="cellIs" dxfId="732" priority="1413" operator="lessThanOrEqual">
      <formula>0</formula>
    </cfRule>
  </conditionalFormatting>
  <conditionalFormatting sqref="Y115">
    <cfRule type="cellIs" dxfId="731" priority="1412" operator="equal">
      <formula>0</formula>
    </cfRule>
  </conditionalFormatting>
  <conditionalFormatting sqref="Y117">
    <cfRule type="cellIs" dxfId="730" priority="1411" operator="equal">
      <formula>0</formula>
    </cfRule>
  </conditionalFormatting>
  <conditionalFormatting sqref="Y113">
    <cfRule type="cellIs" dxfId="729" priority="1410" operator="equal">
      <formula>0</formula>
    </cfRule>
  </conditionalFormatting>
  <conditionalFormatting sqref="Y120 Y122">
    <cfRule type="cellIs" dxfId="728" priority="1407" operator="lessThanOrEqual">
      <formula>0</formula>
    </cfRule>
  </conditionalFormatting>
  <conditionalFormatting sqref="Y121">
    <cfRule type="cellIs" dxfId="727" priority="1406" operator="equal">
      <formula>0</formula>
    </cfRule>
  </conditionalFormatting>
  <conditionalFormatting sqref="Y123">
    <cfRule type="cellIs" dxfId="726" priority="1405" operator="equal">
      <formula>0</formula>
    </cfRule>
  </conditionalFormatting>
  <conditionalFormatting sqref="Y119">
    <cfRule type="cellIs" dxfId="725" priority="1404" operator="equal">
      <formula>0</formula>
    </cfRule>
  </conditionalFormatting>
  <conditionalFormatting sqref="Y126 Y128">
    <cfRule type="cellIs" dxfId="724" priority="1401" operator="lessThanOrEqual">
      <formula>0</formula>
    </cfRule>
  </conditionalFormatting>
  <conditionalFormatting sqref="Y127">
    <cfRule type="cellIs" dxfId="723" priority="1400" operator="equal">
      <formula>0</formula>
    </cfRule>
  </conditionalFormatting>
  <conditionalFormatting sqref="Y129">
    <cfRule type="cellIs" dxfId="722" priority="1399" operator="equal">
      <formula>0</formula>
    </cfRule>
  </conditionalFormatting>
  <conditionalFormatting sqref="Y125">
    <cfRule type="cellIs" dxfId="721" priority="1398" operator="equal">
      <formula>0</formula>
    </cfRule>
  </conditionalFormatting>
  <conditionalFormatting sqref="Y132 Y134">
    <cfRule type="cellIs" dxfId="720" priority="1395" operator="lessThanOrEqual">
      <formula>0</formula>
    </cfRule>
  </conditionalFormatting>
  <conditionalFormatting sqref="Y133">
    <cfRule type="cellIs" dxfId="719" priority="1394" operator="equal">
      <formula>0</formula>
    </cfRule>
  </conditionalFormatting>
  <conditionalFormatting sqref="Y135">
    <cfRule type="cellIs" dxfId="718" priority="1393" operator="equal">
      <formula>0</formula>
    </cfRule>
  </conditionalFormatting>
  <conditionalFormatting sqref="Y131">
    <cfRule type="cellIs" dxfId="717" priority="1392" operator="equal">
      <formula>0</formula>
    </cfRule>
  </conditionalFormatting>
  <conditionalFormatting sqref="Y138 Y140">
    <cfRule type="cellIs" dxfId="716" priority="1389" operator="lessThanOrEqual">
      <formula>0</formula>
    </cfRule>
  </conditionalFormatting>
  <conditionalFormatting sqref="Y139">
    <cfRule type="cellIs" dxfId="715" priority="1388" operator="equal">
      <formula>0</formula>
    </cfRule>
  </conditionalFormatting>
  <conditionalFormatting sqref="Y141">
    <cfRule type="cellIs" dxfId="714" priority="1387" operator="equal">
      <formula>0</formula>
    </cfRule>
  </conditionalFormatting>
  <conditionalFormatting sqref="Y137">
    <cfRule type="cellIs" dxfId="713" priority="1386" operator="equal">
      <formula>0</formula>
    </cfRule>
  </conditionalFormatting>
  <conditionalFormatting sqref="Y144 Y146">
    <cfRule type="cellIs" dxfId="712" priority="1383" operator="lessThanOrEqual">
      <formula>0</formula>
    </cfRule>
  </conditionalFormatting>
  <conditionalFormatting sqref="Y145">
    <cfRule type="cellIs" dxfId="711" priority="1382" operator="equal">
      <formula>0</formula>
    </cfRule>
  </conditionalFormatting>
  <conditionalFormatting sqref="Y147">
    <cfRule type="cellIs" dxfId="710" priority="1381" operator="equal">
      <formula>0</formula>
    </cfRule>
  </conditionalFormatting>
  <conditionalFormatting sqref="Y143">
    <cfRule type="cellIs" dxfId="709" priority="1380" operator="equal">
      <formula>0</formula>
    </cfRule>
  </conditionalFormatting>
  <conditionalFormatting sqref="Y150 Y152">
    <cfRule type="cellIs" dxfId="708" priority="1377" operator="lessThanOrEqual">
      <formula>0</formula>
    </cfRule>
  </conditionalFormatting>
  <conditionalFormatting sqref="Y151">
    <cfRule type="cellIs" dxfId="707" priority="1376" operator="equal">
      <formula>0</formula>
    </cfRule>
  </conditionalFormatting>
  <conditionalFormatting sqref="Y153">
    <cfRule type="cellIs" dxfId="706" priority="1375" operator="equal">
      <formula>0</formula>
    </cfRule>
  </conditionalFormatting>
  <conditionalFormatting sqref="Y149">
    <cfRule type="cellIs" dxfId="705" priority="1374" operator="equal">
      <formula>0</formula>
    </cfRule>
  </conditionalFormatting>
  <conditionalFormatting sqref="Y156 Y158">
    <cfRule type="cellIs" dxfId="704" priority="1371" operator="lessThanOrEqual">
      <formula>0</formula>
    </cfRule>
  </conditionalFormatting>
  <conditionalFormatting sqref="Y157">
    <cfRule type="cellIs" dxfId="703" priority="1370" operator="equal">
      <formula>0</formula>
    </cfRule>
  </conditionalFormatting>
  <conditionalFormatting sqref="Y159">
    <cfRule type="cellIs" dxfId="702" priority="1369" operator="equal">
      <formula>0</formula>
    </cfRule>
  </conditionalFormatting>
  <conditionalFormatting sqref="Y155">
    <cfRule type="cellIs" dxfId="701" priority="1368" operator="equal">
      <formula>0</formula>
    </cfRule>
  </conditionalFormatting>
  <conditionalFormatting sqref="Y162 Y164">
    <cfRule type="cellIs" dxfId="700" priority="1365" operator="lessThanOrEqual">
      <formula>0</formula>
    </cfRule>
  </conditionalFormatting>
  <conditionalFormatting sqref="Y163">
    <cfRule type="cellIs" dxfId="699" priority="1364" operator="equal">
      <formula>0</formula>
    </cfRule>
  </conditionalFormatting>
  <conditionalFormatting sqref="Y165">
    <cfRule type="cellIs" dxfId="698" priority="1363" operator="equal">
      <formula>0</formula>
    </cfRule>
  </conditionalFormatting>
  <conditionalFormatting sqref="Y161">
    <cfRule type="cellIs" dxfId="697" priority="1362" operator="equal">
      <formula>0</formula>
    </cfRule>
  </conditionalFormatting>
  <conditionalFormatting sqref="Y168 Y170 Y174 Y180 Y186 Y192 Y198 Y176 Y182 Y188 Y194 Y200">
    <cfRule type="cellIs" dxfId="696" priority="1359" operator="lessThanOrEqual">
      <formula>0</formula>
    </cfRule>
  </conditionalFormatting>
  <conditionalFormatting sqref="Y169 Y175 Y181 Y187 Y193 Y199">
    <cfRule type="cellIs" dxfId="695" priority="1358" operator="equal">
      <formula>0</formula>
    </cfRule>
  </conditionalFormatting>
  <conditionalFormatting sqref="Y171 Y177 Y183 Y189 Y195 Y201">
    <cfRule type="cellIs" dxfId="694" priority="1357" operator="equal">
      <formula>0</formula>
    </cfRule>
  </conditionalFormatting>
  <conditionalFormatting sqref="Y167 Y173 Y179 Y185 Y191 Y197">
    <cfRule type="cellIs" dxfId="693" priority="1356" operator="equal">
      <formula>0</formula>
    </cfRule>
  </conditionalFormatting>
  <conditionalFormatting sqref="V44">
    <cfRule type="cellIs" dxfId="692" priority="1352" operator="lessThan">
      <formula>0</formula>
    </cfRule>
    <cfRule type="cellIs" dxfId="691" priority="1353" operator="equal">
      <formula>0</formula>
    </cfRule>
  </conditionalFormatting>
  <conditionalFormatting sqref="G44">
    <cfRule type="cellIs" dxfId="690" priority="1351" operator="lessThan">
      <formula>0</formula>
    </cfRule>
  </conditionalFormatting>
  <conditionalFormatting sqref="D54">
    <cfRule type="expression" dxfId="689" priority="1350">
      <formula>E54&gt;B54</formula>
    </cfRule>
  </conditionalFormatting>
  <conditionalFormatting sqref="C54">
    <cfRule type="expression" dxfId="688" priority="1349">
      <formula>B54&gt;E54</formula>
    </cfRule>
  </conditionalFormatting>
  <conditionalFormatting sqref="B54">
    <cfRule type="cellIs" dxfId="687" priority="1348" operator="greaterThan">
      <formula>E54</formula>
    </cfRule>
  </conditionalFormatting>
  <conditionalFormatting sqref="E54">
    <cfRule type="cellIs" dxfId="686" priority="1347" operator="greaterThan">
      <formula>B54</formula>
    </cfRule>
  </conditionalFormatting>
  <conditionalFormatting sqref="W44">
    <cfRule type="cellIs" dxfId="685" priority="1342" operator="equal">
      <formula>0</formula>
    </cfRule>
  </conditionalFormatting>
  <conditionalFormatting sqref="W44">
    <cfRule type="cellIs" dxfId="684" priority="1340" operator="equal">
      <formula>"STOP"</formula>
    </cfRule>
    <cfRule type="cellIs" dxfId="683" priority="1341" operator="equal">
      <formula>"TRAILING"</formula>
    </cfRule>
  </conditionalFormatting>
  <conditionalFormatting sqref="W44">
    <cfRule type="cellIs" dxfId="682" priority="1338" operator="equal">
      <formula>"STOP"</formula>
    </cfRule>
    <cfRule type="cellIs" dxfId="681" priority="1339" operator="equal">
      <formula>"TRAILING"</formula>
    </cfRule>
  </conditionalFormatting>
  <conditionalFormatting sqref="A54">
    <cfRule type="expression" dxfId="680" priority="1335">
      <formula>X44&lt;&gt;0</formula>
    </cfRule>
  </conditionalFormatting>
  <conditionalFormatting sqref="W45 W47 W49 W51 W53 W55 W57 W59">
    <cfRule type="cellIs" dxfId="679" priority="1331" operator="equal">
      <formula>0</formula>
    </cfRule>
  </conditionalFormatting>
  <conditionalFormatting sqref="W45 W47 W49 W51 W53 W55 W57 W59">
    <cfRule type="cellIs" dxfId="678" priority="1329" operator="equal">
      <formula>"STOP"</formula>
    </cfRule>
    <cfRule type="cellIs" dxfId="677" priority="1330" operator="equal">
      <formula>"TRAILING"</formula>
    </cfRule>
  </conditionalFormatting>
  <conditionalFormatting sqref="W45 W47 W49 W51 W53 W55 W57 W59">
    <cfRule type="cellIs" dxfId="676" priority="1327" operator="equal">
      <formula>"STOP"</formula>
    </cfRule>
    <cfRule type="cellIs" dxfId="675" priority="1328" operator="equal">
      <formula>"TRAILING"</formula>
    </cfRule>
  </conditionalFormatting>
  <conditionalFormatting sqref="W46 W48 W50 W52 W54 W56 W58">
    <cfRule type="cellIs" dxfId="674" priority="1321" operator="equal">
      <formula>0</formula>
    </cfRule>
  </conditionalFormatting>
  <conditionalFormatting sqref="W46 W48 W50 W52 W54 W56 W58">
    <cfRule type="cellIs" dxfId="673" priority="1319" operator="equal">
      <formula>"STOP"</formula>
    </cfRule>
    <cfRule type="cellIs" dxfId="672" priority="1320" operator="equal">
      <formula>"TRAILING"</formula>
    </cfRule>
  </conditionalFormatting>
  <conditionalFormatting sqref="W46 W48 W50 W52 W54 W56 W58">
    <cfRule type="cellIs" dxfId="671" priority="1317" operator="equal">
      <formula>"STOP"</formula>
    </cfRule>
    <cfRule type="cellIs" dxfId="670" priority="1318" operator="equal">
      <formula>"TRAILING"</formula>
    </cfRule>
  </conditionalFormatting>
  <conditionalFormatting sqref="AA2">
    <cfRule type="expression" dxfId="669" priority="1312">
      <formula>IF($Y5&gt;$Y2,AND(MID($A2,5,1)=" "))</formula>
    </cfRule>
    <cfRule type="expression" dxfId="668" priority="1313">
      <formula>IF($Y5&gt;$Y2,AND(MID($A2,5,1)="C"))</formula>
    </cfRule>
    <cfRule type="expression" dxfId="667" priority="1314">
      <formula>IF($Y5&gt;$Y2,AND(MID($A2,5,1)="D"))</formula>
    </cfRule>
  </conditionalFormatting>
  <conditionalFormatting sqref="AA4">
    <cfRule type="expression" dxfId="666" priority="1267">
      <formula>IF($Y5&gt;$Y2,AND(MID($A4,5,1)=" "))</formula>
    </cfRule>
    <cfRule type="expression" dxfId="665" priority="1268">
      <formula>IF($Y5&gt;$Y2,AND(MID($A4,5,1)="C"))</formula>
    </cfRule>
    <cfRule type="expression" dxfId="664" priority="1269">
      <formula>IF($Y5&gt;$Y2,AND(MID($A4,5,1)="D"))</formula>
    </cfRule>
  </conditionalFormatting>
  <conditionalFormatting sqref="AA6">
    <cfRule type="expression" dxfId="663" priority="1261">
      <formula>IF($Y9&gt;$Y6,AND(MID($A6,5,1)=" "))</formula>
    </cfRule>
    <cfRule type="expression" dxfId="662" priority="1262">
      <formula>IF($Y9&gt;$Y6,AND(MID($A6,5,1)="C"))</formula>
    </cfRule>
    <cfRule type="expression" dxfId="661" priority="1263">
      <formula>IF($Y9&gt;$Y6,AND(MID($A6,5,1)="D"))</formula>
    </cfRule>
  </conditionalFormatting>
  <conditionalFormatting sqref="AA8">
    <cfRule type="expression" dxfId="660" priority="1258">
      <formula>IF($Y9&gt;$Y6,AND(MID($A8,5,1)=" "))</formula>
    </cfRule>
    <cfRule type="expression" dxfId="659" priority="1259">
      <formula>IF($Y9&gt;$Y6,AND(MID($A8,5,1)="C"))</formula>
    </cfRule>
    <cfRule type="expression" dxfId="658" priority="1260">
      <formula>IF($Y9&gt;$Y6,AND(MID($A8,5,1)="D"))</formula>
    </cfRule>
  </conditionalFormatting>
  <conditionalFormatting sqref="AA10">
    <cfRule type="expression" dxfId="657" priority="1255">
      <formula>IF($Y13&gt;$Y10,AND(MID($A10,5,1)=" "))</formula>
    </cfRule>
    <cfRule type="expression" dxfId="656" priority="1256">
      <formula>IF($Y13&gt;$Y10,AND(MID($A10,5,1)="C"))</formula>
    </cfRule>
    <cfRule type="expression" dxfId="655" priority="1257">
      <formula>IF($Y13&gt;$Y10,AND(MID($A10,5,1)="D"))</formula>
    </cfRule>
  </conditionalFormatting>
  <conditionalFormatting sqref="AA12">
    <cfRule type="expression" dxfId="654" priority="1252">
      <formula>IF($Y13&gt;$Y10,AND(MID($A12,5,1)=" "))</formula>
    </cfRule>
    <cfRule type="expression" dxfId="653" priority="1253">
      <formula>IF($Y13&gt;$Y10,AND(MID($A12,5,1)="C"))</formula>
    </cfRule>
    <cfRule type="expression" dxfId="652" priority="1254">
      <formula>IF($Y13&gt;$Y10,AND(MID($A12,5,1)="D"))</formula>
    </cfRule>
  </conditionalFormatting>
  <conditionalFormatting sqref="AA14">
    <cfRule type="expression" dxfId="651" priority="1249">
      <formula>IF($Y17&gt;$Y14,AND(MID($A14,5,1)=" "))</formula>
    </cfRule>
    <cfRule type="expression" dxfId="650" priority="1250">
      <formula>IF($Y17&gt;$Y14,AND(MID($A14,5,1)="C"))</formula>
    </cfRule>
    <cfRule type="expression" dxfId="649" priority="1251">
      <formula>IF($Y17&gt;$Y14,AND(MID($A14,5,1)="D"))</formula>
    </cfRule>
  </conditionalFormatting>
  <conditionalFormatting sqref="AA16">
    <cfRule type="expression" dxfId="648" priority="1246">
      <formula>IF($Y17&gt;$Y14,AND(MID($A16,5,1)=" "))</formula>
    </cfRule>
    <cfRule type="expression" dxfId="647" priority="1247">
      <formula>IF($Y17&gt;$Y14,AND(MID($A16,5,1)="C"))</formula>
    </cfRule>
    <cfRule type="expression" dxfId="646" priority="1248">
      <formula>IF($Y17&gt;$Y14,AND(MID($A16,5,1)="D"))</formula>
    </cfRule>
  </conditionalFormatting>
  <conditionalFormatting sqref="AA18 AA22">
    <cfRule type="expression" dxfId="645" priority="1243">
      <formula>IF($Y21&gt;$Y18,AND(MID($A18,5,1)=" "))</formula>
    </cfRule>
    <cfRule type="expression" dxfId="644" priority="1244">
      <formula>IF($Y21&gt;$Y18,AND(MID($A18,5,1)="C"))</formula>
    </cfRule>
    <cfRule type="expression" dxfId="643" priority="1245">
      <formula>IF($Y21&gt;$Y18,AND(MID($A18,5,1)="D"))</formula>
    </cfRule>
  </conditionalFormatting>
  <conditionalFormatting sqref="AA20 AA24">
    <cfRule type="expression" dxfId="642" priority="1240">
      <formula>IF($Y21&gt;$Y18,AND(MID($A20,5,1)=" "))</formula>
    </cfRule>
    <cfRule type="expression" dxfId="641" priority="1241">
      <formula>IF($Y21&gt;$Y18,AND(MID($A20,5,1)="C"))</formula>
    </cfRule>
    <cfRule type="expression" dxfId="640" priority="1242">
      <formula>IF($Y21&gt;$Y18,AND(MID($A20,5,1)="D"))</formula>
    </cfRule>
  </conditionalFormatting>
  <conditionalFormatting sqref="Y21 Y25">
    <cfRule type="expression" dxfId="639" priority="1222">
      <formula>IF($Y22&gt;$Y19,AND(MID($A21,5,1)=" "))</formula>
    </cfRule>
    <cfRule type="expression" dxfId="638" priority="1223">
      <formula>IF($Y22&gt;$Y19,AND(MID($A21,5,1)="C"))</formula>
    </cfRule>
    <cfRule type="expression" dxfId="637" priority="1224">
      <formula>IF($Y22&gt;$Y19,AND(MID($A21,5,1)="D"))</formula>
    </cfRule>
  </conditionalFormatting>
  <conditionalFormatting sqref="Y13">
    <cfRule type="cellIs" dxfId="636" priority="703" operator="equal">
      <formula>0</formula>
    </cfRule>
    <cfRule type="expression" dxfId="635" priority="1216">
      <formula>IF($Y13&gt;$Y10,AND(MID($A13,5,1)=" "))</formula>
    </cfRule>
    <cfRule type="expression" dxfId="634" priority="1217">
      <formula>IF($Y13&gt;$Y10,AND(MID($A13,5,1)="C"))</formula>
    </cfRule>
    <cfRule type="expression" dxfId="633" priority="1218">
      <formula>IF($Y13&gt;$Y10,AND(MID($A13,5,1)="D"))</formula>
    </cfRule>
  </conditionalFormatting>
  <conditionalFormatting sqref="Y9">
    <cfRule type="cellIs" dxfId="632" priority="704" operator="equal">
      <formula>0</formula>
    </cfRule>
    <cfRule type="expression" dxfId="631" priority="1213">
      <formula>IF($Y9&gt;$Y6,AND(MID($A9,5,1)=" "))</formula>
    </cfRule>
    <cfRule type="expression" dxfId="630" priority="1214">
      <formula>IF($Y9&gt;$Y6,AND(MID($A9,5,1)="C"))</formula>
    </cfRule>
    <cfRule type="expression" dxfId="629" priority="1215">
      <formula>IF($Y9&gt;$Y6,AND(MID($A9,5,1)="D"))</formula>
    </cfRule>
  </conditionalFormatting>
  <conditionalFormatting sqref="Y5">
    <cfRule type="cellIs" dxfId="628" priority="705" operator="equal">
      <formula>0</formula>
    </cfRule>
    <cfRule type="expression" dxfId="627" priority="1210">
      <formula>IF($Y6&gt;$Y3,AND(MID($A5,5,1)=" "))</formula>
    </cfRule>
    <cfRule type="expression" dxfId="626" priority="1211">
      <formula>IF($Y6&gt;$Y3,AND(MID($A5,5,1)="C"))</formula>
    </cfRule>
    <cfRule type="expression" dxfId="625" priority="1212">
      <formula>IF($Y6&gt;$Y3,AND(MID($A5,5,1)="D"))</formula>
    </cfRule>
  </conditionalFormatting>
  <conditionalFormatting sqref="B18">
    <cfRule type="expression" dxfId="624" priority="796">
      <formula>IF($Y21&gt;$Y18,AND(MID($A18,5,1)=" "))</formula>
    </cfRule>
    <cfRule type="expression" dxfId="623" priority="797">
      <formula>IF($Y21&gt;$Y18,AND(MID($A18,5,1)="C"))</formula>
    </cfRule>
    <cfRule type="expression" dxfId="622" priority="798">
      <formula>IF($Y21&gt;$Y18,AND(MID($A18,5,1)="D"))</formula>
    </cfRule>
  </conditionalFormatting>
  <conditionalFormatting sqref="E19">
    <cfRule type="expression" dxfId="621" priority="799">
      <formula>IF($Y21&gt;$Y18,AND(MID($A19,5,1)=" "))</formula>
    </cfRule>
    <cfRule type="expression" dxfId="620" priority="800">
      <formula>IF($Y21&gt;$Y18,AND(MID($A19,5,1)="C"))</formula>
    </cfRule>
    <cfRule type="expression" dxfId="619" priority="801">
      <formula>IF($Y21&gt;$Y18,AND(MID($A19,5,1)="D"))</formula>
    </cfRule>
  </conditionalFormatting>
  <conditionalFormatting sqref="B20">
    <cfRule type="expression" dxfId="618" priority="802">
      <formula>IF($Y21&gt;$Y18,AND(MID($A20,5,1)=" "))</formula>
    </cfRule>
    <cfRule type="expression" dxfId="617" priority="803">
      <formula>IF($Y21&gt;$Y18,AND(MID($A20,5,1)="C"))</formula>
    </cfRule>
    <cfRule type="expression" dxfId="616" priority="804">
      <formula>IF($Y21&gt;$Y18,AND(MID($A20,5,1)="D"))</formula>
    </cfRule>
  </conditionalFormatting>
  <conditionalFormatting sqref="E21">
    <cfRule type="expression" dxfId="615" priority="805">
      <formula>IF($Y21&gt;$Y18,AND(MID($A21,5,1)=" "))</formula>
    </cfRule>
    <cfRule type="expression" dxfId="614" priority="806">
      <formula>IF($Y21&gt;$Y18,AND(MID($A21,5,1)="C"))</formula>
    </cfRule>
    <cfRule type="expression" dxfId="613" priority="807">
      <formula>IF($Y21&gt;$Y18,AND(MID($A21,5,1)="D"))</formula>
    </cfRule>
  </conditionalFormatting>
  <conditionalFormatting sqref="C18">
    <cfRule type="expression" dxfId="612" priority="808">
      <formula>IF($Y21&gt;$Y18,AND(MID($A18,5,1)=" "))</formula>
    </cfRule>
    <cfRule type="expression" dxfId="611" priority="809">
      <formula>IF($Y21&gt;$Y18,AND(MID($A18,5,1)="C"))</formula>
    </cfRule>
    <cfRule type="expression" dxfId="610" priority="810">
      <formula>IF($Y21&gt;$Y18,AND(MID($A18,5,1)="D"))</formula>
    </cfRule>
  </conditionalFormatting>
  <conditionalFormatting sqref="D19">
    <cfRule type="expression" dxfId="609" priority="811">
      <formula>IF($Y21&gt;$Y18,AND(MID($A19,5,1)=" "))</formula>
    </cfRule>
    <cfRule type="expression" dxfId="608" priority="812">
      <formula>IF($Y21&gt;$Y18,AND(MID($A19,5,1)="C"))</formula>
    </cfRule>
    <cfRule type="expression" dxfId="607" priority="813">
      <formula>IF($Y21&gt;$Y18,AND(MID($A19,5,1)="D"))</formula>
    </cfRule>
  </conditionalFormatting>
  <conditionalFormatting sqref="D21">
    <cfRule type="expression" dxfId="606" priority="814">
      <formula>IF($Y21&gt;$Y18,AND(MID($A21,5,1)=" "))</formula>
    </cfRule>
    <cfRule type="expression" dxfId="605" priority="815">
      <formula>IF($Y21&gt;$Y18,AND(MID($A21,5,1)="C"))</formula>
    </cfRule>
    <cfRule type="expression" dxfId="604" priority="816">
      <formula>IF($Y21&gt;$Y18,AND(MID($A21,5,1)="D"))</formula>
    </cfRule>
  </conditionalFormatting>
  <conditionalFormatting sqref="C20">
    <cfRule type="expression" dxfId="603" priority="817">
      <formula>IF($Y21&gt;$Y18,AND(MID($A20,5,1)=" "))</formula>
    </cfRule>
    <cfRule type="expression" dxfId="602" priority="818">
      <formula>IF($Y21&gt;$Y18,AND(MID($A20,5,1)="C"))</formula>
    </cfRule>
    <cfRule type="expression" dxfId="601" priority="819">
      <formula>IF($Y21&gt;$Y18,AND(MID($A20,5,1)="D"))</formula>
    </cfRule>
  </conditionalFormatting>
  <conditionalFormatting sqref="A19">
    <cfRule type="expression" dxfId="600" priority="790">
      <formula>IF($Y21&gt;$Y18,AND(MID($A19,5,1)=" "))</formula>
    </cfRule>
    <cfRule type="expression" dxfId="599" priority="791">
      <formula>IF($Y21&gt;$Y18,AND(MID($A19,5,1)="C"))</formula>
    </cfRule>
    <cfRule type="expression" dxfId="598" priority="792">
      <formula>IF($Y21&gt;$Y18,AND(MID($A19,5,1)="D"))</formula>
    </cfRule>
  </conditionalFormatting>
  <conditionalFormatting sqref="A20">
    <cfRule type="expression" dxfId="597" priority="793">
      <formula>IF($Y21&gt;$Y18,AND(MID($A20,5,1)=" "))</formula>
    </cfRule>
    <cfRule type="expression" dxfId="596" priority="794">
      <formula>IF($Y21&gt;$Y18,AND(MID($A20,5,1)="C"))</formula>
    </cfRule>
    <cfRule type="expression" dxfId="595" priority="795">
      <formula>IF($Y21&gt;$Y18,AND(MID($A20,5,1)="D"))</formula>
    </cfRule>
  </conditionalFormatting>
  <conditionalFormatting sqref="A21">
    <cfRule type="expression" dxfId="594" priority="787">
      <formula>IF($Y21&gt;$Y18,AND(MID($A21,5,1)=" "))</formula>
    </cfRule>
    <cfRule type="expression" dxfId="593" priority="788">
      <formula>IF($Y21&gt;$Y18,AND(MID($A21,5,1)="C"))</formula>
    </cfRule>
    <cfRule type="expression" dxfId="592" priority="789">
      <formula>IF($Y21&gt;$Y18,AND(MID($A21,5,1)="D"))</formula>
    </cfRule>
  </conditionalFormatting>
  <conditionalFormatting sqref="A18">
    <cfRule type="expression" dxfId="591" priority="784">
      <formula>IF($Y21&gt;$Y18,AND(MID($A18,5,1)=" "))</formula>
    </cfRule>
    <cfRule type="expression" dxfId="590" priority="785">
      <formula>IF($Y21&gt;$Y18,AND(MID($A18,5,1)="C"))</formula>
    </cfRule>
    <cfRule type="expression" dxfId="589" priority="786">
      <formula>IF($Y21&gt;$Y18,AND(MID($A18,5,1)="D"))</formula>
    </cfRule>
  </conditionalFormatting>
  <conditionalFormatting sqref="A11">
    <cfRule type="expression" dxfId="588" priority="778">
      <formula>IF($Y13&gt;$Y10,AND(MID($A11,5,1)=" "))</formula>
    </cfRule>
    <cfRule type="expression" dxfId="587" priority="779">
      <formula>IF($Y13&gt;$Y10,AND(MID($A11,5,1)="C"))</formula>
    </cfRule>
    <cfRule type="expression" dxfId="586" priority="780">
      <formula>IF($Y13&gt;$Y10,AND(MID($A11,5,1)="D"))</formula>
    </cfRule>
  </conditionalFormatting>
  <conditionalFormatting sqref="A12">
    <cfRule type="expression" dxfId="585" priority="781">
      <formula>IF($Y13&gt;$Y10,AND(MID($A12,5,1)=" "))</formula>
    </cfRule>
    <cfRule type="expression" dxfId="584" priority="782">
      <formula>IF($Y13&gt;$Y10,AND(MID($A12,5,1)="C"))</formula>
    </cfRule>
    <cfRule type="expression" dxfId="583" priority="783">
      <formula>IF($Y13&gt;$Y10,AND(MID($A12,5,1)="D"))</formula>
    </cfRule>
  </conditionalFormatting>
  <conditionalFormatting sqref="A13">
    <cfRule type="expression" dxfId="582" priority="775">
      <formula>IF($Y13&gt;$Y10,AND(MID($A13,5,1)=" "))</formula>
    </cfRule>
    <cfRule type="expression" dxfId="581" priority="776">
      <formula>IF($Y13&gt;$Y10,AND(MID($A13,5,1)="C"))</formula>
    </cfRule>
    <cfRule type="expression" dxfId="580" priority="777">
      <formula>IF($Y13&gt;$Y10,AND(MID($A13,5,1)="D"))</formula>
    </cfRule>
  </conditionalFormatting>
  <conditionalFormatting sqref="A10">
    <cfRule type="expression" dxfId="579" priority="772">
      <formula>IF($Y13&gt;$Y10,AND(MID($A10,5,1)=" "))</formula>
    </cfRule>
    <cfRule type="expression" dxfId="578" priority="773">
      <formula>IF($Y13&gt;$Y10,AND(MID($A10,5,1)="C"))</formula>
    </cfRule>
    <cfRule type="expression" dxfId="577" priority="774">
      <formula>IF($Y13&gt;$Y10,AND(MID($A10,5,1)="D"))</formula>
    </cfRule>
  </conditionalFormatting>
  <conditionalFormatting sqref="A7">
    <cfRule type="expression" dxfId="576" priority="766">
      <formula>IF($Y9&gt;$Y6,AND(MID($A7,5,1)=" "))</formula>
    </cfRule>
    <cfRule type="expression" dxfId="575" priority="767">
      <formula>IF($Y9&gt;$Y6,AND(MID($A7,5,1)="C"))</formula>
    </cfRule>
    <cfRule type="expression" dxfId="574" priority="768">
      <formula>IF($Y9&gt;$Y6,AND(MID($A7,5,1)="D"))</formula>
    </cfRule>
  </conditionalFormatting>
  <conditionalFormatting sqref="A8">
    <cfRule type="expression" dxfId="573" priority="769">
      <formula>IF($Y9&gt;$Y6,AND(MID($A8,5,1)=" "))</formula>
    </cfRule>
    <cfRule type="expression" dxfId="572" priority="770">
      <formula>IF($Y9&gt;$Y6,AND(MID($A8,5,1)="C"))</formula>
    </cfRule>
    <cfRule type="expression" dxfId="571" priority="771">
      <formula>IF($Y9&gt;$Y6,AND(MID($A8,5,1)="D"))</formula>
    </cfRule>
  </conditionalFormatting>
  <conditionalFormatting sqref="A9">
    <cfRule type="expression" dxfId="570" priority="763">
      <formula>IF($Y9&gt;$Y6,AND(MID($A9,5,1)=" "))</formula>
    </cfRule>
    <cfRule type="expression" dxfId="569" priority="764">
      <formula>IF($Y9&gt;$Y6,AND(MID($A9,5,1)="C"))</formula>
    </cfRule>
    <cfRule type="expression" dxfId="568" priority="765">
      <formula>IF($Y9&gt;$Y6,AND(MID($A9,5,1)="D"))</formula>
    </cfRule>
  </conditionalFormatting>
  <conditionalFormatting sqref="A6">
    <cfRule type="expression" dxfId="567" priority="760">
      <formula>IF($Y9&gt;$Y6,AND(MID($A6,5,1)=" "))</formula>
    </cfRule>
    <cfRule type="expression" dxfId="566" priority="761">
      <formula>IF($Y9&gt;$Y6,AND(MID($A6,5,1)="C"))</formula>
    </cfRule>
    <cfRule type="expression" dxfId="565" priority="762">
      <formula>IF($Y9&gt;$Y6,AND(MID($A6,5,1)="D"))</formula>
    </cfRule>
  </conditionalFormatting>
  <conditionalFormatting sqref="A3">
    <cfRule type="expression" dxfId="564" priority="754">
      <formula>IF($Y5&gt;$Y2,AND(MID($A3,5,1)=" "))</formula>
    </cfRule>
    <cfRule type="expression" dxfId="563" priority="755">
      <formula>IF($Y5&gt;$Y2,AND(MID($A3,5,1)="C"))</formula>
    </cfRule>
    <cfRule type="expression" dxfId="562" priority="756">
      <formula>IF($Y5&gt;$Y2,AND(MID($A3,5,1)="D"))</formula>
    </cfRule>
  </conditionalFormatting>
  <conditionalFormatting sqref="A4">
    <cfRule type="expression" dxfId="561" priority="757">
      <formula>IF($Y5&gt;$Y2,AND(MID($A4,5,1)=" "))</formula>
    </cfRule>
    <cfRule type="expression" dxfId="560" priority="758">
      <formula>IF($Y5&gt;$Y2,AND(MID($A4,5,1)="C"))</formula>
    </cfRule>
    <cfRule type="expression" dxfId="559" priority="759">
      <formula>IF($Y5&gt;$Y2,AND(MID($A4,5,1)="D"))</formula>
    </cfRule>
  </conditionalFormatting>
  <conditionalFormatting sqref="A5">
    <cfRule type="expression" dxfId="558" priority="751">
      <formula>IF($Y5&gt;$Y2,AND(MID($A5,5,1)=" "))</formula>
    </cfRule>
    <cfRule type="expression" dxfId="557" priority="752">
      <formula>IF($Y5&gt;$Y2,AND(MID($A5,5,1)="C"))</formula>
    </cfRule>
    <cfRule type="expression" dxfId="556" priority="753">
      <formula>IF($Y5&gt;$Y2,AND(MID($A5,5,1)="D"))</formula>
    </cfRule>
  </conditionalFormatting>
  <conditionalFormatting sqref="A2">
    <cfRule type="expression" dxfId="555" priority="748">
      <formula>IF($Y5&gt;$Y2,AND(MID($A2,5,1)=" "))</formula>
    </cfRule>
    <cfRule type="expression" dxfId="554" priority="749">
      <formula>IF($Y5&gt;$Y2,AND(MID($A2,5,1)="C"))</formula>
    </cfRule>
    <cfRule type="expression" dxfId="553" priority="750">
      <formula>IF($Y5&gt;$Y2,AND(MID($A2,5,1)="D"))</formula>
    </cfRule>
  </conditionalFormatting>
  <conditionalFormatting sqref="M30:M39"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552" priority="721">
      <formula>IF($Y25&gt;$Y22,AND(MID($A22,5,1)=" "))</formula>
    </cfRule>
    <cfRule type="expression" dxfId="551" priority="722">
      <formula>IF($Y25&gt;$Y22,AND(MID($A22,5,1)="C"))</formula>
    </cfRule>
    <cfRule type="expression" dxfId="550" priority="723">
      <formula>IF($Y25&gt;$Y22,AND(MID($A22,5,1)="D"))</formula>
    </cfRule>
  </conditionalFormatting>
  <conditionalFormatting sqref="E23">
    <cfRule type="expression" dxfId="549" priority="724">
      <formula>IF($Y25&gt;$Y22,AND(MID($A23,5,1)=" "))</formula>
    </cfRule>
    <cfRule type="expression" dxfId="548" priority="725">
      <formula>IF($Y25&gt;$Y22,AND(MID($A23,5,1)="C"))</formula>
    </cfRule>
    <cfRule type="expression" dxfId="547" priority="726">
      <formula>IF($Y25&gt;$Y22,AND(MID($A23,5,1)="D"))</formula>
    </cfRule>
  </conditionalFormatting>
  <conditionalFormatting sqref="B24">
    <cfRule type="expression" dxfId="546" priority="727">
      <formula>IF($Y25&gt;$Y22,AND(MID($A24,5,1)=" "))</formula>
    </cfRule>
    <cfRule type="expression" dxfId="545" priority="728">
      <formula>IF($Y25&gt;$Y22,AND(MID($A24,5,1)="C"))</formula>
    </cfRule>
    <cfRule type="expression" dxfId="544" priority="729">
      <formula>IF($Y25&gt;$Y22,AND(MID($A24,5,1)="D"))</formula>
    </cfRule>
  </conditionalFormatting>
  <conditionalFormatting sqref="E25">
    <cfRule type="expression" dxfId="543" priority="730">
      <formula>IF($Y25&gt;$Y22,AND(MID($A25,5,1)=" "))</formula>
    </cfRule>
    <cfRule type="expression" dxfId="542" priority="731">
      <formula>IF($Y25&gt;$Y22,AND(MID($A25,5,1)="C"))</formula>
    </cfRule>
    <cfRule type="expression" dxfId="541" priority="732">
      <formula>IF($Y25&gt;$Y22,AND(MID($A25,5,1)="D"))</formula>
    </cfRule>
  </conditionalFormatting>
  <conditionalFormatting sqref="C22">
    <cfRule type="expression" dxfId="540" priority="733">
      <formula>IF($Y25&gt;$Y22,AND(MID($A22,5,1)=" "))</formula>
    </cfRule>
    <cfRule type="expression" dxfId="539" priority="734">
      <formula>IF($Y25&gt;$Y22,AND(MID($A22,5,1)="C"))</formula>
    </cfRule>
    <cfRule type="expression" dxfId="538" priority="735">
      <formula>IF($Y25&gt;$Y22,AND(MID($A22,5,1)="D"))</formula>
    </cfRule>
  </conditionalFormatting>
  <conditionalFormatting sqref="D23">
    <cfRule type="expression" dxfId="537" priority="736">
      <formula>IF($Y25&gt;$Y22,AND(MID($A23,5,1)=" "))</formula>
    </cfRule>
    <cfRule type="expression" dxfId="536" priority="737">
      <formula>IF($Y25&gt;$Y22,AND(MID($A23,5,1)="C"))</formula>
    </cfRule>
    <cfRule type="expression" dxfId="535" priority="738">
      <formula>IF($Y25&gt;$Y22,AND(MID($A23,5,1)="D"))</formula>
    </cfRule>
  </conditionalFormatting>
  <conditionalFormatting sqref="D25">
    <cfRule type="expression" dxfId="534" priority="739">
      <formula>IF($Y25&gt;$Y22,AND(MID($A25,5,1)=" "))</formula>
    </cfRule>
    <cfRule type="expression" dxfId="533" priority="740">
      <formula>IF($Y25&gt;$Y22,AND(MID($A25,5,1)="C"))</formula>
    </cfRule>
    <cfRule type="expression" dxfId="532" priority="741">
      <formula>IF($Y25&gt;$Y22,AND(MID($A25,5,1)="D"))</formula>
    </cfRule>
  </conditionalFormatting>
  <conditionalFormatting sqref="C24">
    <cfRule type="expression" dxfId="531" priority="742">
      <formula>IF($Y25&gt;$Y22,AND(MID($A24,5,1)=" "))</formula>
    </cfRule>
    <cfRule type="expression" dxfId="530" priority="743">
      <formula>IF($Y25&gt;$Y22,AND(MID($A24,5,1)="C"))</formula>
    </cfRule>
    <cfRule type="expression" dxfId="529" priority="744">
      <formula>IF($Y25&gt;$Y22,AND(MID($A24,5,1)="D"))</formula>
    </cfRule>
  </conditionalFormatting>
  <conditionalFormatting sqref="A23">
    <cfRule type="expression" dxfId="528" priority="715">
      <formula>IF($Y25&gt;$Y22,AND(MID($A23,5,1)=" "))</formula>
    </cfRule>
    <cfRule type="expression" dxfId="527" priority="716">
      <formula>IF($Y25&gt;$Y22,AND(MID($A23,5,1)="C"))</formula>
    </cfRule>
    <cfRule type="expression" dxfId="526" priority="717">
      <formula>IF($Y25&gt;$Y22,AND(MID($A23,5,1)="D"))</formula>
    </cfRule>
  </conditionalFormatting>
  <conditionalFormatting sqref="A24">
    <cfRule type="expression" dxfId="525" priority="718">
      <formula>IF($Y25&gt;$Y22,AND(MID($A24,5,1)=" "))</formula>
    </cfRule>
    <cfRule type="expression" dxfId="524" priority="719">
      <formula>IF($Y25&gt;$Y22,AND(MID($A24,5,1)="C"))</formula>
    </cfRule>
    <cfRule type="expression" dxfId="523" priority="720">
      <formula>IF($Y25&gt;$Y22,AND(MID($A24,5,1)="D"))</formula>
    </cfRule>
  </conditionalFormatting>
  <conditionalFormatting sqref="A25">
    <cfRule type="expression" dxfId="522" priority="712">
      <formula>IF($Y25&gt;$Y22,AND(MID($A25,5,1)=" "))</formula>
    </cfRule>
    <cfRule type="expression" dxfId="521" priority="713">
      <formula>IF($Y25&gt;$Y22,AND(MID($A25,5,1)="C"))</formula>
    </cfRule>
    <cfRule type="expression" dxfId="520" priority="714">
      <formula>IF($Y25&gt;$Y22,AND(MID($A25,5,1)="D"))</formula>
    </cfRule>
  </conditionalFormatting>
  <conditionalFormatting sqref="A22">
    <cfRule type="expression" dxfId="519" priority="709">
      <formula>IF($Y25&gt;$Y22,AND(MID($A22,5,1)=" "))</formula>
    </cfRule>
    <cfRule type="expression" dxfId="518" priority="710">
      <formula>IF($Y25&gt;$Y22,AND(MID($A22,5,1)="C"))</formula>
    </cfRule>
    <cfRule type="expression" dxfId="517" priority="711">
      <formula>IF($Y25&gt;$Y22,AND(MID($A22,5,1)="D"))</formula>
    </cfRule>
  </conditionalFormatting>
  <conditionalFormatting sqref="Y17">
    <cfRule type="cellIs" dxfId="516" priority="702" operator="equal">
      <formula>0</formula>
    </cfRule>
    <cfRule type="expression" dxfId="515" priority="706">
      <formula>IF($Y17&gt;$Y14,AND(MID($A17,5,1)=" "))</formula>
    </cfRule>
    <cfRule type="expression" dxfId="514" priority="707">
      <formula>IF($Y17&gt;$Y14,AND(MID($A17,5,1)="C"))</formula>
    </cfRule>
    <cfRule type="expression" dxfId="513" priority="708">
      <formula>IF($Y17&gt;$Y14,AND(MID($A17,5,1)="D"))</formula>
    </cfRule>
  </conditionalFormatting>
  <conditionalFormatting sqref="Y21">
    <cfRule type="cellIs" dxfId="512" priority="701" operator="equal">
      <formula>0</formula>
    </cfRule>
  </conditionalFormatting>
  <conditionalFormatting sqref="Y25">
    <cfRule type="cellIs" dxfId="511" priority="700" operator="equal">
      <formula>0</formula>
    </cfRule>
  </conditionalFormatting>
  <conditionalFormatting sqref="D61">
    <cfRule type="expression" dxfId="510" priority="699">
      <formula>E61&gt;B61</formula>
    </cfRule>
  </conditionalFormatting>
  <conditionalFormatting sqref="C61">
    <cfRule type="expression" dxfId="509" priority="698">
      <formula>B61&gt;E61</formula>
    </cfRule>
  </conditionalFormatting>
  <conditionalFormatting sqref="D60">
    <cfRule type="expression" dxfId="508" priority="697">
      <formula>E60&gt;B60</formula>
    </cfRule>
  </conditionalFormatting>
  <conditionalFormatting sqref="C60">
    <cfRule type="expression" dxfId="507" priority="696">
      <formula>B60&gt;E60</formula>
    </cfRule>
  </conditionalFormatting>
  <conditionalFormatting sqref="B61">
    <cfRule type="cellIs" dxfId="506" priority="695" operator="greaterThan">
      <formula>E61</formula>
    </cfRule>
  </conditionalFormatting>
  <conditionalFormatting sqref="B60">
    <cfRule type="cellIs" dxfId="505" priority="694" operator="greaterThan">
      <formula>E60</formula>
    </cfRule>
  </conditionalFormatting>
  <conditionalFormatting sqref="E61">
    <cfRule type="cellIs" dxfId="504" priority="693" operator="greaterThan">
      <formula>B61</formula>
    </cfRule>
  </conditionalFormatting>
  <conditionalFormatting sqref="E60">
    <cfRule type="cellIs" dxfId="503" priority="692" operator="greaterThan">
      <formula>B60</formula>
    </cfRule>
  </conditionalFormatting>
  <conditionalFormatting sqref="Z40:Z44 Z47:Z49">
    <cfRule type="cellIs" dxfId="502" priority="691" operator="equal">
      <formula>0</formula>
    </cfRule>
  </conditionalFormatting>
  <conditionalFormatting sqref="Y40:Y44 Y47:Y49">
    <cfRule type="cellIs" dxfId="501" priority="690" operator="equal">
      <formula>0</formula>
    </cfRule>
  </conditionalFormatting>
  <conditionalFormatting sqref="Y45:Z45">
    <cfRule type="cellIs" dxfId="500" priority="689" operator="equal">
      <formula>0</formula>
    </cfRule>
  </conditionalFormatting>
  <conditionalFormatting sqref="Y46:Z46">
    <cfRule type="cellIs" dxfId="499" priority="688" operator="equal">
      <formula>0</formula>
    </cfRule>
  </conditionalFormatting>
  <conditionalFormatting sqref="Z50:Z54 Z57:Z59">
    <cfRule type="cellIs" dxfId="498" priority="687" operator="equal">
      <formula>0</formula>
    </cfRule>
  </conditionalFormatting>
  <conditionalFormatting sqref="Y50:Y54 Y57:Y59">
    <cfRule type="cellIs" dxfId="497" priority="686" operator="equal">
      <formula>0</formula>
    </cfRule>
  </conditionalFormatting>
  <conditionalFormatting sqref="Y55:Z55">
    <cfRule type="cellIs" dxfId="496" priority="685" operator="equal">
      <formula>0</formula>
    </cfRule>
  </conditionalFormatting>
  <conditionalFormatting sqref="Y56:Z56">
    <cfRule type="cellIs" dxfId="495" priority="684" operator="equal">
      <formula>0</formula>
    </cfRule>
  </conditionalFormatting>
  <conditionalFormatting sqref="A27">
    <cfRule type="expression" dxfId="494" priority="679">
      <formula>X27&lt;&gt;0</formula>
    </cfRule>
    <cfRule type="expression" dxfId="493" priority="680">
      <formula>IF($V27&lt;&gt;0,AND(MID($A27,5,1)=" "))</formula>
    </cfRule>
    <cfRule type="expression" dxfId="492" priority="681">
      <formula>IF($V27&lt;&gt;0,AND(MID($A27,5,1)="C"))</formula>
    </cfRule>
    <cfRule type="expression" dxfId="491" priority="682">
      <formula>IF($V27&lt;&gt;0,AND(MID($A27,5,1)="D"))</formula>
    </cfRule>
  </conditionalFormatting>
  <conditionalFormatting sqref="A28">
    <cfRule type="expression" dxfId="490" priority="675">
      <formula>X28&lt;&gt;0</formula>
    </cfRule>
    <cfRule type="expression" dxfId="489" priority="676">
      <formula>IF($V28&lt;&gt;0,AND(MID($A28,5,1)=" "))</formula>
    </cfRule>
    <cfRule type="expression" dxfId="488" priority="677">
      <formula>IF($V28&lt;&gt;0,AND(MID($A28,5,1)="C"))</formula>
    </cfRule>
    <cfRule type="expression" dxfId="487" priority="678">
      <formula>IF($V28&lt;&gt;0,AND(MID($A28,5,1)="D"))</formula>
    </cfRule>
  </conditionalFormatting>
  <conditionalFormatting sqref="A29">
    <cfRule type="expression" dxfId="486" priority="671">
      <formula>X29&lt;&gt;0</formula>
    </cfRule>
    <cfRule type="expression" dxfId="485" priority="672">
      <formula>IF($V29&lt;&gt;0,AND(MID($A29,5,1)=" "))</formula>
    </cfRule>
    <cfRule type="expression" dxfId="484" priority="673">
      <formula>IF($V29&lt;&gt;0,AND(MID($A29,5,1)="C"))</formula>
    </cfRule>
    <cfRule type="expression" dxfId="483" priority="674">
      <formula>IF($V29&lt;&gt;0,AND(MID($A29,5,1)="D"))</formula>
    </cfRule>
  </conditionalFormatting>
  <conditionalFormatting sqref="Y70">
    <cfRule type="cellIs" dxfId="482" priority="669" operator="lessThanOrEqual">
      <formula>0</formula>
    </cfRule>
    <cfRule type="expression" dxfId="481" priority="670">
      <formula>(C71)-(D70)&gt;(C71/100)*(1+$AD$1*$AE$1)</formula>
    </cfRule>
  </conditionalFormatting>
  <conditionalFormatting sqref="Y76">
    <cfRule type="cellIs" dxfId="480" priority="667" operator="lessThanOrEqual">
      <formula>0</formula>
    </cfRule>
    <cfRule type="expression" dxfId="479" priority="668">
      <formula>(C77)-(D76)&gt;(C77/100)*(1+$AD$1*$AE$1)</formula>
    </cfRule>
  </conditionalFormatting>
  <conditionalFormatting sqref="Y82">
    <cfRule type="cellIs" dxfId="478" priority="665" operator="lessThanOrEqual">
      <formula>0</formula>
    </cfRule>
    <cfRule type="expression" dxfId="477" priority="666">
      <formula>(C83)-(D82)&gt;(C83/100)*(1+$AD$1*$AE$1)</formula>
    </cfRule>
  </conditionalFormatting>
  <conditionalFormatting sqref="Y88">
    <cfRule type="cellIs" dxfId="476" priority="663" operator="lessThanOrEqual">
      <formula>0</formula>
    </cfRule>
    <cfRule type="expression" dxfId="475" priority="664">
      <formula>(C89)-(D88)&gt;(C89/100)*(1+$AD$1*$AE$1)</formula>
    </cfRule>
  </conditionalFormatting>
  <conditionalFormatting sqref="Y94">
    <cfRule type="cellIs" dxfId="474" priority="661" operator="lessThanOrEqual">
      <formula>0</formula>
    </cfRule>
    <cfRule type="expression" dxfId="473" priority="662">
      <formula>(C95)-(D94)&gt;(C95/100)*(1+$AD$1*$AE$1)</formula>
    </cfRule>
  </conditionalFormatting>
  <conditionalFormatting sqref="Y100">
    <cfRule type="cellIs" dxfId="472" priority="659" operator="lessThanOrEqual">
      <formula>0</formula>
    </cfRule>
    <cfRule type="expression" dxfId="471" priority="660">
      <formula>(C101)-(D100)&gt;(C101/100)*(1+$AD$1*$AE$1)</formula>
    </cfRule>
  </conditionalFormatting>
  <conditionalFormatting sqref="Y106">
    <cfRule type="cellIs" dxfId="470" priority="657" operator="lessThanOrEqual">
      <formula>0</formula>
    </cfRule>
    <cfRule type="expression" dxfId="469" priority="658">
      <formula>(C107)-(D106)&gt;(C107/100)*(1+$AD$1*$AE$1)</formula>
    </cfRule>
  </conditionalFormatting>
  <conditionalFormatting sqref="Y112">
    <cfRule type="cellIs" dxfId="468" priority="655" operator="lessThanOrEqual">
      <formula>0</formula>
    </cfRule>
    <cfRule type="expression" dxfId="467" priority="656">
      <formula>(C113)-(D112)&gt;(C113/100)*(1+$AD$1*$AE$1)</formula>
    </cfRule>
  </conditionalFormatting>
  <conditionalFormatting sqref="Y118">
    <cfRule type="cellIs" dxfId="466" priority="653" operator="lessThanOrEqual">
      <formula>0</formula>
    </cfRule>
    <cfRule type="expression" dxfId="465" priority="654">
      <formula>(C119)-(D118)&gt;(C119/100)*(1+$AD$1*$AE$1)</formula>
    </cfRule>
  </conditionalFormatting>
  <conditionalFormatting sqref="Y124">
    <cfRule type="cellIs" dxfId="464" priority="651" operator="lessThanOrEqual">
      <formula>0</formula>
    </cfRule>
    <cfRule type="expression" dxfId="463" priority="652">
      <formula>(C125)-(D124)&gt;(C125/100)*(1+$AD$1*$AE$1)</formula>
    </cfRule>
  </conditionalFormatting>
  <conditionalFormatting sqref="Y130">
    <cfRule type="cellIs" dxfId="462" priority="649" operator="lessThanOrEqual">
      <formula>0</formula>
    </cfRule>
    <cfRule type="expression" dxfId="461" priority="650">
      <formula>(C131)-(D130)&gt;(C131/100)*(1+$AD$1*$AE$1)</formula>
    </cfRule>
  </conditionalFormatting>
  <conditionalFormatting sqref="Y136">
    <cfRule type="cellIs" dxfId="460" priority="647" operator="lessThanOrEqual">
      <formula>0</formula>
    </cfRule>
    <cfRule type="expression" dxfId="459" priority="648">
      <formula>(C137)-(D136)&gt;(C137/100)*(1+$AD$1*$AE$1)</formula>
    </cfRule>
  </conditionalFormatting>
  <conditionalFormatting sqref="Y142">
    <cfRule type="cellIs" dxfId="458" priority="645" operator="lessThanOrEqual">
      <formula>0</formula>
    </cfRule>
    <cfRule type="expression" dxfId="457" priority="646">
      <formula>(C143)-(D142)&gt;(C143/100)*(1+$AD$1*$AE$1)</formula>
    </cfRule>
  </conditionalFormatting>
  <conditionalFormatting sqref="Y148">
    <cfRule type="cellIs" dxfId="456" priority="643" operator="lessThanOrEqual">
      <formula>0</formula>
    </cfRule>
    <cfRule type="expression" dxfId="455" priority="644">
      <formula>(C149)-(D148)&gt;(C149/100)*(1+$AD$1*$AE$1)</formula>
    </cfRule>
  </conditionalFormatting>
  <conditionalFormatting sqref="Y154">
    <cfRule type="cellIs" dxfId="454" priority="641" operator="lessThanOrEqual">
      <formula>0</formula>
    </cfRule>
    <cfRule type="expression" dxfId="453" priority="642">
      <formula>(C155)-(D154)&gt;(C155/100)*(1+$AD$1*$AE$1)</formula>
    </cfRule>
  </conditionalFormatting>
  <conditionalFormatting sqref="Y160">
    <cfRule type="cellIs" dxfId="452" priority="639" operator="lessThanOrEqual">
      <formula>0</formula>
    </cfRule>
    <cfRule type="expression" dxfId="451" priority="640">
      <formula>(C161)-(D160)&gt;(C161/100)*(1+$AD$1*$AE$1)</formula>
    </cfRule>
  </conditionalFormatting>
  <conditionalFormatting sqref="Y166">
    <cfRule type="cellIs" dxfId="450" priority="637" operator="lessThanOrEqual">
      <formula>0</formula>
    </cfRule>
    <cfRule type="expression" dxfId="449" priority="638">
      <formula>(C167)-(D166)&gt;(C167/100)*(1+$AD$1*$AE$1)</formula>
    </cfRule>
  </conditionalFormatting>
  <conditionalFormatting sqref="Y172">
    <cfRule type="cellIs" dxfId="448" priority="635" operator="lessThanOrEqual">
      <formula>0</formula>
    </cfRule>
    <cfRule type="expression" dxfId="447" priority="636">
      <formula>(C173)-(D172)&gt;(C173/100)*(1+$AD$1*$AE$1)</formula>
    </cfRule>
  </conditionalFormatting>
  <conditionalFormatting sqref="Y178">
    <cfRule type="cellIs" dxfId="446" priority="633" operator="lessThanOrEqual">
      <formula>0</formula>
    </cfRule>
    <cfRule type="expression" dxfId="445" priority="634">
      <formula>(C179)-(D178)&gt;(C179/100)*(1+$AD$1*$AE$1)</formula>
    </cfRule>
  </conditionalFormatting>
  <conditionalFormatting sqref="Y184">
    <cfRule type="cellIs" dxfId="444" priority="631" operator="lessThanOrEqual">
      <formula>0</formula>
    </cfRule>
    <cfRule type="expression" dxfId="443" priority="632">
      <formula>(C185)-(D184)&gt;(C185/100)*(1+$AD$1*$AE$1)</formula>
    </cfRule>
  </conditionalFormatting>
  <conditionalFormatting sqref="Y190">
    <cfRule type="cellIs" dxfId="442" priority="629" operator="lessThanOrEqual">
      <formula>0</formula>
    </cfRule>
    <cfRule type="expression" dxfId="441" priority="630">
      <formula>(C191)-(D190)&gt;(C191/100)*(1+$AD$1*$AE$1)</formula>
    </cfRule>
  </conditionalFormatting>
  <conditionalFormatting sqref="Y196">
    <cfRule type="cellIs" dxfId="440" priority="627" operator="lessThanOrEqual">
      <formula>0</formula>
    </cfRule>
    <cfRule type="expression" dxfId="439" priority="628">
      <formula>(C197)-(D196)&gt;(C197/100)*(1+$AD$1*$AE$1)</formula>
    </cfRule>
  </conditionalFormatting>
  <conditionalFormatting sqref="X10">
    <cfRule type="expression" dxfId="438" priority="585">
      <formula>X10*100&gt;C10</formula>
    </cfRule>
    <cfRule type="cellIs" dxfId="437" priority="586" operator="equal">
      <formula>0</formula>
    </cfRule>
  </conditionalFormatting>
  <conditionalFormatting sqref="X11">
    <cfRule type="expression" dxfId="436" priority="583">
      <formula>X11*100&gt;C11</formula>
    </cfRule>
    <cfRule type="cellIs" dxfId="435" priority="584" operator="equal">
      <formula>0</formula>
    </cfRule>
  </conditionalFormatting>
  <conditionalFormatting sqref="X12">
    <cfRule type="expression" dxfId="434" priority="581">
      <formula>X12*100&gt;C12</formula>
    </cfRule>
    <cfRule type="cellIs" dxfId="433" priority="582" operator="equal">
      <formula>0</formula>
    </cfRule>
  </conditionalFormatting>
  <conditionalFormatting sqref="X13">
    <cfRule type="expression" dxfId="432" priority="579">
      <formula>X13*100&gt;C13</formula>
    </cfRule>
    <cfRule type="cellIs" dxfId="431" priority="580" operator="equal">
      <formula>0</formula>
    </cfRule>
  </conditionalFormatting>
  <conditionalFormatting sqref="X14">
    <cfRule type="expression" dxfId="430" priority="577">
      <formula>X14*100&gt;C14</formula>
    </cfRule>
    <cfRule type="cellIs" dxfId="429" priority="578" operator="equal">
      <formula>0</formula>
    </cfRule>
  </conditionalFormatting>
  <conditionalFormatting sqref="X15">
    <cfRule type="expression" dxfId="428" priority="575">
      <formula>X15*100&gt;C15</formula>
    </cfRule>
    <cfRule type="cellIs" dxfId="427" priority="576" operator="equal">
      <formula>0</formula>
    </cfRule>
  </conditionalFormatting>
  <conditionalFormatting sqref="X16">
    <cfRule type="expression" dxfId="426" priority="573">
      <formula>X16*100&gt;C16</formula>
    </cfRule>
    <cfRule type="cellIs" dxfId="425" priority="574" operator="equal">
      <formula>0</formula>
    </cfRule>
  </conditionalFormatting>
  <conditionalFormatting sqref="X17">
    <cfRule type="expression" dxfId="424" priority="571">
      <formula>X17*100&gt;C17</formula>
    </cfRule>
    <cfRule type="cellIs" dxfId="423" priority="572" operator="equal">
      <formula>0</formula>
    </cfRule>
  </conditionalFormatting>
  <conditionalFormatting sqref="X18">
    <cfRule type="expression" dxfId="422" priority="569">
      <formula>X18*100&gt;C18</formula>
    </cfRule>
    <cfRule type="cellIs" dxfId="421" priority="570" operator="equal">
      <formula>0</formula>
    </cfRule>
  </conditionalFormatting>
  <conditionalFormatting sqref="X19">
    <cfRule type="expression" dxfId="420" priority="567">
      <formula>X19*100&gt;C19</formula>
    </cfRule>
    <cfRule type="cellIs" dxfId="419" priority="568" operator="equal">
      <formula>0</formula>
    </cfRule>
  </conditionalFormatting>
  <conditionalFormatting sqref="X20">
    <cfRule type="expression" dxfId="418" priority="565">
      <formula>X20*100&gt;C20</formula>
    </cfRule>
    <cfRule type="cellIs" dxfId="417" priority="566" operator="equal">
      <formula>0</formula>
    </cfRule>
  </conditionalFormatting>
  <conditionalFormatting sqref="X21">
    <cfRule type="expression" dxfId="416" priority="563">
      <formula>X21*100&gt;C21</formula>
    </cfRule>
    <cfRule type="cellIs" dxfId="415" priority="564" operator="equal">
      <formula>0</formula>
    </cfRule>
  </conditionalFormatting>
  <conditionalFormatting sqref="X22">
    <cfRule type="expression" dxfId="414" priority="561">
      <formula>X22*100&gt;C22</formula>
    </cfRule>
    <cfRule type="cellIs" dxfId="413" priority="562" operator="equal">
      <formula>0</formula>
    </cfRule>
  </conditionalFormatting>
  <conditionalFormatting sqref="X23">
    <cfRule type="expression" dxfId="412" priority="559">
      <formula>X23*100&gt;C23</formula>
    </cfRule>
    <cfRule type="cellIs" dxfId="411" priority="560" operator="equal">
      <formula>0</formula>
    </cfRule>
  </conditionalFormatting>
  <conditionalFormatting sqref="X24">
    <cfRule type="expression" dxfId="410" priority="557">
      <formula>X24*100&gt;C24</formula>
    </cfRule>
    <cfRule type="cellIs" dxfId="409" priority="558" operator="equal">
      <formula>0</formula>
    </cfRule>
  </conditionalFormatting>
  <conditionalFormatting sqref="X25">
    <cfRule type="expression" dxfId="408" priority="555">
      <formula>X25*100&gt;C25</formula>
    </cfRule>
    <cfRule type="cellIs" dxfId="407" priority="556" operator="equal">
      <formula>0</formula>
    </cfRule>
  </conditionalFormatting>
  <conditionalFormatting sqref="A64:A201">
    <cfRule type="expression" dxfId="406" priority="19586">
      <formula>IF($V64&lt;&gt;0,AND(MID($A64,5,1)=" "))</formula>
    </cfRule>
    <cfRule type="expression" dxfId="405" priority="19587">
      <formula>IF($V64&lt;&gt;0,AND(MID($A64,5,1)="C"))</formula>
    </cfRule>
    <cfRule type="expression" dxfId="404" priority="19588">
      <formula>IF($V64&lt;&gt;0,AND(MID($A64,5,1)="D"))</formula>
    </cfRule>
  </conditionalFormatting>
  <conditionalFormatting sqref="X30">
    <cfRule type="expression" dxfId="403" priority="406">
      <formula>C30*100&gt;=X30</formula>
    </cfRule>
    <cfRule type="cellIs" dxfId="402" priority="407" operator="equal">
      <formula>0</formula>
    </cfRule>
  </conditionalFormatting>
  <conditionalFormatting sqref="X31">
    <cfRule type="expression" dxfId="401" priority="404">
      <formula>C31*100&gt;=X31</formula>
    </cfRule>
    <cfRule type="cellIs" dxfId="400" priority="405" operator="equal">
      <formula>0</formula>
    </cfRule>
  </conditionalFormatting>
  <conditionalFormatting sqref="X32">
    <cfRule type="expression" dxfId="399" priority="402">
      <formula>C32*100&gt;=X32</formula>
    </cfRule>
    <cfRule type="cellIs" dxfId="398" priority="403" operator="equal">
      <formula>0</formula>
    </cfRule>
  </conditionalFormatting>
  <conditionalFormatting sqref="X33">
    <cfRule type="expression" dxfId="397" priority="400">
      <formula>C33*100&gt;=X33</formula>
    </cfRule>
    <cfRule type="cellIs" dxfId="396" priority="401" operator="equal">
      <formula>0</formula>
    </cfRule>
  </conditionalFormatting>
  <conditionalFormatting sqref="X34">
    <cfRule type="expression" dxfId="395" priority="398">
      <formula>C34*100&gt;=X34</formula>
    </cfRule>
    <cfRule type="cellIs" dxfId="394" priority="399" operator="equal">
      <formula>0</formula>
    </cfRule>
  </conditionalFormatting>
  <conditionalFormatting sqref="X35">
    <cfRule type="expression" dxfId="393" priority="396">
      <formula>C35*100&gt;=X35</formula>
    </cfRule>
    <cfRule type="cellIs" dxfId="392" priority="397" operator="equal">
      <formula>0</formula>
    </cfRule>
  </conditionalFormatting>
  <conditionalFormatting sqref="X36">
    <cfRule type="expression" dxfId="391" priority="394">
      <formula>C36*100&gt;=X36</formula>
    </cfRule>
    <cfRule type="cellIs" dxfId="390" priority="395" operator="equal">
      <formula>0</formula>
    </cfRule>
  </conditionalFormatting>
  <conditionalFormatting sqref="X37">
    <cfRule type="expression" dxfId="389" priority="392">
      <formula>C37*100&gt;=X37</formula>
    </cfRule>
    <cfRule type="cellIs" dxfId="388" priority="393" operator="equal">
      <formula>0</formula>
    </cfRule>
  </conditionalFormatting>
  <conditionalFormatting sqref="X38">
    <cfRule type="expression" dxfId="387" priority="390">
      <formula>C38*100&gt;=X38</formula>
    </cfRule>
    <cfRule type="cellIs" dxfId="386" priority="391" operator="equal">
      <formula>0</formula>
    </cfRule>
  </conditionalFormatting>
  <conditionalFormatting sqref="X39">
    <cfRule type="expression" dxfId="385" priority="388">
      <formula>C39*100&gt;=X39</formula>
    </cfRule>
    <cfRule type="cellIs" dxfId="384" priority="389" operator="equal">
      <formula>0</formula>
    </cfRule>
  </conditionalFormatting>
  <conditionalFormatting sqref="X40">
    <cfRule type="expression" dxfId="383" priority="386">
      <formula>C40*100&gt;=X40</formula>
    </cfRule>
    <cfRule type="cellIs" dxfId="382" priority="387" operator="equal">
      <formula>0</formula>
    </cfRule>
  </conditionalFormatting>
  <conditionalFormatting sqref="X41">
    <cfRule type="expression" dxfId="381" priority="384">
      <formula>C41*100&gt;=X41</formula>
    </cfRule>
    <cfRule type="cellIs" dxfId="380" priority="385" operator="equal">
      <formula>0</formula>
    </cfRule>
  </conditionalFormatting>
  <conditionalFormatting sqref="X42">
    <cfRule type="expression" dxfId="379" priority="382">
      <formula>C42*100&gt;=X42</formula>
    </cfRule>
    <cfRule type="cellIs" dxfId="378" priority="383" operator="equal">
      <formula>0</formula>
    </cfRule>
  </conditionalFormatting>
  <conditionalFormatting sqref="X43">
    <cfRule type="expression" dxfId="377" priority="380">
      <formula>C43*100&gt;=X43</formula>
    </cfRule>
    <cfRule type="cellIs" dxfId="376" priority="381" operator="equal">
      <formula>0</formula>
    </cfRule>
  </conditionalFormatting>
  <conditionalFormatting sqref="X44">
    <cfRule type="expression" dxfId="375" priority="378">
      <formula>C44*100&gt;=X44</formula>
    </cfRule>
    <cfRule type="cellIs" dxfId="374" priority="379" operator="equal">
      <formula>0</formula>
    </cfRule>
  </conditionalFormatting>
  <conditionalFormatting sqref="X45">
    <cfRule type="expression" dxfId="373" priority="376">
      <formula>C45*100&gt;=X45</formula>
    </cfRule>
    <cfRule type="cellIs" dxfId="372" priority="377" operator="equal">
      <formula>0</formula>
    </cfRule>
  </conditionalFormatting>
  <conditionalFormatting sqref="X46">
    <cfRule type="expression" dxfId="371" priority="374">
      <formula>C46*100&gt;=X46</formula>
    </cfRule>
    <cfRule type="cellIs" dxfId="370" priority="375" operator="equal">
      <formula>0</formula>
    </cfRule>
  </conditionalFormatting>
  <conditionalFormatting sqref="X47">
    <cfRule type="expression" dxfId="369" priority="372">
      <formula>C47*100&gt;=X47</formula>
    </cfRule>
    <cfRule type="cellIs" dxfId="368" priority="373" operator="equal">
      <formula>0</formula>
    </cfRule>
  </conditionalFormatting>
  <conditionalFormatting sqref="X48">
    <cfRule type="expression" dxfId="367" priority="370">
      <formula>C48*100&gt;=X48</formula>
    </cfRule>
    <cfRule type="cellIs" dxfId="366" priority="371" operator="equal">
      <formula>0</formula>
    </cfRule>
  </conditionalFormatting>
  <conditionalFormatting sqref="X49">
    <cfRule type="expression" dxfId="365" priority="368">
      <formula>C49*100&gt;=X49</formula>
    </cfRule>
    <cfRule type="cellIs" dxfId="364" priority="369" operator="equal">
      <formula>0</formula>
    </cfRule>
  </conditionalFormatting>
  <conditionalFormatting sqref="X50">
    <cfRule type="expression" dxfId="363" priority="366">
      <formula>C50*100&gt;=X50</formula>
    </cfRule>
    <cfRule type="cellIs" dxfId="362" priority="367" operator="equal">
      <formula>0</formula>
    </cfRule>
  </conditionalFormatting>
  <conditionalFormatting sqref="X51">
    <cfRule type="expression" dxfId="361" priority="364">
      <formula>C51*100&gt;=X51</formula>
    </cfRule>
    <cfRule type="cellIs" dxfId="360" priority="365" operator="equal">
      <formula>0</formula>
    </cfRule>
  </conditionalFormatting>
  <conditionalFormatting sqref="X52">
    <cfRule type="expression" dxfId="359" priority="362">
      <formula>C52*100&gt;=X52</formula>
    </cfRule>
    <cfRule type="cellIs" dxfId="358" priority="363" operator="equal">
      <formula>0</formula>
    </cfRule>
  </conditionalFormatting>
  <conditionalFormatting sqref="X53">
    <cfRule type="expression" dxfId="357" priority="360">
      <formula>C53*100&gt;=X53</formula>
    </cfRule>
    <cfRule type="cellIs" dxfId="356" priority="361" operator="equal">
      <formula>0</formula>
    </cfRule>
  </conditionalFormatting>
  <conditionalFormatting sqref="X54">
    <cfRule type="expression" dxfId="355" priority="358">
      <formula>C54*100&gt;=X54</formula>
    </cfRule>
    <cfRule type="cellIs" dxfId="354" priority="359" operator="equal">
      <formula>0</formula>
    </cfRule>
  </conditionalFormatting>
  <conditionalFormatting sqref="X55">
    <cfRule type="expression" dxfId="353" priority="356">
      <formula>C55*100&gt;=X55</formula>
    </cfRule>
    <cfRule type="cellIs" dxfId="352" priority="357" operator="equal">
      <formula>0</formula>
    </cfRule>
  </conditionalFormatting>
  <conditionalFormatting sqref="X56">
    <cfRule type="expression" dxfId="351" priority="354">
      <formula>C56*100&gt;=X56</formula>
    </cfRule>
    <cfRule type="cellIs" dxfId="350" priority="355" operator="equal">
      <formula>0</formula>
    </cfRule>
  </conditionalFormatting>
  <conditionalFormatting sqref="X57">
    <cfRule type="expression" dxfId="349" priority="352">
      <formula>C57*100&gt;=X57</formula>
    </cfRule>
    <cfRule type="cellIs" dxfId="348" priority="353" operator="equal">
      <formula>0</formula>
    </cfRule>
  </conditionalFormatting>
  <conditionalFormatting sqref="X58">
    <cfRule type="expression" dxfId="347" priority="350">
      <formula>C58*100&gt;=X58</formula>
    </cfRule>
    <cfRule type="cellIs" dxfId="346" priority="351" operator="equal">
      <formula>0</formula>
    </cfRule>
  </conditionalFormatting>
  <conditionalFormatting sqref="X59">
    <cfRule type="expression" dxfId="345" priority="348">
      <formula>C59*100&gt;=X59</formula>
    </cfRule>
    <cfRule type="cellIs" dxfId="344" priority="349" operator="equal">
      <formula>0</formula>
    </cfRule>
  </conditionalFormatting>
  <conditionalFormatting sqref="M50:M54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3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3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F61">
    <cfRule type="cellIs" dxfId="343" priority="344" operator="lessThan">
      <formula>C61</formula>
    </cfRule>
    <cfRule type="cellIs" dxfId="342" priority="343" operator="greaterThan">
      <formula>D61</formula>
    </cfRule>
  </conditionalFormatting>
  <conditionalFormatting sqref="F60">
    <cfRule type="cellIs" dxfId="341" priority="341" operator="greaterThan">
      <formula>D60</formula>
    </cfRule>
    <cfRule type="cellIs" dxfId="340" priority="342" operator="lessThan">
      <formula>C60</formula>
    </cfRule>
  </conditionalFormatting>
  <conditionalFormatting sqref="F63">
    <cfRule type="cellIs" dxfId="339" priority="339" operator="greaterThan">
      <formula>D63</formula>
    </cfRule>
    <cfRule type="cellIs" dxfId="338" priority="340" operator="lessThan">
      <formula>C63</formula>
    </cfRule>
  </conditionalFormatting>
  <conditionalFormatting sqref="F62">
    <cfRule type="cellIs" dxfId="337" priority="337" operator="greaterThan">
      <formula>D62</formula>
    </cfRule>
    <cfRule type="cellIs" dxfId="336" priority="338" operator="lessThan">
      <formula>C62</formula>
    </cfRule>
  </conditionalFormatting>
  <conditionalFormatting sqref="F31">
    <cfRule type="cellIs" dxfId="335" priority="335" operator="greaterThan">
      <formula>D31</formula>
    </cfRule>
    <cfRule type="cellIs" dxfId="334" priority="336" operator="lessThan">
      <formula>C31</formula>
    </cfRule>
  </conditionalFormatting>
  <conditionalFormatting sqref="F30">
    <cfRule type="cellIs" dxfId="333" priority="333" operator="greaterThan">
      <formula>D30</formula>
    </cfRule>
    <cfRule type="cellIs" dxfId="332" priority="334" operator="lessThan">
      <formula>C30</formula>
    </cfRule>
  </conditionalFormatting>
  <conditionalFormatting sqref="F33">
    <cfRule type="cellIs" dxfId="331" priority="331" operator="greaterThan">
      <formula>D33</formula>
    </cfRule>
    <cfRule type="cellIs" dxfId="330" priority="332" operator="lessThan">
      <formula>C33</formula>
    </cfRule>
  </conditionalFormatting>
  <conditionalFormatting sqref="F32">
    <cfRule type="cellIs" dxfId="329" priority="329" operator="greaterThan">
      <formula>D32</formula>
    </cfRule>
    <cfRule type="cellIs" dxfId="328" priority="330" operator="lessThan">
      <formula>C32</formula>
    </cfRule>
  </conditionalFormatting>
  <conditionalFormatting sqref="F35">
    <cfRule type="cellIs" dxfId="327" priority="327" operator="greaterThan">
      <formula>D35</formula>
    </cfRule>
    <cfRule type="cellIs" dxfId="326" priority="328" operator="lessThan">
      <formula>C35</formula>
    </cfRule>
  </conditionalFormatting>
  <conditionalFormatting sqref="F34">
    <cfRule type="cellIs" dxfId="325" priority="325" operator="greaterThan">
      <formula>D34</formula>
    </cfRule>
    <cfRule type="cellIs" dxfId="324" priority="326" operator="lessThan">
      <formula>C34</formula>
    </cfRule>
  </conditionalFormatting>
  <conditionalFormatting sqref="F37">
    <cfRule type="cellIs" dxfId="323" priority="323" operator="greaterThan">
      <formula>D37</formula>
    </cfRule>
    <cfRule type="cellIs" dxfId="322" priority="324" operator="lessThan">
      <formula>C37</formula>
    </cfRule>
  </conditionalFormatting>
  <conditionalFormatting sqref="F36">
    <cfRule type="cellIs" dxfId="321" priority="321" operator="greaterThan">
      <formula>D36</formula>
    </cfRule>
    <cfRule type="cellIs" dxfId="320" priority="322" operator="lessThan">
      <formula>C36</formula>
    </cfRule>
  </conditionalFormatting>
  <conditionalFormatting sqref="F39">
    <cfRule type="cellIs" dxfId="1" priority="319" operator="greaterThan">
      <formula>D39</formula>
    </cfRule>
    <cfRule type="cellIs" dxfId="0" priority="320" operator="lessThan">
      <formula>C39</formula>
    </cfRule>
  </conditionalFormatting>
  <conditionalFormatting sqref="F38">
    <cfRule type="cellIs" dxfId="319" priority="317" operator="greaterThan">
      <formula>D38</formula>
    </cfRule>
    <cfRule type="cellIs" dxfId="318" priority="318" operator="lessThan">
      <formula>C38</formula>
    </cfRule>
  </conditionalFormatting>
  <conditionalFormatting sqref="F41">
    <cfRule type="cellIs" dxfId="317" priority="315" operator="greaterThan">
      <formula>D41</formula>
    </cfRule>
    <cfRule type="cellIs" dxfId="316" priority="316" operator="lessThan">
      <formula>C41</formula>
    </cfRule>
  </conditionalFormatting>
  <conditionalFormatting sqref="F40">
    <cfRule type="cellIs" dxfId="315" priority="313" operator="greaterThan">
      <formula>D40</formula>
    </cfRule>
    <cfRule type="cellIs" dxfId="314" priority="314" operator="lessThan">
      <formula>C40</formula>
    </cfRule>
  </conditionalFormatting>
  <conditionalFormatting sqref="F43">
    <cfRule type="cellIs" dxfId="313" priority="311" operator="greaterThan">
      <formula>D43</formula>
    </cfRule>
    <cfRule type="cellIs" dxfId="312" priority="312" operator="lessThan">
      <formula>C43</formula>
    </cfRule>
  </conditionalFormatting>
  <conditionalFormatting sqref="F42">
    <cfRule type="cellIs" dxfId="311" priority="309" operator="greaterThan">
      <formula>D42</formula>
    </cfRule>
    <cfRule type="cellIs" dxfId="310" priority="310" operator="lessThan">
      <formula>C42</formula>
    </cfRule>
  </conditionalFormatting>
  <conditionalFormatting sqref="F45">
    <cfRule type="cellIs" dxfId="309" priority="307" operator="greaterThan">
      <formula>D45</formula>
    </cfRule>
    <cfRule type="cellIs" dxfId="308" priority="308" operator="lessThan">
      <formula>C45</formula>
    </cfRule>
  </conditionalFormatting>
  <conditionalFormatting sqref="F44">
    <cfRule type="cellIs" dxfId="307" priority="305" operator="greaterThan">
      <formula>D44</formula>
    </cfRule>
    <cfRule type="cellIs" dxfId="306" priority="306" operator="lessThan">
      <formula>C44</formula>
    </cfRule>
  </conditionalFormatting>
  <conditionalFormatting sqref="F47">
    <cfRule type="cellIs" dxfId="305" priority="303" operator="greaterThan">
      <formula>D47</formula>
    </cfRule>
    <cfRule type="cellIs" dxfId="304" priority="304" operator="lessThan">
      <formula>C47</formula>
    </cfRule>
  </conditionalFormatting>
  <conditionalFormatting sqref="F46">
    <cfRule type="cellIs" dxfId="303" priority="301" operator="greaterThan">
      <formula>D46</formula>
    </cfRule>
    <cfRule type="cellIs" dxfId="302" priority="302" operator="lessThan">
      <formula>C46</formula>
    </cfRule>
  </conditionalFormatting>
  <conditionalFormatting sqref="F49">
    <cfRule type="cellIs" dxfId="301" priority="299" operator="greaterThan">
      <formula>D49</formula>
    </cfRule>
    <cfRule type="cellIs" dxfId="300" priority="300" operator="lessThan">
      <formula>C49</formula>
    </cfRule>
  </conditionalFormatting>
  <conditionalFormatting sqref="F48">
    <cfRule type="cellIs" dxfId="299" priority="297" operator="greaterThan">
      <formula>D48</formula>
    </cfRule>
    <cfRule type="cellIs" dxfId="298" priority="298" operator="lessThan">
      <formula>C48</formula>
    </cfRule>
  </conditionalFormatting>
  <conditionalFormatting sqref="F51">
    <cfRule type="cellIs" dxfId="297" priority="295" operator="greaterThan">
      <formula>D51</formula>
    </cfRule>
    <cfRule type="cellIs" dxfId="296" priority="296" operator="lessThan">
      <formula>C51</formula>
    </cfRule>
  </conditionalFormatting>
  <conditionalFormatting sqref="F50">
    <cfRule type="cellIs" dxfId="295" priority="293" operator="greaterThan">
      <formula>D50</formula>
    </cfRule>
    <cfRule type="cellIs" dxfId="294" priority="294" operator="lessThan">
      <formula>C50</formula>
    </cfRule>
  </conditionalFormatting>
  <conditionalFormatting sqref="F53">
    <cfRule type="cellIs" dxfId="293" priority="291" operator="greaterThan">
      <formula>D53</formula>
    </cfRule>
    <cfRule type="cellIs" dxfId="292" priority="292" operator="lessThan">
      <formula>C53</formula>
    </cfRule>
  </conditionalFormatting>
  <conditionalFormatting sqref="F52">
    <cfRule type="cellIs" dxfId="291" priority="289" operator="greaterThan">
      <formula>D52</formula>
    </cfRule>
    <cfRule type="cellIs" dxfId="290" priority="290" operator="lessThan">
      <formula>C52</formula>
    </cfRule>
  </conditionalFormatting>
  <conditionalFormatting sqref="F55">
    <cfRule type="cellIs" dxfId="289" priority="287" operator="greaterThan">
      <formula>D55</formula>
    </cfRule>
    <cfRule type="cellIs" dxfId="288" priority="288" operator="lessThan">
      <formula>C55</formula>
    </cfRule>
  </conditionalFormatting>
  <conditionalFormatting sqref="F54">
    <cfRule type="cellIs" dxfId="287" priority="285" operator="greaterThan">
      <formula>D54</formula>
    </cfRule>
    <cfRule type="cellIs" dxfId="286" priority="286" operator="lessThan">
      <formula>C54</formula>
    </cfRule>
  </conditionalFormatting>
  <conditionalFormatting sqref="F57">
    <cfRule type="cellIs" dxfId="285" priority="283" operator="greaterThan">
      <formula>D57</formula>
    </cfRule>
    <cfRule type="cellIs" dxfId="284" priority="284" operator="lessThan">
      <formula>C57</formula>
    </cfRule>
  </conditionalFormatting>
  <conditionalFormatting sqref="F56">
    <cfRule type="cellIs" dxfId="283" priority="281" operator="greaterThan">
      <formula>D56</formula>
    </cfRule>
    <cfRule type="cellIs" dxfId="282" priority="282" operator="lessThan">
      <formula>C56</formula>
    </cfRule>
  </conditionalFormatting>
  <conditionalFormatting sqref="F59">
    <cfRule type="cellIs" dxfId="281" priority="279" operator="greaterThan">
      <formula>D59</formula>
    </cfRule>
    <cfRule type="cellIs" dxfId="280" priority="280" operator="lessThan">
      <formula>C59</formula>
    </cfRule>
  </conditionalFormatting>
  <conditionalFormatting sqref="F58">
    <cfRule type="cellIs" dxfId="279" priority="277" operator="greaterThan">
      <formula>D58</formula>
    </cfRule>
    <cfRule type="cellIs" dxfId="278" priority="278" operator="lessThan">
      <formula>C58</formula>
    </cfRule>
  </conditionalFormatting>
  <conditionalFormatting sqref="F65">
    <cfRule type="cellIs" dxfId="277" priority="275" operator="greaterThan">
      <formula>D65</formula>
    </cfRule>
    <cfRule type="cellIs" dxfId="276" priority="276" operator="lessThan">
      <formula>C65</formula>
    </cfRule>
  </conditionalFormatting>
  <conditionalFormatting sqref="F64">
    <cfRule type="cellIs" dxfId="275" priority="273" operator="greaterThan">
      <formula>D64</formula>
    </cfRule>
    <cfRule type="cellIs" dxfId="274" priority="274" operator="lessThan">
      <formula>C64</formula>
    </cfRule>
  </conditionalFormatting>
  <conditionalFormatting sqref="F67">
    <cfRule type="cellIs" dxfId="273" priority="271" operator="greaterThan">
      <formula>D67</formula>
    </cfRule>
    <cfRule type="cellIs" dxfId="272" priority="272" operator="lessThan">
      <formula>C67</formula>
    </cfRule>
  </conditionalFormatting>
  <conditionalFormatting sqref="F66">
    <cfRule type="cellIs" dxfId="271" priority="269" operator="greaterThan">
      <formula>D66</formula>
    </cfRule>
    <cfRule type="cellIs" dxfId="270" priority="270" operator="lessThan">
      <formula>C66</formula>
    </cfRule>
  </conditionalFormatting>
  <conditionalFormatting sqref="F69">
    <cfRule type="cellIs" dxfId="269" priority="267" operator="greaterThan">
      <formula>D69</formula>
    </cfRule>
    <cfRule type="cellIs" dxfId="268" priority="268" operator="lessThan">
      <formula>C69</formula>
    </cfRule>
  </conditionalFormatting>
  <conditionalFormatting sqref="F68">
    <cfRule type="cellIs" dxfId="267" priority="265" operator="greaterThan">
      <formula>D68</formula>
    </cfRule>
    <cfRule type="cellIs" dxfId="266" priority="266" operator="lessThan">
      <formula>C68</formula>
    </cfRule>
  </conditionalFormatting>
  <conditionalFormatting sqref="F71">
    <cfRule type="cellIs" dxfId="265" priority="263" operator="greaterThan">
      <formula>D71</formula>
    </cfRule>
    <cfRule type="cellIs" dxfId="264" priority="264" operator="lessThan">
      <formula>C71</formula>
    </cfRule>
  </conditionalFormatting>
  <conditionalFormatting sqref="F70">
    <cfRule type="cellIs" dxfId="263" priority="261" operator="greaterThan">
      <formula>D70</formula>
    </cfRule>
    <cfRule type="cellIs" dxfId="262" priority="262" operator="lessThan">
      <formula>C70</formula>
    </cfRule>
  </conditionalFormatting>
  <conditionalFormatting sqref="F73">
    <cfRule type="cellIs" dxfId="261" priority="259" operator="greaterThan">
      <formula>D73</formula>
    </cfRule>
    <cfRule type="cellIs" dxfId="260" priority="260" operator="lessThan">
      <formula>C73</formula>
    </cfRule>
  </conditionalFormatting>
  <conditionalFormatting sqref="F72">
    <cfRule type="cellIs" dxfId="259" priority="257" operator="greaterThan">
      <formula>D72</formula>
    </cfRule>
    <cfRule type="cellIs" dxfId="258" priority="258" operator="lessThan">
      <formula>C72</formula>
    </cfRule>
  </conditionalFormatting>
  <conditionalFormatting sqref="F75">
    <cfRule type="cellIs" dxfId="257" priority="255" operator="greaterThan">
      <formula>D75</formula>
    </cfRule>
    <cfRule type="cellIs" dxfId="256" priority="256" operator="lessThan">
      <formula>C75</formula>
    </cfRule>
  </conditionalFormatting>
  <conditionalFormatting sqref="F74">
    <cfRule type="cellIs" dxfId="255" priority="253" operator="greaterThan">
      <formula>D74</formula>
    </cfRule>
    <cfRule type="cellIs" dxfId="254" priority="254" operator="lessThan">
      <formula>C74</formula>
    </cfRule>
  </conditionalFormatting>
  <conditionalFormatting sqref="F77">
    <cfRule type="cellIs" dxfId="253" priority="251" operator="greaterThan">
      <formula>D77</formula>
    </cfRule>
    <cfRule type="cellIs" dxfId="252" priority="252" operator="lessThan">
      <formula>C77</formula>
    </cfRule>
  </conditionalFormatting>
  <conditionalFormatting sqref="F76">
    <cfRule type="cellIs" dxfId="251" priority="249" operator="greaterThan">
      <formula>D76</formula>
    </cfRule>
    <cfRule type="cellIs" dxfId="250" priority="250" operator="lessThan">
      <formula>C76</formula>
    </cfRule>
  </conditionalFormatting>
  <conditionalFormatting sqref="F79">
    <cfRule type="cellIs" dxfId="249" priority="247" operator="greaterThan">
      <formula>D79</formula>
    </cfRule>
    <cfRule type="cellIs" dxfId="248" priority="248" operator="lessThan">
      <formula>C79</formula>
    </cfRule>
  </conditionalFormatting>
  <conditionalFormatting sqref="F78">
    <cfRule type="cellIs" dxfId="247" priority="245" operator="greaterThan">
      <formula>D78</formula>
    </cfRule>
    <cfRule type="cellIs" dxfId="246" priority="246" operator="lessThan">
      <formula>C78</formula>
    </cfRule>
  </conditionalFormatting>
  <conditionalFormatting sqref="F81">
    <cfRule type="cellIs" dxfId="245" priority="243" operator="greaterThan">
      <formula>D81</formula>
    </cfRule>
    <cfRule type="cellIs" dxfId="244" priority="244" operator="lessThan">
      <formula>C81</formula>
    </cfRule>
  </conditionalFormatting>
  <conditionalFormatting sqref="F80">
    <cfRule type="cellIs" dxfId="243" priority="241" operator="greaterThan">
      <formula>D80</formula>
    </cfRule>
    <cfRule type="cellIs" dxfId="242" priority="242" operator="lessThan">
      <formula>C80</formula>
    </cfRule>
  </conditionalFormatting>
  <conditionalFormatting sqref="F83">
    <cfRule type="cellIs" dxfId="241" priority="239" operator="greaterThan">
      <formula>D83</formula>
    </cfRule>
    <cfRule type="cellIs" dxfId="240" priority="240" operator="lessThan">
      <formula>C83</formula>
    </cfRule>
  </conditionalFormatting>
  <conditionalFormatting sqref="F82">
    <cfRule type="cellIs" dxfId="239" priority="237" operator="greaterThan">
      <formula>D82</formula>
    </cfRule>
    <cfRule type="cellIs" dxfId="238" priority="238" operator="lessThan">
      <formula>C82</formula>
    </cfRule>
  </conditionalFormatting>
  <conditionalFormatting sqref="F85">
    <cfRule type="cellIs" dxfId="237" priority="235" operator="greaterThan">
      <formula>D85</formula>
    </cfRule>
    <cfRule type="cellIs" dxfId="236" priority="236" operator="lessThan">
      <formula>C85</formula>
    </cfRule>
  </conditionalFormatting>
  <conditionalFormatting sqref="F84">
    <cfRule type="cellIs" dxfId="235" priority="233" operator="greaterThan">
      <formula>D84</formula>
    </cfRule>
    <cfRule type="cellIs" dxfId="234" priority="234" operator="lessThan">
      <formula>C84</formula>
    </cfRule>
  </conditionalFormatting>
  <conditionalFormatting sqref="F87">
    <cfRule type="cellIs" dxfId="233" priority="231" operator="greaterThan">
      <formula>D87</formula>
    </cfRule>
    <cfRule type="cellIs" dxfId="232" priority="232" operator="lessThan">
      <formula>C87</formula>
    </cfRule>
  </conditionalFormatting>
  <conditionalFormatting sqref="F86">
    <cfRule type="cellIs" dxfId="231" priority="229" operator="greaterThan">
      <formula>D86</formula>
    </cfRule>
    <cfRule type="cellIs" dxfId="230" priority="230" operator="lessThan">
      <formula>C86</formula>
    </cfRule>
  </conditionalFormatting>
  <conditionalFormatting sqref="F89">
    <cfRule type="cellIs" dxfId="229" priority="227" operator="greaterThan">
      <formula>D89</formula>
    </cfRule>
    <cfRule type="cellIs" dxfId="228" priority="228" operator="lessThan">
      <formula>C89</formula>
    </cfRule>
  </conditionalFormatting>
  <conditionalFormatting sqref="F88">
    <cfRule type="cellIs" dxfId="227" priority="225" operator="greaterThan">
      <formula>D88</formula>
    </cfRule>
    <cfRule type="cellIs" dxfId="226" priority="226" operator="lessThan">
      <formula>C88</formula>
    </cfRule>
  </conditionalFormatting>
  <conditionalFormatting sqref="F91">
    <cfRule type="cellIs" dxfId="225" priority="223" operator="greaterThan">
      <formula>D91</formula>
    </cfRule>
    <cfRule type="cellIs" dxfId="224" priority="224" operator="lessThan">
      <formula>C91</formula>
    </cfRule>
  </conditionalFormatting>
  <conditionalFormatting sqref="F90">
    <cfRule type="cellIs" dxfId="223" priority="221" operator="greaterThan">
      <formula>D90</formula>
    </cfRule>
    <cfRule type="cellIs" dxfId="222" priority="222" operator="lessThan">
      <formula>C90</formula>
    </cfRule>
  </conditionalFormatting>
  <conditionalFormatting sqref="F93">
    <cfRule type="cellIs" dxfId="221" priority="219" operator="greaterThan">
      <formula>D93</formula>
    </cfRule>
    <cfRule type="cellIs" dxfId="220" priority="220" operator="lessThan">
      <formula>C93</formula>
    </cfRule>
  </conditionalFormatting>
  <conditionalFormatting sqref="F92">
    <cfRule type="cellIs" dxfId="219" priority="217" operator="greaterThan">
      <formula>D92</formula>
    </cfRule>
    <cfRule type="cellIs" dxfId="218" priority="218" operator="lessThan">
      <formula>C92</formula>
    </cfRule>
  </conditionalFormatting>
  <conditionalFormatting sqref="F95">
    <cfRule type="cellIs" dxfId="217" priority="215" operator="greaterThan">
      <formula>D95</formula>
    </cfRule>
    <cfRule type="cellIs" dxfId="216" priority="216" operator="lessThan">
      <formula>C95</formula>
    </cfRule>
  </conditionalFormatting>
  <conditionalFormatting sqref="F94">
    <cfRule type="cellIs" dxfId="215" priority="213" operator="greaterThan">
      <formula>D94</formula>
    </cfRule>
    <cfRule type="cellIs" dxfId="214" priority="214" operator="lessThan">
      <formula>C94</formula>
    </cfRule>
  </conditionalFormatting>
  <conditionalFormatting sqref="F97">
    <cfRule type="cellIs" dxfId="213" priority="211" operator="greaterThan">
      <formula>D97</formula>
    </cfRule>
    <cfRule type="cellIs" dxfId="212" priority="212" operator="lessThan">
      <formula>C97</formula>
    </cfRule>
  </conditionalFormatting>
  <conditionalFormatting sqref="F96">
    <cfRule type="cellIs" dxfId="211" priority="209" operator="greaterThan">
      <formula>D96</formula>
    </cfRule>
    <cfRule type="cellIs" dxfId="210" priority="210" operator="lessThan">
      <formula>C96</formula>
    </cfRule>
  </conditionalFormatting>
  <conditionalFormatting sqref="F99">
    <cfRule type="cellIs" dxfId="209" priority="207" operator="greaterThan">
      <formula>D99</formula>
    </cfRule>
    <cfRule type="cellIs" dxfId="208" priority="208" operator="lessThan">
      <formula>C99</formula>
    </cfRule>
  </conditionalFormatting>
  <conditionalFormatting sqref="F98">
    <cfRule type="cellIs" dxfId="207" priority="205" operator="greaterThan">
      <formula>D98</formula>
    </cfRule>
    <cfRule type="cellIs" dxfId="206" priority="206" operator="lessThan">
      <formula>C98</formula>
    </cfRule>
  </conditionalFormatting>
  <conditionalFormatting sqref="F101">
    <cfRule type="cellIs" dxfId="205" priority="203" operator="greaterThan">
      <formula>D101</formula>
    </cfRule>
    <cfRule type="cellIs" dxfId="204" priority="204" operator="lessThan">
      <formula>C101</formula>
    </cfRule>
  </conditionalFormatting>
  <conditionalFormatting sqref="F100">
    <cfRule type="cellIs" dxfId="203" priority="201" operator="greaterThan">
      <formula>D100</formula>
    </cfRule>
    <cfRule type="cellIs" dxfId="202" priority="202" operator="lessThan">
      <formula>C100</formula>
    </cfRule>
  </conditionalFormatting>
  <conditionalFormatting sqref="F103">
    <cfRule type="cellIs" dxfId="201" priority="199" operator="greaterThan">
      <formula>D103</formula>
    </cfRule>
    <cfRule type="cellIs" dxfId="200" priority="200" operator="lessThan">
      <formula>C103</formula>
    </cfRule>
  </conditionalFormatting>
  <conditionalFormatting sqref="F102">
    <cfRule type="cellIs" dxfId="199" priority="197" operator="greaterThan">
      <formula>D102</formula>
    </cfRule>
    <cfRule type="cellIs" dxfId="198" priority="198" operator="lessThan">
      <formula>C102</formula>
    </cfRule>
  </conditionalFormatting>
  <conditionalFormatting sqref="F105">
    <cfRule type="cellIs" dxfId="197" priority="195" operator="greaterThan">
      <formula>D105</formula>
    </cfRule>
    <cfRule type="cellIs" dxfId="196" priority="196" operator="lessThan">
      <formula>C105</formula>
    </cfRule>
  </conditionalFormatting>
  <conditionalFormatting sqref="F104">
    <cfRule type="cellIs" dxfId="195" priority="193" operator="greaterThan">
      <formula>D104</formula>
    </cfRule>
    <cfRule type="cellIs" dxfId="194" priority="194" operator="lessThan">
      <formula>C104</formula>
    </cfRule>
  </conditionalFormatting>
  <conditionalFormatting sqref="F107">
    <cfRule type="cellIs" dxfId="193" priority="191" operator="greaterThan">
      <formula>D107</formula>
    </cfRule>
    <cfRule type="cellIs" dxfId="192" priority="192" operator="lessThan">
      <formula>C107</formula>
    </cfRule>
  </conditionalFormatting>
  <conditionalFormatting sqref="F106">
    <cfRule type="cellIs" dxfId="191" priority="189" operator="greaterThan">
      <formula>D106</formula>
    </cfRule>
    <cfRule type="cellIs" dxfId="190" priority="190" operator="lessThan">
      <formula>C106</formula>
    </cfRule>
  </conditionalFormatting>
  <conditionalFormatting sqref="F109">
    <cfRule type="cellIs" dxfId="189" priority="187" operator="greaterThan">
      <formula>D109</formula>
    </cfRule>
    <cfRule type="cellIs" dxfId="188" priority="188" operator="lessThan">
      <formula>C109</formula>
    </cfRule>
  </conditionalFormatting>
  <conditionalFormatting sqref="F108">
    <cfRule type="cellIs" dxfId="187" priority="185" operator="greaterThan">
      <formula>D108</formula>
    </cfRule>
    <cfRule type="cellIs" dxfId="186" priority="186" operator="lessThan">
      <formula>C108</formula>
    </cfRule>
  </conditionalFormatting>
  <conditionalFormatting sqref="F111">
    <cfRule type="cellIs" dxfId="185" priority="183" operator="greaterThan">
      <formula>D111</formula>
    </cfRule>
    <cfRule type="cellIs" dxfId="184" priority="184" operator="lessThan">
      <formula>C111</formula>
    </cfRule>
  </conditionalFormatting>
  <conditionalFormatting sqref="F110">
    <cfRule type="cellIs" dxfId="183" priority="181" operator="greaterThan">
      <formula>D110</formula>
    </cfRule>
    <cfRule type="cellIs" dxfId="182" priority="182" operator="lessThan">
      <formula>C110</formula>
    </cfRule>
  </conditionalFormatting>
  <conditionalFormatting sqref="F113">
    <cfRule type="cellIs" dxfId="181" priority="179" operator="greaterThan">
      <formula>D113</formula>
    </cfRule>
    <cfRule type="cellIs" dxfId="180" priority="180" operator="lessThan">
      <formula>C113</formula>
    </cfRule>
  </conditionalFormatting>
  <conditionalFormatting sqref="F112">
    <cfRule type="cellIs" dxfId="179" priority="177" operator="greaterThan">
      <formula>D112</formula>
    </cfRule>
    <cfRule type="cellIs" dxfId="178" priority="178" operator="lessThan">
      <formula>C112</formula>
    </cfRule>
  </conditionalFormatting>
  <conditionalFormatting sqref="F115">
    <cfRule type="cellIs" dxfId="177" priority="175" operator="greaterThan">
      <formula>D115</formula>
    </cfRule>
    <cfRule type="cellIs" dxfId="176" priority="176" operator="lessThan">
      <formula>C115</formula>
    </cfRule>
  </conditionalFormatting>
  <conditionalFormatting sqref="F114">
    <cfRule type="cellIs" dxfId="175" priority="173" operator="greaterThan">
      <formula>D114</formula>
    </cfRule>
    <cfRule type="cellIs" dxfId="174" priority="174" operator="lessThan">
      <formula>C114</formula>
    </cfRule>
  </conditionalFormatting>
  <conditionalFormatting sqref="F117">
    <cfRule type="cellIs" dxfId="173" priority="171" operator="greaterThan">
      <formula>D117</formula>
    </cfRule>
    <cfRule type="cellIs" dxfId="172" priority="172" operator="lessThan">
      <formula>C117</formula>
    </cfRule>
  </conditionalFormatting>
  <conditionalFormatting sqref="F116">
    <cfRule type="cellIs" dxfId="171" priority="169" operator="greaterThan">
      <formula>D116</formula>
    </cfRule>
    <cfRule type="cellIs" dxfId="170" priority="170" operator="lessThan">
      <formula>C116</formula>
    </cfRule>
  </conditionalFormatting>
  <conditionalFormatting sqref="F119">
    <cfRule type="cellIs" dxfId="169" priority="167" operator="greaterThan">
      <formula>D119</formula>
    </cfRule>
    <cfRule type="cellIs" dxfId="168" priority="168" operator="lessThan">
      <formula>C119</formula>
    </cfRule>
  </conditionalFormatting>
  <conditionalFormatting sqref="F118">
    <cfRule type="cellIs" dxfId="167" priority="165" operator="greaterThan">
      <formula>D118</formula>
    </cfRule>
    <cfRule type="cellIs" dxfId="166" priority="166" operator="lessThan">
      <formula>C118</formula>
    </cfRule>
  </conditionalFormatting>
  <conditionalFormatting sqref="F121">
    <cfRule type="cellIs" dxfId="165" priority="163" operator="greaterThan">
      <formula>D121</formula>
    </cfRule>
    <cfRule type="cellIs" dxfId="164" priority="164" operator="lessThan">
      <formula>C121</formula>
    </cfRule>
  </conditionalFormatting>
  <conditionalFormatting sqref="F120">
    <cfRule type="cellIs" dxfId="163" priority="161" operator="greaterThan">
      <formula>D120</formula>
    </cfRule>
    <cfRule type="cellIs" dxfId="162" priority="162" operator="lessThan">
      <formula>C120</formula>
    </cfRule>
  </conditionalFormatting>
  <conditionalFormatting sqref="F123">
    <cfRule type="cellIs" dxfId="161" priority="159" operator="greaterThan">
      <formula>D123</formula>
    </cfRule>
    <cfRule type="cellIs" dxfId="160" priority="160" operator="lessThan">
      <formula>C123</formula>
    </cfRule>
  </conditionalFormatting>
  <conditionalFormatting sqref="F122">
    <cfRule type="cellIs" dxfId="159" priority="157" operator="greaterThan">
      <formula>D122</formula>
    </cfRule>
    <cfRule type="cellIs" dxfId="158" priority="158" operator="lessThan">
      <formula>C122</formula>
    </cfRule>
  </conditionalFormatting>
  <conditionalFormatting sqref="F125">
    <cfRule type="cellIs" dxfId="157" priority="155" operator="greaterThan">
      <formula>D125</formula>
    </cfRule>
    <cfRule type="cellIs" dxfId="156" priority="156" operator="lessThan">
      <formula>C125</formula>
    </cfRule>
  </conditionalFormatting>
  <conditionalFormatting sqref="F124">
    <cfRule type="cellIs" dxfId="155" priority="153" operator="greaterThan">
      <formula>D124</formula>
    </cfRule>
    <cfRule type="cellIs" dxfId="154" priority="154" operator="lessThan">
      <formula>C124</formula>
    </cfRule>
  </conditionalFormatting>
  <conditionalFormatting sqref="F127">
    <cfRule type="cellIs" dxfId="153" priority="151" operator="greaterThan">
      <formula>D127</formula>
    </cfRule>
    <cfRule type="cellIs" dxfId="152" priority="152" operator="lessThan">
      <formula>C127</formula>
    </cfRule>
  </conditionalFormatting>
  <conditionalFormatting sqref="F126">
    <cfRule type="cellIs" dxfId="151" priority="149" operator="greaterThan">
      <formula>D126</formula>
    </cfRule>
    <cfRule type="cellIs" dxfId="150" priority="150" operator="lessThan">
      <formula>C126</formula>
    </cfRule>
  </conditionalFormatting>
  <conditionalFormatting sqref="F129">
    <cfRule type="cellIs" dxfId="149" priority="147" operator="greaterThan">
      <formula>D129</formula>
    </cfRule>
    <cfRule type="cellIs" dxfId="148" priority="148" operator="lessThan">
      <formula>C129</formula>
    </cfRule>
  </conditionalFormatting>
  <conditionalFormatting sqref="F128">
    <cfRule type="cellIs" dxfId="147" priority="145" operator="greaterThan">
      <formula>D128</formula>
    </cfRule>
    <cfRule type="cellIs" dxfId="146" priority="146" operator="lessThan">
      <formula>C128</formula>
    </cfRule>
  </conditionalFormatting>
  <conditionalFormatting sqref="F131">
    <cfRule type="cellIs" dxfId="145" priority="143" operator="greaterThan">
      <formula>D131</formula>
    </cfRule>
    <cfRule type="cellIs" dxfId="144" priority="144" operator="lessThan">
      <formula>C131</formula>
    </cfRule>
  </conditionalFormatting>
  <conditionalFormatting sqref="F130">
    <cfRule type="cellIs" dxfId="143" priority="141" operator="greaterThan">
      <formula>D130</formula>
    </cfRule>
    <cfRule type="cellIs" dxfId="142" priority="142" operator="lessThan">
      <formula>C130</formula>
    </cfRule>
  </conditionalFormatting>
  <conditionalFormatting sqref="F133">
    <cfRule type="cellIs" dxfId="141" priority="139" operator="greaterThan">
      <formula>D133</formula>
    </cfRule>
    <cfRule type="cellIs" dxfId="140" priority="140" operator="lessThan">
      <formula>C133</formula>
    </cfRule>
  </conditionalFormatting>
  <conditionalFormatting sqref="F132">
    <cfRule type="cellIs" dxfId="139" priority="137" operator="greaterThan">
      <formula>D132</formula>
    </cfRule>
    <cfRule type="cellIs" dxfId="138" priority="138" operator="lessThan">
      <formula>C132</formula>
    </cfRule>
  </conditionalFormatting>
  <conditionalFormatting sqref="F135">
    <cfRule type="cellIs" dxfId="137" priority="135" operator="greaterThan">
      <formula>D135</formula>
    </cfRule>
    <cfRule type="cellIs" dxfId="136" priority="136" operator="lessThan">
      <formula>C135</formula>
    </cfRule>
  </conditionalFormatting>
  <conditionalFormatting sqref="F134">
    <cfRule type="cellIs" dxfId="135" priority="133" operator="greaterThan">
      <formula>D134</formula>
    </cfRule>
    <cfRule type="cellIs" dxfId="134" priority="134" operator="lessThan">
      <formula>C134</formula>
    </cfRule>
  </conditionalFormatting>
  <conditionalFormatting sqref="F137">
    <cfRule type="cellIs" dxfId="133" priority="131" operator="greaterThan">
      <formula>D137</formula>
    </cfRule>
    <cfRule type="cellIs" dxfId="132" priority="132" operator="lessThan">
      <formula>C137</formula>
    </cfRule>
  </conditionalFormatting>
  <conditionalFormatting sqref="F136">
    <cfRule type="cellIs" dxfId="131" priority="129" operator="greaterThan">
      <formula>D136</formula>
    </cfRule>
    <cfRule type="cellIs" dxfId="130" priority="130" operator="lessThan">
      <formula>C136</formula>
    </cfRule>
  </conditionalFormatting>
  <conditionalFormatting sqref="F139">
    <cfRule type="cellIs" dxfId="129" priority="127" operator="greaterThan">
      <formula>D139</formula>
    </cfRule>
    <cfRule type="cellIs" dxfId="128" priority="128" operator="lessThan">
      <formula>C139</formula>
    </cfRule>
  </conditionalFormatting>
  <conditionalFormatting sqref="F138">
    <cfRule type="cellIs" dxfId="127" priority="125" operator="greaterThan">
      <formula>D138</formula>
    </cfRule>
    <cfRule type="cellIs" dxfId="126" priority="126" operator="lessThan">
      <formula>C138</formula>
    </cfRule>
  </conditionalFormatting>
  <conditionalFormatting sqref="F141">
    <cfRule type="cellIs" dxfId="125" priority="123" operator="greaterThan">
      <formula>D141</formula>
    </cfRule>
    <cfRule type="cellIs" dxfId="124" priority="124" operator="lessThan">
      <formula>C141</formula>
    </cfRule>
  </conditionalFormatting>
  <conditionalFormatting sqref="F140">
    <cfRule type="cellIs" dxfId="123" priority="121" operator="greaterThan">
      <formula>D140</formula>
    </cfRule>
    <cfRule type="cellIs" dxfId="122" priority="122" operator="lessThan">
      <formula>C140</formula>
    </cfRule>
  </conditionalFormatting>
  <conditionalFormatting sqref="F143">
    <cfRule type="cellIs" dxfId="121" priority="119" operator="greaterThan">
      <formula>D143</formula>
    </cfRule>
    <cfRule type="cellIs" dxfId="120" priority="120" operator="lessThan">
      <formula>C143</formula>
    </cfRule>
  </conditionalFormatting>
  <conditionalFormatting sqref="F142">
    <cfRule type="cellIs" dxfId="119" priority="117" operator="greaterThan">
      <formula>D142</formula>
    </cfRule>
    <cfRule type="cellIs" dxfId="118" priority="118" operator="lessThan">
      <formula>C142</formula>
    </cfRule>
  </conditionalFormatting>
  <conditionalFormatting sqref="F145">
    <cfRule type="cellIs" dxfId="117" priority="115" operator="greaterThan">
      <formula>D145</formula>
    </cfRule>
    <cfRule type="cellIs" dxfId="116" priority="116" operator="lessThan">
      <formula>C145</formula>
    </cfRule>
  </conditionalFormatting>
  <conditionalFormatting sqref="F144">
    <cfRule type="cellIs" dxfId="115" priority="113" operator="greaterThan">
      <formula>D144</formula>
    </cfRule>
    <cfRule type="cellIs" dxfId="114" priority="114" operator="lessThan">
      <formula>C144</formula>
    </cfRule>
  </conditionalFormatting>
  <conditionalFormatting sqref="F147">
    <cfRule type="cellIs" dxfId="113" priority="111" operator="greaterThan">
      <formula>D147</formula>
    </cfRule>
    <cfRule type="cellIs" dxfId="112" priority="112" operator="lessThan">
      <formula>C147</formula>
    </cfRule>
  </conditionalFormatting>
  <conditionalFormatting sqref="F146">
    <cfRule type="cellIs" dxfId="111" priority="109" operator="greaterThan">
      <formula>D146</formula>
    </cfRule>
    <cfRule type="cellIs" dxfId="110" priority="110" operator="lessThan">
      <formula>C146</formula>
    </cfRule>
  </conditionalFormatting>
  <conditionalFormatting sqref="F149">
    <cfRule type="cellIs" dxfId="109" priority="107" operator="greaterThan">
      <formula>D149</formula>
    </cfRule>
    <cfRule type="cellIs" dxfId="108" priority="108" operator="lessThan">
      <formula>C149</formula>
    </cfRule>
  </conditionalFormatting>
  <conditionalFormatting sqref="F148">
    <cfRule type="cellIs" dxfId="107" priority="105" operator="greaterThan">
      <formula>D148</formula>
    </cfRule>
    <cfRule type="cellIs" dxfId="106" priority="106" operator="lessThan">
      <formula>C148</formula>
    </cfRule>
  </conditionalFormatting>
  <conditionalFormatting sqref="F151">
    <cfRule type="cellIs" dxfId="105" priority="103" operator="greaterThan">
      <formula>D151</formula>
    </cfRule>
    <cfRule type="cellIs" dxfId="104" priority="104" operator="lessThan">
      <formula>C151</formula>
    </cfRule>
  </conditionalFormatting>
  <conditionalFormatting sqref="F150">
    <cfRule type="cellIs" dxfId="103" priority="101" operator="greaterThan">
      <formula>D150</formula>
    </cfRule>
    <cfRule type="cellIs" dxfId="102" priority="102" operator="lessThan">
      <formula>C150</formula>
    </cfRule>
  </conditionalFormatting>
  <conditionalFormatting sqref="F153">
    <cfRule type="cellIs" dxfId="101" priority="99" operator="greaterThan">
      <formula>D153</formula>
    </cfRule>
    <cfRule type="cellIs" dxfId="100" priority="100" operator="lessThan">
      <formula>C153</formula>
    </cfRule>
  </conditionalFormatting>
  <conditionalFormatting sqref="F152">
    <cfRule type="cellIs" dxfId="99" priority="97" operator="greaterThan">
      <formula>D152</formula>
    </cfRule>
    <cfRule type="cellIs" dxfId="98" priority="98" operator="lessThan">
      <formula>C152</formula>
    </cfRule>
  </conditionalFormatting>
  <conditionalFormatting sqref="F155">
    <cfRule type="cellIs" dxfId="97" priority="95" operator="greaterThan">
      <formula>D155</formula>
    </cfRule>
    <cfRule type="cellIs" dxfId="96" priority="96" operator="lessThan">
      <formula>C155</formula>
    </cfRule>
  </conditionalFormatting>
  <conditionalFormatting sqref="F154">
    <cfRule type="cellIs" dxfId="95" priority="93" operator="greaterThan">
      <formula>D154</formula>
    </cfRule>
    <cfRule type="cellIs" dxfId="94" priority="94" operator="lessThan">
      <formula>C154</formula>
    </cfRule>
  </conditionalFormatting>
  <conditionalFormatting sqref="F157">
    <cfRule type="cellIs" dxfId="93" priority="91" operator="greaterThan">
      <formula>D157</formula>
    </cfRule>
    <cfRule type="cellIs" dxfId="92" priority="92" operator="lessThan">
      <formula>C157</formula>
    </cfRule>
  </conditionalFormatting>
  <conditionalFormatting sqref="F156">
    <cfRule type="cellIs" dxfId="91" priority="89" operator="greaterThan">
      <formula>D156</formula>
    </cfRule>
    <cfRule type="cellIs" dxfId="90" priority="90" operator="lessThan">
      <formula>C156</formula>
    </cfRule>
  </conditionalFormatting>
  <conditionalFormatting sqref="F159">
    <cfRule type="cellIs" dxfId="89" priority="87" operator="greaterThan">
      <formula>D159</formula>
    </cfRule>
    <cfRule type="cellIs" dxfId="88" priority="88" operator="lessThan">
      <formula>C159</formula>
    </cfRule>
  </conditionalFormatting>
  <conditionalFormatting sqref="F158">
    <cfRule type="cellIs" dxfId="87" priority="85" operator="greaterThan">
      <formula>D158</formula>
    </cfRule>
    <cfRule type="cellIs" dxfId="86" priority="86" operator="lessThan">
      <formula>C158</formula>
    </cfRule>
  </conditionalFormatting>
  <conditionalFormatting sqref="F161">
    <cfRule type="cellIs" dxfId="85" priority="83" operator="greaterThan">
      <formula>D161</formula>
    </cfRule>
    <cfRule type="cellIs" dxfId="84" priority="84" operator="lessThan">
      <formula>C161</formula>
    </cfRule>
  </conditionalFormatting>
  <conditionalFormatting sqref="F160">
    <cfRule type="cellIs" dxfId="83" priority="81" operator="greaterThan">
      <formula>D160</formula>
    </cfRule>
    <cfRule type="cellIs" dxfId="82" priority="82" operator="lessThan">
      <formula>C160</formula>
    </cfRule>
  </conditionalFormatting>
  <conditionalFormatting sqref="F163">
    <cfRule type="cellIs" dxfId="81" priority="79" operator="greaterThan">
      <formula>D163</formula>
    </cfRule>
    <cfRule type="cellIs" dxfId="80" priority="80" operator="lessThan">
      <formula>C163</formula>
    </cfRule>
  </conditionalFormatting>
  <conditionalFormatting sqref="F162">
    <cfRule type="cellIs" dxfId="79" priority="77" operator="greaterThan">
      <formula>D162</formula>
    </cfRule>
    <cfRule type="cellIs" dxfId="78" priority="78" operator="lessThan">
      <formula>C162</formula>
    </cfRule>
  </conditionalFormatting>
  <conditionalFormatting sqref="F165">
    <cfRule type="cellIs" dxfId="77" priority="75" operator="greaterThan">
      <formula>D165</formula>
    </cfRule>
    <cfRule type="cellIs" dxfId="76" priority="76" operator="lessThan">
      <formula>C165</formula>
    </cfRule>
  </conditionalFormatting>
  <conditionalFormatting sqref="F164">
    <cfRule type="cellIs" dxfId="75" priority="73" operator="greaterThan">
      <formula>D164</formula>
    </cfRule>
    <cfRule type="cellIs" dxfId="74" priority="74" operator="lessThan">
      <formula>C164</formula>
    </cfRule>
  </conditionalFormatting>
  <conditionalFormatting sqref="F167">
    <cfRule type="cellIs" dxfId="73" priority="71" operator="greaterThan">
      <formula>D167</formula>
    </cfRule>
    <cfRule type="cellIs" dxfId="72" priority="72" operator="lessThan">
      <formula>C167</formula>
    </cfRule>
  </conditionalFormatting>
  <conditionalFormatting sqref="F166">
    <cfRule type="cellIs" dxfId="71" priority="69" operator="greaterThan">
      <formula>D166</formula>
    </cfRule>
    <cfRule type="cellIs" dxfId="70" priority="70" operator="lessThan">
      <formula>C166</formula>
    </cfRule>
  </conditionalFormatting>
  <conditionalFormatting sqref="F169">
    <cfRule type="cellIs" dxfId="69" priority="67" operator="greaterThan">
      <formula>D169</formula>
    </cfRule>
    <cfRule type="cellIs" dxfId="68" priority="68" operator="lessThan">
      <formula>C169</formula>
    </cfRule>
  </conditionalFormatting>
  <conditionalFormatting sqref="F168">
    <cfRule type="cellIs" dxfId="67" priority="65" operator="greaterThan">
      <formula>D168</formula>
    </cfRule>
    <cfRule type="cellIs" dxfId="66" priority="66" operator="lessThan">
      <formula>C168</formula>
    </cfRule>
  </conditionalFormatting>
  <conditionalFormatting sqref="F171">
    <cfRule type="cellIs" dxfId="65" priority="63" operator="greaterThan">
      <formula>D171</formula>
    </cfRule>
    <cfRule type="cellIs" dxfId="64" priority="64" operator="lessThan">
      <formula>C171</formula>
    </cfRule>
  </conditionalFormatting>
  <conditionalFormatting sqref="F170">
    <cfRule type="cellIs" dxfId="63" priority="61" operator="greaterThan">
      <formula>D170</formula>
    </cfRule>
    <cfRule type="cellIs" dxfId="62" priority="62" operator="lessThan">
      <formula>C170</formula>
    </cfRule>
  </conditionalFormatting>
  <conditionalFormatting sqref="F173">
    <cfRule type="cellIs" dxfId="61" priority="59" operator="greaterThan">
      <formula>D173</formula>
    </cfRule>
    <cfRule type="cellIs" dxfId="60" priority="60" operator="lessThan">
      <formula>C173</formula>
    </cfRule>
  </conditionalFormatting>
  <conditionalFormatting sqref="F172">
    <cfRule type="cellIs" dxfId="59" priority="57" operator="greaterThan">
      <formula>D172</formula>
    </cfRule>
    <cfRule type="cellIs" dxfId="58" priority="58" operator="lessThan">
      <formula>C172</formula>
    </cfRule>
  </conditionalFormatting>
  <conditionalFormatting sqref="F175">
    <cfRule type="cellIs" dxfId="57" priority="55" operator="greaterThan">
      <formula>D175</formula>
    </cfRule>
    <cfRule type="cellIs" dxfId="56" priority="56" operator="lessThan">
      <formula>C175</formula>
    </cfRule>
  </conditionalFormatting>
  <conditionalFormatting sqref="F174">
    <cfRule type="cellIs" dxfId="55" priority="53" operator="greaterThan">
      <formula>D174</formula>
    </cfRule>
    <cfRule type="cellIs" dxfId="54" priority="54" operator="lessThan">
      <formula>C174</formula>
    </cfRule>
  </conditionalFormatting>
  <conditionalFormatting sqref="F177">
    <cfRule type="cellIs" dxfId="53" priority="51" operator="greaterThan">
      <formula>D177</formula>
    </cfRule>
    <cfRule type="cellIs" dxfId="52" priority="52" operator="lessThan">
      <formula>C177</formula>
    </cfRule>
  </conditionalFormatting>
  <conditionalFormatting sqref="F176">
    <cfRule type="cellIs" dxfId="51" priority="49" operator="greaterThan">
      <formula>D176</formula>
    </cfRule>
    <cfRule type="cellIs" dxfId="50" priority="50" operator="lessThan">
      <formula>C176</formula>
    </cfRule>
  </conditionalFormatting>
  <conditionalFormatting sqref="F179">
    <cfRule type="cellIs" dxfId="49" priority="47" operator="greaterThan">
      <formula>D179</formula>
    </cfRule>
    <cfRule type="cellIs" dxfId="48" priority="48" operator="lessThan">
      <formula>C179</formula>
    </cfRule>
  </conditionalFormatting>
  <conditionalFormatting sqref="F178">
    <cfRule type="cellIs" dxfId="47" priority="45" operator="greaterThan">
      <formula>D178</formula>
    </cfRule>
    <cfRule type="cellIs" dxfId="46" priority="46" operator="lessThan">
      <formula>C178</formula>
    </cfRule>
  </conditionalFormatting>
  <conditionalFormatting sqref="F181">
    <cfRule type="cellIs" dxfId="45" priority="43" operator="greaterThan">
      <formula>D181</formula>
    </cfRule>
    <cfRule type="cellIs" dxfId="44" priority="44" operator="lessThan">
      <formula>C181</formula>
    </cfRule>
  </conditionalFormatting>
  <conditionalFormatting sqref="F180">
    <cfRule type="cellIs" dxfId="43" priority="41" operator="greaterThan">
      <formula>D180</formula>
    </cfRule>
    <cfRule type="cellIs" dxfId="42" priority="42" operator="lessThan">
      <formula>C180</formula>
    </cfRule>
  </conditionalFormatting>
  <conditionalFormatting sqref="F183">
    <cfRule type="cellIs" dxfId="41" priority="39" operator="greaterThan">
      <formula>D183</formula>
    </cfRule>
    <cfRule type="cellIs" dxfId="40" priority="40" operator="lessThan">
      <formula>C183</formula>
    </cfRule>
  </conditionalFormatting>
  <conditionalFormatting sqref="F182">
    <cfRule type="cellIs" dxfId="39" priority="37" operator="greaterThan">
      <formula>D182</formula>
    </cfRule>
    <cfRule type="cellIs" dxfId="38" priority="38" operator="lessThan">
      <formula>C182</formula>
    </cfRule>
  </conditionalFormatting>
  <conditionalFormatting sqref="F185">
    <cfRule type="cellIs" dxfId="37" priority="35" operator="greaterThan">
      <formula>D185</formula>
    </cfRule>
    <cfRule type="cellIs" dxfId="36" priority="36" operator="lessThan">
      <formula>C185</formula>
    </cfRule>
  </conditionalFormatting>
  <conditionalFormatting sqref="F184">
    <cfRule type="cellIs" dxfId="35" priority="33" operator="greaterThan">
      <formula>D184</formula>
    </cfRule>
    <cfRule type="cellIs" dxfId="34" priority="34" operator="lessThan">
      <formula>C184</formula>
    </cfRule>
  </conditionalFormatting>
  <conditionalFormatting sqref="F187">
    <cfRule type="cellIs" dxfId="33" priority="31" operator="greaterThan">
      <formula>D187</formula>
    </cfRule>
    <cfRule type="cellIs" dxfId="32" priority="32" operator="lessThan">
      <formula>C187</formula>
    </cfRule>
  </conditionalFormatting>
  <conditionalFormatting sqref="F186">
    <cfRule type="cellIs" dxfId="31" priority="29" operator="greaterThan">
      <formula>D186</formula>
    </cfRule>
    <cfRule type="cellIs" dxfId="30" priority="30" operator="lessThan">
      <formula>C186</formula>
    </cfRule>
  </conditionalFormatting>
  <conditionalFormatting sqref="F189">
    <cfRule type="cellIs" dxfId="29" priority="27" operator="greaterThan">
      <formula>D189</formula>
    </cfRule>
    <cfRule type="cellIs" dxfId="28" priority="28" operator="lessThan">
      <formula>C189</formula>
    </cfRule>
  </conditionalFormatting>
  <conditionalFormatting sqref="F188">
    <cfRule type="cellIs" dxfId="27" priority="25" operator="greaterThan">
      <formula>D188</formula>
    </cfRule>
    <cfRule type="cellIs" dxfId="26" priority="26" operator="lessThan">
      <formula>C188</formula>
    </cfRule>
  </conditionalFormatting>
  <conditionalFormatting sqref="F191">
    <cfRule type="cellIs" dxfId="25" priority="23" operator="greaterThan">
      <formula>D191</formula>
    </cfRule>
    <cfRule type="cellIs" dxfId="24" priority="24" operator="lessThan">
      <formula>C191</formula>
    </cfRule>
  </conditionalFormatting>
  <conditionalFormatting sqref="F190">
    <cfRule type="cellIs" dxfId="23" priority="21" operator="greaterThan">
      <formula>D190</formula>
    </cfRule>
    <cfRule type="cellIs" dxfId="22" priority="22" operator="lessThan">
      <formula>C190</formula>
    </cfRule>
  </conditionalFormatting>
  <conditionalFormatting sqref="F193">
    <cfRule type="cellIs" dxfId="21" priority="19" operator="greaterThan">
      <formula>D193</formula>
    </cfRule>
    <cfRule type="cellIs" dxfId="20" priority="20" operator="lessThan">
      <formula>C193</formula>
    </cfRule>
  </conditionalFormatting>
  <conditionalFormatting sqref="F192">
    <cfRule type="cellIs" dxfId="19" priority="17" operator="greaterThan">
      <formula>D192</formula>
    </cfRule>
    <cfRule type="cellIs" dxfId="18" priority="18" operator="lessThan">
      <formula>C192</formula>
    </cfRule>
  </conditionalFormatting>
  <conditionalFormatting sqref="F195">
    <cfRule type="cellIs" dxfId="17" priority="15" operator="greaterThan">
      <formula>D195</formula>
    </cfRule>
    <cfRule type="cellIs" dxfId="16" priority="16" operator="lessThan">
      <formula>C195</formula>
    </cfRule>
  </conditionalFormatting>
  <conditionalFormatting sqref="F194">
    <cfRule type="cellIs" dxfId="15" priority="13" operator="greaterThan">
      <formula>D194</formula>
    </cfRule>
    <cfRule type="cellIs" dxfId="14" priority="14" operator="lessThan">
      <formula>C194</formula>
    </cfRule>
  </conditionalFormatting>
  <conditionalFormatting sqref="F197">
    <cfRule type="cellIs" dxfId="13" priority="11" operator="greaterThan">
      <formula>D197</formula>
    </cfRule>
    <cfRule type="cellIs" dxfId="12" priority="12" operator="lessThan">
      <formula>C197</formula>
    </cfRule>
  </conditionalFormatting>
  <conditionalFormatting sqref="F196">
    <cfRule type="cellIs" dxfId="11" priority="9" operator="greaterThan">
      <formula>D196</formula>
    </cfRule>
    <cfRule type="cellIs" dxfId="10" priority="10" operator="lessThan">
      <formula>C196</formula>
    </cfRule>
  </conditionalFormatting>
  <conditionalFormatting sqref="F199">
    <cfRule type="cellIs" dxfId="9" priority="7" operator="greaterThan">
      <formula>D199</formula>
    </cfRule>
    <cfRule type="cellIs" dxfId="8" priority="8" operator="lessThan">
      <formula>C199</formula>
    </cfRule>
  </conditionalFormatting>
  <conditionalFormatting sqref="F198">
    <cfRule type="cellIs" dxfId="7" priority="5" operator="greaterThan">
      <formula>D198</formula>
    </cfRule>
    <cfRule type="cellIs" dxfId="6" priority="6" operator="lessThan">
      <formula>C198</formula>
    </cfRule>
  </conditionalFormatting>
  <conditionalFormatting sqref="F201">
    <cfRule type="cellIs" dxfId="5" priority="3" operator="greaterThan">
      <formula>D201</formula>
    </cfRule>
    <cfRule type="cellIs" dxfId="4" priority="4" operator="lessThan">
      <formula>C201</formula>
    </cfRule>
  </conditionalFormatting>
  <conditionalFormatting sqref="F200">
    <cfRule type="cellIs" dxfId="3" priority="1" operator="greaterThan">
      <formula>D200</formula>
    </cfRule>
    <cfRule type="cellIs" dxfId="2" priority="2" operator="lessThan">
      <formula>C200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3" sqref="D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11.2851562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7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1" t="s">
        <v>340</v>
      </c>
      <c r="R2" s="221" t="s">
        <v>341</v>
      </c>
      <c r="S2" s="221" t="s">
        <v>353</v>
      </c>
      <c r="T2" s="221"/>
      <c r="U2" s="221" t="s">
        <v>354</v>
      </c>
      <c r="V2" s="247" t="s">
        <v>589</v>
      </c>
      <c r="W2" s="450" t="s">
        <v>355</v>
      </c>
      <c r="X2" s="451" t="s">
        <v>356</v>
      </c>
      <c r="Y2" s="450" t="s">
        <v>357</v>
      </c>
      <c r="Z2" s="247" t="s">
        <v>589</v>
      </c>
      <c r="AA2" s="459" t="s">
        <v>358</v>
      </c>
      <c r="AB2" s="458" t="s">
        <v>359</v>
      </c>
      <c r="AC2" s="222" t="s">
        <v>340</v>
      </c>
      <c r="AD2" s="223" t="s">
        <v>341</v>
      </c>
      <c r="AE2" s="222" t="s">
        <v>360</v>
      </c>
      <c r="AF2" s="222"/>
      <c r="AG2" s="222" t="s">
        <v>354</v>
      </c>
      <c r="AH2" s="247" t="s">
        <v>589</v>
      </c>
      <c r="AI2" s="450" t="s">
        <v>355</v>
      </c>
      <c r="AJ2" s="451" t="s">
        <v>356</v>
      </c>
      <c r="AK2" s="450" t="s">
        <v>357</v>
      </c>
      <c r="AL2" s="247" t="s">
        <v>589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11" t="s">
        <v>401</v>
      </c>
      <c r="B3" s="203">
        <v>22</v>
      </c>
      <c r="C3" s="200">
        <v>4200</v>
      </c>
      <c r="D3" s="423">
        <v>22</v>
      </c>
      <c r="E3" s="424">
        <f t="shared" ref="E3:E72" si="0">+B3*D3*-100</f>
        <v>-48400</v>
      </c>
      <c r="F3" s="425">
        <f t="shared" ref="F3:F34" si="1">IF(B3&gt;0,+B3*D3*(1+($N$53+0.002)*1.21)*-100,B3*D3*(1-($N$53+0.002)*1.21)*-100)</f>
        <v>-48522.984399999994</v>
      </c>
      <c r="G3" s="202">
        <f t="shared" ref="G3:G37" si="2">IFERROR(VLOOKUP(C3,$R$3:$AA$50,7,0),"")</f>
        <v>22.1</v>
      </c>
      <c r="H3" s="429">
        <f>IFERROR(+G3*B3*-100,0)</f>
        <v>-48620.000000000007</v>
      </c>
      <c r="I3" s="430">
        <f t="shared" ref="I3:I72" si="3">+IF(G3="",0,(F3-H3))</f>
        <v>97.015600000013364</v>
      </c>
      <c r="J3" s="62"/>
      <c r="K3" s="106"/>
      <c r="L3" s="549">
        <f t="shared" ref="L3:L17" si="4">+L4*(1-$N$42)</f>
        <v>1922.5506102192917</v>
      </c>
      <c r="M3" s="452">
        <f t="shared" ref="M3:M34" si="5">ET3</f>
        <v>-48522.98</v>
      </c>
      <c r="N3" s="452">
        <f t="shared" ref="N3:N34" ca="1" si="6">GK3</f>
        <v>-48522.98</v>
      </c>
      <c r="O3" s="62"/>
      <c r="P3" s="198">
        <f>IF(R3="","-",(R3+X3)-$L$18)</f>
        <v>303.9989999999998</v>
      </c>
      <c r="Q3" s="421">
        <f t="shared" ref="Q3:Q17" si="7">SUMIFS(B$3:B$37,C$3:C$37,R3)</f>
        <v>0</v>
      </c>
      <c r="R3" s="420">
        <v>2900</v>
      </c>
      <c r="S3" s="414">
        <f ca="1">IFERROR((NORMSDIST(((LN($L$18/$R3)+($N$48+($N$46^2)/2)*$N$51)/($N$46*SQRT($N$51))))*$L$18-NORMSDIST((((LN($L$18/$R3)+($N$48+($N$46^2)/2)*$N$51)/($N$46*SQRT($N$51)))-$N$46*SQRT(($N$51))))*$R3*EXP(-$N$48*$N$51)),0)</f>
        <v>280.00076338290137</v>
      </c>
      <c r="T3" s="33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37">
        <f>IFERROR(VLOOKUP($U3,HomeBroker!$A$30:$F$60,2,0),0)</f>
        <v>10</v>
      </c>
      <c r="W3" s="417">
        <f>IFERROR(VLOOKUP($U3,HomeBroker!$A$30:$F$60,3,0),0)</f>
        <v>419.00799999999998</v>
      </c>
      <c r="X3" s="547">
        <f>IFERROR(VLOOKUP($U3,HomeBroker!$A$30:$F$60,6,0),0)</f>
        <v>439.99900000000002</v>
      </c>
      <c r="Y3" s="416">
        <f>IFERROR(VLOOKUP($U3,HomeBroker!$A$30:$F$60,4,0),0)</f>
        <v>439.99900000000002</v>
      </c>
      <c r="Z3" s="337">
        <f>IFERROR(VLOOKUP($U3,HomeBroker!$A$30:$F$60,5,0),0)</f>
        <v>9</v>
      </c>
      <c r="AA3" s="340">
        <f>IFERROR(VLOOKUP($U3,HomeBroker!$A$30:$N$60,13,0),0)</f>
        <v>158</v>
      </c>
      <c r="AB3" s="199">
        <f>IF(AD3="","-",(AD3-AJ3)-$L$18)</f>
        <v>-642.5</v>
      </c>
      <c r="AC3" s="422">
        <f t="shared" ref="AC3:AC17" si="9">SUMIFS(B$38:B$72,C$38:C$72,AD3)</f>
        <v>0</v>
      </c>
      <c r="AD3" s="420">
        <v>2400</v>
      </c>
      <c r="AE3" s="415">
        <f ca="1">IFERROR((NORMSDIST(-(((LN($L$18/$AD3)+($N$48+($N$47^2)/2)*$N$51)/($N$47*SQRT($N$51)))-$N$47*SQRT($N$51)))*$AD3*EXP(-$N$48*$N$51)-NORMSDIST(-((LN($L$18/$AD3)+($N$48+($N$47^2)/2)*$N$51)/($N$47*SQRT($N$51))))*$L$18),0)</f>
        <v>27.30749601602389</v>
      </c>
      <c r="AF3" s="33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85">
        <f>IFERROR(VLOOKUP($AG3,HomeBroker!$A$30:$F$60,2,0),0)</f>
        <v>44</v>
      </c>
      <c r="AI3" s="417">
        <f>IFERROR(VLOOKUP($AG3,HomeBroker!$A$30:$F$60,3,0),0)</f>
        <v>6.5</v>
      </c>
      <c r="AJ3" s="547">
        <f>IFERROR(VLOOKUP($AG3,HomeBroker!$A$30:$F$60,6,0),0)</f>
        <v>6.5</v>
      </c>
      <c r="AK3" s="417">
        <f>IFERROR(VLOOKUP($AG3,HomeBroker!$A$30:$F$60,4,0),0)</f>
        <v>6.9</v>
      </c>
      <c r="AL3" s="385">
        <f>IFERROR(VLOOKUP($AG3,HomeBroker!$A$30:$F$60,5,0),0)</f>
        <v>30</v>
      </c>
      <c r="AM3" s="418">
        <f>IFERROR(VLOOKUP($AG3,HomeBroker!$A$30:$N$60,13,0),0)</f>
        <v>833</v>
      </c>
      <c r="AN3" s="62"/>
      <c r="AO3" s="198">
        <f>IF(OR(R3="",X3=0,AJ3=0),"-",R3+X3-AJ3-$L$18)</f>
        <v>297.4989999999998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2">
        <f t="shared" ref="AX3:AX76" si="11">+AU3*AW3*-100</f>
        <v>0</v>
      </c>
      <c r="AY3" s="213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6">
        <f t="shared" ref="BD3:BD76" si="13">+BA3*BC3*-100</f>
        <v>0</v>
      </c>
      <c r="BE3" s="217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19">
        <f t="shared" ref="BI3:BI76" si="15">-BH3*BG3</f>
        <v>0</v>
      </c>
      <c r="BJ3" s="220">
        <f t="shared" ref="BJ3:BJ76" si="16">IF(BG3&gt;0,-BH3*(1+($N$52+0.0008)*1.21)*BG3,-BH3*(1-($N$52+0.0008)*1.21)*BG3)</f>
        <v>0</v>
      </c>
      <c r="DE3" s="117">
        <f t="shared" ref="DE3:DE34" si="17">L3</f>
        <v>1922.5506102192917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-48522.984399999994</v>
      </c>
      <c r="ES3" s="122"/>
      <c r="ET3" s="123">
        <f t="shared" ref="ET3:ET34" si="54">ROUND($ER$3+EP3+ET36+ET70+ET103,2)</f>
        <v>-48522.98</v>
      </c>
      <c r="EU3" s="72"/>
      <c r="EV3" s="117">
        <f t="shared" ref="EV3:EV34" si="55">$L3</f>
        <v>1922.5506102192917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-48522.984399999994</v>
      </c>
      <c r="GJ3" s="122"/>
      <c r="GK3" s="123">
        <f t="shared" ref="GK3:GK34" ca="1" si="57">ROUND($GI$3+GG3+GK36+GK70+GK103,2)</f>
        <v>-48522.98</v>
      </c>
    </row>
    <row r="4" spans="1:193" ht="15">
      <c r="A4" s="411" t="s">
        <v>401</v>
      </c>
      <c r="B4" s="203"/>
      <c r="C4" s="200"/>
      <c r="D4" s="423"/>
      <c r="E4" s="424">
        <f t="shared" si="0"/>
        <v>0</v>
      </c>
      <c r="F4" s="425">
        <f t="shared" si="1"/>
        <v>0</v>
      </c>
      <c r="G4" s="202" t="str">
        <f t="shared" si="2"/>
        <v/>
      </c>
      <c r="H4" s="429">
        <f t="shared" ref="H4:H67" si="58">IFERROR(+G4*B4*-100,0)</f>
        <v>0</v>
      </c>
      <c r="I4" s="430">
        <f t="shared" si="3"/>
        <v>0</v>
      </c>
      <c r="J4" s="62"/>
      <c r="K4" s="106"/>
      <c r="L4" s="550">
        <f t="shared" si="4"/>
        <v>1982.0109383704039</v>
      </c>
      <c r="M4" s="453">
        <f t="shared" si="5"/>
        <v>-48522.98</v>
      </c>
      <c r="N4" s="453">
        <f t="shared" ca="1" si="6"/>
        <v>-48522.98</v>
      </c>
      <c r="O4" s="62"/>
      <c r="P4" s="198">
        <f t="shared" ref="P4:P42" si="59">IF(R4="","-",(R4+X4)-$L$18)</f>
        <v>324</v>
      </c>
      <c r="Q4" s="421">
        <f t="shared" si="7"/>
        <v>0</v>
      </c>
      <c r="R4" s="420">
        <v>3000</v>
      </c>
      <c r="S4" s="414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226.55669745024238</v>
      </c>
      <c r="T4" s="33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37">
        <f>IFERROR(VLOOKUP($U4,HomeBroker!$A$30:$F$60,2,0),0)</f>
        <v>22</v>
      </c>
      <c r="W4" s="417">
        <f>IFERROR(VLOOKUP($U4,HomeBroker!$A$30:$F$60,3,0),0)</f>
        <v>360</v>
      </c>
      <c r="X4" s="547">
        <f>IFERROR(VLOOKUP($U4,HomeBroker!$A$30:$F$60,6,0),0)</f>
        <v>360</v>
      </c>
      <c r="Y4" s="416">
        <f>IFERROR(VLOOKUP($U4,HomeBroker!$A$30:$F$60,4,0),0)</f>
        <v>362</v>
      </c>
      <c r="Z4" s="337">
        <f>IFERROR(VLOOKUP($U4,HomeBroker!$A$30:$F$60,5,0),0)</f>
        <v>20</v>
      </c>
      <c r="AA4" s="340">
        <f>IFERROR(VLOOKUP($U4,HomeBroker!$A$30:$N$60,13,0),0)</f>
        <v>6941</v>
      </c>
      <c r="AB4" s="199">
        <f t="shared" ref="AB4:AB42" si="63">IF(AD4="","-",(AD4-AJ4)-$L$18)</f>
        <v>-546.30000000000018</v>
      </c>
      <c r="AC4" s="422">
        <f t="shared" si="9"/>
        <v>0</v>
      </c>
      <c r="AD4" s="420">
        <v>2500</v>
      </c>
      <c r="AE4" s="41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42.581388428198409</v>
      </c>
      <c r="AF4" s="33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85">
        <f>IFERROR(VLOOKUP($AG4,HomeBroker!$A$30:$F$60,2,0),0)</f>
        <v>55</v>
      </c>
      <c r="AI4" s="417">
        <f>IFERROR(VLOOKUP($AG4,HomeBroker!$A$30:$F$60,3,0),0)</f>
        <v>10</v>
      </c>
      <c r="AJ4" s="547">
        <f>IFERROR(VLOOKUP($AG4,HomeBroker!$A$30:$F$60,6,0),0)</f>
        <v>10.3</v>
      </c>
      <c r="AK4" s="417">
        <f>IFERROR(VLOOKUP($AG4,HomeBroker!$A$30:$F$60,4,0),0)</f>
        <v>10.8</v>
      </c>
      <c r="AL4" s="385">
        <f>IFERROR(VLOOKUP($AG4,HomeBroker!$A$30:$F$60,5,0),0)</f>
        <v>4</v>
      </c>
      <c r="AM4" s="419">
        <f>IFERROR(VLOOKUP($AG4,HomeBroker!$A$30:$N$60,13,0),0)</f>
        <v>1187</v>
      </c>
      <c r="AN4" s="62"/>
      <c r="AO4" s="198">
        <f t="shared" ref="AO4:AO42" si="67">IF(OR(R4="",X4=0,AJ4=0),"-",R4+X4-AJ4-$L$18)</f>
        <v>313.69999999999982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4">
        <f t="shared" si="11"/>
        <v>0</v>
      </c>
      <c r="AY4" s="215">
        <f t="shared" si="12"/>
        <v>0</v>
      </c>
      <c r="AZ4" s="114" t="s">
        <v>402</v>
      </c>
      <c r="BA4" s="112"/>
      <c r="BB4" s="105"/>
      <c r="BC4" s="115"/>
      <c r="BD4" s="216">
        <f t="shared" si="13"/>
        <v>0</v>
      </c>
      <c r="BE4" s="218">
        <f t="shared" si="14"/>
        <v>0</v>
      </c>
      <c r="BF4" s="116" t="s">
        <v>403</v>
      </c>
      <c r="BG4" s="112"/>
      <c r="BH4" s="115"/>
      <c r="BI4" s="219">
        <f t="shared" si="15"/>
        <v>0</v>
      </c>
      <c r="BJ4" s="220">
        <f t="shared" si="16"/>
        <v>0</v>
      </c>
      <c r="DE4" s="117">
        <f t="shared" si="17"/>
        <v>1982.0109383704039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-48522.98</v>
      </c>
      <c r="EU4" s="72"/>
      <c r="EV4" s="117">
        <f t="shared" si="55"/>
        <v>1982.0109383704039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-48522.98</v>
      </c>
    </row>
    <row r="5" spans="1:193" ht="15">
      <c r="A5" s="411" t="s">
        <v>401</v>
      </c>
      <c r="B5" s="203"/>
      <c r="C5" s="200"/>
      <c r="D5" s="423"/>
      <c r="E5" s="424">
        <f t="shared" si="0"/>
        <v>0</v>
      </c>
      <c r="F5" s="425">
        <f t="shared" si="1"/>
        <v>0</v>
      </c>
      <c r="G5" s="202" t="str">
        <f t="shared" si="2"/>
        <v/>
      </c>
      <c r="H5" s="429">
        <f t="shared" si="58"/>
        <v>0</v>
      </c>
      <c r="I5" s="430">
        <f t="shared" si="3"/>
        <v>0</v>
      </c>
      <c r="J5" s="62"/>
      <c r="K5" s="106"/>
      <c r="L5" s="550">
        <f t="shared" si="4"/>
        <v>2043.3102457426844</v>
      </c>
      <c r="M5" s="453">
        <f t="shared" si="5"/>
        <v>-48522.98</v>
      </c>
      <c r="N5" s="453">
        <f t="shared" ca="1" si="6"/>
        <v>-48522.98</v>
      </c>
      <c r="O5" s="62"/>
      <c r="P5" s="198">
        <f t="shared" si="59"/>
        <v>384</v>
      </c>
      <c r="Q5" s="421">
        <f t="shared" si="7"/>
        <v>0</v>
      </c>
      <c r="R5" s="420">
        <v>3150</v>
      </c>
      <c r="S5" s="414">
        <f t="shared" ca="1" si="60"/>
        <v>160.739527585318</v>
      </c>
      <c r="T5" s="339" t="str">
        <f t="shared" si="61"/>
        <v>MERV - XMEV - GFGC3150JU - 24hs</v>
      </c>
      <c r="U5" s="339" t="str">
        <f t="shared" si="62"/>
        <v>GFGC3150JU</v>
      </c>
      <c r="V5" s="337">
        <f>IFERROR(VLOOKUP($U5,HomeBroker!$A$30:$F$60,2,0),0)</f>
        <v>2</v>
      </c>
      <c r="W5" s="417">
        <f>IFERROR(VLOOKUP($U5,HomeBroker!$A$30:$F$60,3,0),0)</f>
        <v>267</v>
      </c>
      <c r="X5" s="547">
        <f>IFERROR(VLOOKUP($U5,HomeBroker!$A$30:$F$60,6,0),0)</f>
        <v>270</v>
      </c>
      <c r="Y5" s="416">
        <f>IFERROR(VLOOKUP($U5,HomeBroker!$A$30:$F$60,4,0),0)</f>
        <v>270</v>
      </c>
      <c r="Z5" s="337">
        <f>IFERROR(VLOOKUP($U5,HomeBroker!$A$30:$F$60,5,0),0)</f>
        <v>14</v>
      </c>
      <c r="AA5" s="340">
        <f>IFERROR(VLOOKUP($U5,HomeBroker!$A$30:$N$60,13,0),0)</f>
        <v>1702</v>
      </c>
      <c r="AB5" s="199">
        <f t="shared" si="63"/>
        <v>-453</v>
      </c>
      <c r="AC5" s="422">
        <f t="shared" si="9"/>
        <v>0</v>
      </c>
      <c r="AD5" s="420">
        <v>2600</v>
      </c>
      <c r="AE5" s="415">
        <f t="shared" ca="1" si="64"/>
        <v>63.274669265736975</v>
      </c>
      <c r="AF5" s="339" t="str">
        <f t="shared" si="65"/>
        <v>MERV - XMEV - GFGV2600JU - 24hs</v>
      </c>
      <c r="AG5" s="339" t="str">
        <f t="shared" si="66"/>
        <v>GFGV2600JU</v>
      </c>
      <c r="AH5" s="385">
        <f>IFERROR(VLOOKUP($AG5,HomeBroker!$A$30:$F$60,2,0),0)</f>
        <v>2</v>
      </c>
      <c r="AI5" s="417">
        <f>IFERROR(VLOOKUP($AG5,HomeBroker!$A$30:$F$60,3,0),0)</f>
        <v>16.440000000000001</v>
      </c>
      <c r="AJ5" s="547">
        <f>IFERROR(VLOOKUP($AG5,HomeBroker!$A$30:$F$60,6,0),0)</f>
        <v>17</v>
      </c>
      <c r="AK5" s="417">
        <f>IFERROR(VLOOKUP($AG5,HomeBroker!$A$30:$F$60,4,0),0)</f>
        <v>17</v>
      </c>
      <c r="AL5" s="385">
        <f>IFERROR(VLOOKUP($AG5,HomeBroker!$A$30:$F$60,5,0),0)</f>
        <v>16</v>
      </c>
      <c r="AM5" s="419">
        <f>IFERROR(VLOOKUP($AG5,HomeBroker!$A$30:$N$60,13,0),0)</f>
        <v>745</v>
      </c>
      <c r="AN5" s="62"/>
      <c r="AO5" s="198">
        <f t="shared" si="67"/>
        <v>367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4">
        <f t="shared" si="11"/>
        <v>0</v>
      </c>
      <c r="AY5" s="215">
        <f t="shared" si="12"/>
        <v>0</v>
      </c>
      <c r="AZ5" s="114" t="s">
        <v>402</v>
      </c>
      <c r="BA5" s="112"/>
      <c r="BB5" s="105"/>
      <c r="BC5" s="115"/>
      <c r="BD5" s="216">
        <f t="shared" si="13"/>
        <v>0</v>
      </c>
      <c r="BE5" s="218">
        <f t="shared" si="14"/>
        <v>0</v>
      </c>
      <c r="BF5" s="116" t="s">
        <v>403</v>
      </c>
      <c r="BG5" s="112"/>
      <c r="BH5" s="115"/>
      <c r="BI5" s="219">
        <f t="shared" si="15"/>
        <v>0</v>
      </c>
      <c r="BJ5" s="220">
        <f t="shared" si="16"/>
        <v>0</v>
      </c>
      <c r="DE5" s="117">
        <f t="shared" si="17"/>
        <v>2043.3102457426844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-48522.98</v>
      </c>
      <c r="EU5" s="72"/>
      <c r="EV5" s="117">
        <f t="shared" si="55"/>
        <v>2043.3102457426844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-48522.98</v>
      </c>
    </row>
    <row r="6" spans="1:193" ht="15">
      <c r="A6" s="411" t="s">
        <v>401</v>
      </c>
      <c r="B6" s="203"/>
      <c r="C6" s="200"/>
      <c r="D6" s="423"/>
      <c r="E6" s="424">
        <f t="shared" si="0"/>
        <v>0</v>
      </c>
      <c r="F6" s="425">
        <f t="shared" si="1"/>
        <v>0</v>
      </c>
      <c r="G6" s="202" t="str">
        <f t="shared" si="2"/>
        <v/>
      </c>
      <c r="H6" s="429">
        <f t="shared" si="58"/>
        <v>0</v>
      </c>
      <c r="I6" s="430">
        <f t="shared" si="3"/>
        <v>0</v>
      </c>
      <c r="J6" s="62"/>
      <c r="K6" s="106"/>
      <c r="L6" s="550">
        <f t="shared" si="4"/>
        <v>2106.5054079821489</v>
      </c>
      <c r="M6" s="454">
        <f t="shared" si="5"/>
        <v>-48522.98</v>
      </c>
      <c r="N6" s="454">
        <f t="shared" ca="1" si="6"/>
        <v>-48522.98</v>
      </c>
      <c r="O6" s="62"/>
      <c r="P6" s="198">
        <f t="shared" si="59"/>
        <v>457</v>
      </c>
      <c r="Q6" s="421">
        <f t="shared" si="7"/>
        <v>0</v>
      </c>
      <c r="R6" s="420">
        <v>3300</v>
      </c>
      <c r="S6" s="414">
        <f t="shared" ca="1" si="60"/>
        <v>110.72688676211123</v>
      </c>
      <c r="T6" s="339" t="str">
        <f t="shared" si="61"/>
        <v>MERV - XMEV - GFGC3300JU - 24hs</v>
      </c>
      <c r="U6" s="339" t="str">
        <f t="shared" si="62"/>
        <v>GFGC3300JU</v>
      </c>
      <c r="V6" s="337">
        <f>IFERROR(VLOOKUP($U6,HomeBroker!$A$30:$F$60,2,0),0)</f>
        <v>2</v>
      </c>
      <c r="W6" s="417">
        <f>IFERROR(VLOOKUP($U6,HomeBroker!$A$30:$F$60,3,0),0)</f>
        <v>190</v>
      </c>
      <c r="X6" s="547">
        <f>IFERROR(VLOOKUP($U6,HomeBroker!$A$30:$F$60,6,0),0)</f>
        <v>193</v>
      </c>
      <c r="Y6" s="416">
        <f>IFERROR(VLOOKUP($U6,HomeBroker!$A$30:$F$60,4,0),0)</f>
        <v>193.999</v>
      </c>
      <c r="Z6" s="337">
        <f>IFERROR(VLOOKUP($U6,HomeBroker!$A$30:$F$60,5,0),0)</f>
        <v>1</v>
      </c>
      <c r="AA6" s="340">
        <f>IFERROR(VLOOKUP($U6,HomeBroker!$A$30:$N$60,13,0),0)</f>
        <v>5921</v>
      </c>
      <c r="AB6" s="199">
        <f t="shared" si="63"/>
        <v>-366</v>
      </c>
      <c r="AC6" s="422">
        <f t="shared" si="9"/>
        <v>0</v>
      </c>
      <c r="AD6" s="420">
        <v>2700</v>
      </c>
      <c r="AE6" s="415">
        <f t="shared" ca="1" si="64"/>
        <v>90.12296561585265</v>
      </c>
      <c r="AF6" s="339" t="str">
        <f t="shared" si="65"/>
        <v>MERV - XMEV - GFGV2700JU - 24hs</v>
      </c>
      <c r="AG6" s="339" t="str">
        <f t="shared" si="66"/>
        <v>GFGV2700JU</v>
      </c>
      <c r="AH6" s="385">
        <f>IFERROR(VLOOKUP($AG6,HomeBroker!$A$30:$F$60,2,0),0)</f>
        <v>8</v>
      </c>
      <c r="AI6" s="417">
        <f>IFERROR(VLOOKUP($AG6,HomeBroker!$A$30:$F$60,3,0),0)</f>
        <v>27.44</v>
      </c>
      <c r="AJ6" s="547">
        <f>IFERROR(VLOOKUP($AG6,HomeBroker!$A$30:$F$60,6,0),0)</f>
        <v>30</v>
      </c>
      <c r="AK6" s="417">
        <f>IFERROR(VLOOKUP($AG6,HomeBroker!$A$30:$F$60,4,0),0)</f>
        <v>28.1</v>
      </c>
      <c r="AL6" s="385">
        <f>IFERROR(VLOOKUP($AG6,HomeBroker!$A$30:$F$60,5,0),0)</f>
        <v>2</v>
      </c>
      <c r="AM6" s="419">
        <f>IFERROR(VLOOKUP($AG6,HomeBroker!$A$30:$N$60,13,0),0)</f>
        <v>4136</v>
      </c>
      <c r="AN6" s="62"/>
      <c r="AO6" s="198">
        <f t="shared" si="67"/>
        <v>427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4">
        <f t="shared" si="11"/>
        <v>0</v>
      </c>
      <c r="AY6" s="215">
        <f t="shared" si="12"/>
        <v>0</v>
      </c>
      <c r="AZ6" s="114" t="s">
        <v>402</v>
      </c>
      <c r="BA6" s="112"/>
      <c r="BB6" s="129"/>
      <c r="BC6" s="115"/>
      <c r="BD6" s="216">
        <f t="shared" si="13"/>
        <v>0</v>
      </c>
      <c r="BE6" s="218">
        <f t="shared" si="14"/>
        <v>0</v>
      </c>
      <c r="BF6" s="116" t="s">
        <v>403</v>
      </c>
      <c r="BG6" s="112"/>
      <c r="BH6" s="115"/>
      <c r="BI6" s="219">
        <f t="shared" si="15"/>
        <v>0</v>
      </c>
      <c r="BJ6" s="220">
        <f t="shared" si="16"/>
        <v>0</v>
      </c>
      <c r="DE6" s="117">
        <f t="shared" si="17"/>
        <v>2106.5054079821489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-48522.98</v>
      </c>
      <c r="EU6" s="72"/>
      <c r="EV6" s="117">
        <f t="shared" si="55"/>
        <v>2106.5054079821489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-48522.98</v>
      </c>
    </row>
    <row r="7" spans="1:193" ht="15">
      <c r="A7" s="411" t="s">
        <v>401</v>
      </c>
      <c r="B7" s="203"/>
      <c r="C7" s="200"/>
      <c r="D7" s="423"/>
      <c r="E7" s="424">
        <f t="shared" si="0"/>
        <v>0</v>
      </c>
      <c r="F7" s="425">
        <f t="shared" si="1"/>
        <v>0</v>
      </c>
      <c r="G7" s="202" t="str">
        <f t="shared" si="2"/>
        <v/>
      </c>
      <c r="H7" s="429">
        <f t="shared" si="58"/>
        <v>0</v>
      </c>
      <c r="I7" s="430">
        <f t="shared" si="3"/>
        <v>0</v>
      </c>
      <c r="J7" s="62"/>
      <c r="K7" s="106">
        <f>IFERROR(-1+(L7/$L$18),"")</f>
        <v>-0.2846985969119199</v>
      </c>
      <c r="L7" s="550">
        <f t="shared" si="4"/>
        <v>2171.6550597754112</v>
      </c>
      <c r="M7" s="453">
        <f t="shared" si="5"/>
        <v>-48522.98</v>
      </c>
      <c r="N7" s="453">
        <f t="shared" ca="1" si="6"/>
        <v>-48522.98</v>
      </c>
      <c r="O7" s="62"/>
      <c r="P7" s="198">
        <f t="shared" si="59"/>
        <v>544.09999999999991</v>
      </c>
      <c r="Q7" s="421">
        <f t="shared" si="7"/>
        <v>0</v>
      </c>
      <c r="R7" s="420">
        <v>3450</v>
      </c>
      <c r="S7" s="414">
        <f t="shared" ca="1" si="60"/>
        <v>74.176467866967414</v>
      </c>
      <c r="T7" s="339" t="str">
        <f t="shared" si="61"/>
        <v>MERV - XMEV - GFGC3450JU - 24hs</v>
      </c>
      <c r="U7" s="339" t="str">
        <f t="shared" si="62"/>
        <v>GFGC3450JU</v>
      </c>
      <c r="V7" s="337">
        <f>IFERROR(VLOOKUP($U7,HomeBroker!$A$30:$F$60,2,0),0)</f>
        <v>30</v>
      </c>
      <c r="W7" s="417">
        <f>IFERROR(VLOOKUP($U7,HomeBroker!$A$30:$F$60,3,0),0)</f>
        <v>130</v>
      </c>
      <c r="X7" s="547">
        <f>IFERROR(VLOOKUP($U7,HomeBroker!$A$30:$F$60,6,0),0)</f>
        <v>130.1</v>
      </c>
      <c r="Y7" s="416">
        <f>IFERROR(VLOOKUP($U7,HomeBroker!$A$30:$F$60,4,0),0)</f>
        <v>131.47999999999999</v>
      </c>
      <c r="Z7" s="337">
        <f>IFERROR(VLOOKUP($U7,HomeBroker!$A$30:$F$60,5,0),0)</f>
        <v>2</v>
      </c>
      <c r="AA7" s="340">
        <f>IFERROR(VLOOKUP($U7,HomeBroker!$A$30:$N$60,13,0),0)</f>
        <v>1796</v>
      </c>
      <c r="AB7" s="199">
        <f t="shared" si="63"/>
        <v>-281</v>
      </c>
      <c r="AC7" s="422">
        <f t="shared" si="9"/>
        <v>0</v>
      </c>
      <c r="AD7" s="420">
        <v>2800</v>
      </c>
      <c r="AE7" s="415">
        <f t="shared" ca="1" si="64"/>
        <v>123.66212072854114</v>
      </c>
      <c r="AF7" s="339" t="str">
        <f t="shared" si="65"/>
        <v>MERV - XMEV - GFGV2800JU - 24hs</v>
      </c>
      <c r="AG7" s="339" t="str">
        <f t="shared" si="66"/>
        <v>GFGV2800JU</v>
      </c>
      <c r="AH7" s="385">
        <f>IFERROR(VLOOKUP($AG7,HomeBroker!$A$30:$F$60,2,0),0)</f>
        <v>2</v>
      </c>
      <c r="AI7" s="417">
        <f>IFERROR(VLOOKUP($AG7,HomeBroker!$A$30:$F$60,3,0),0)</f>
        <v>44.000999999999998</v>
      </c>
      <c r="AJ7" s="547">
        <f>IFERROR(VLOOKUP($AG7,HomeBroker!$A$30:$F$60,6,0),0)</f>
        <v>45</v>
      </c>
      <c r="AK7" s="417">
        <f>IFERROR(VLOOKUP($AG7,HomeBroker!$A$30:$F$60,4,0),0)</f>
        <v>45.27</v>
      </c>
      <c r="AL7" s="385">
        <f>IFERROR(VLOOKUP($AG7,HomeBroker!$A$30:$F$60,5,0),0)</f>
        <v>1</v>
      </c>
      <c r="AM7" s="419">
        <f>IFERROR(VLOOKUP($AG7,HomeBroker!$A$30:$N$60,13,0),0)</f>
        <v>2102</v>
      </c>
      <c r="AN7" s="62"/>
      <c r="AO7" s="198">
        <f t="shared" si="67"/>
        <v>499.09999999999991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4">
        <f t="shared" si="11"/>
        <v>0</v>
      </c>
      <c r="AY7" s="215">
        <f t="shared" si="12"/>
        <v>0</v>
      </c>
      <c r="AZ7" s="114" t="s">
        <v>402</v>
      </c>
      <c r="BA7" s="112"/>
      <c r="BB7" s="129"/>
      <c r="BC7" s="115"/>
      <c r="BD7" s="216">
        <f t="shared" si="13"/>
        <v>0</v>
      </c>
      <c r="BE7" s="218">
        <f t="shared" si="14"/>
        <v>0</v>
      </c>
      <c r="BF7" s="116" t="s">
        <v>403</v>
      </c>
      <c r="BG7" s="112"/>
      <c r="BH7" s="115"/>
      <c r="BI7" s="219">
        <f t="shared" si="15"/>
        <v>0</v>
      </c>
      <c r="BJ7" s="220">
        <f t="shared" si="16"/>
        <v>0</v>
      </c>
      <c r="DE7" s="117">
        <f t="shared" si="17"/>
        <v>2171.6550597754112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-48522.98</v>
      </c>
      <c r="EU7" s="72"/>
      <c r="EV7" s="117">
        <f t="shared" si="55"/>
        <v>2171.6550597754112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-48522.98</v>
      </c>
    </row>
    <row r="8" spans="1:193" ht="15">
      <c r="A8" s="411" t="s">
        <v>401</v>
      </c>
      <c r="B8" s="203"/>
      <c r="C8" s="200"/>
      <c r="D8" s="423"/>
      <c r="E8" s="424">
        <f t="shared" si="0"/>
        <v>0</v>
      </c>
      <c r="F8" s="425">
        <f t="shared" si="1"/>
        <v>0</v>
      </c>
      <c r="G8" s="202" t="str">
        <f t="shared" si="2"/>
        <v/>
      </c>
      <c r="H8" s="429">
        <f t="shared" si="58"/>
        <v>0</v>
      </c>
      <c r="I8" s="430">
        <f t="shared" si="3"/>
        <v>0</v>
      </c>
      <c r="J8" s="62"/>
      <c r="K8" s="394"/>
      <c r="L8" s="551">
        <f t="shared" si="4"/>
        <v>2238.8196492530014</v>
      </c>
      <c r="M8" s="453">
        <f t="shared" si="5"/>
        <v>-48522.98</v>
      </c>
      <c r="N8" s="453">
        <f t="shared" ca="1" si="6"/>
        <v>-48522.98</v>
      </c>
      <c r="O8" s="62"/>
      <c r="P8" s="198">
        <f t="shared" si="59"/>
        <v>648.94999999999982</v>
      </c>
      <c r="Q8" s="421">
        <f t="shared" si="7"/>
        <v>0</v>
      </c>
      <c r="R8" s="420">
        <v>3600</v>
      </c>
      <c r="S8" s="414">
        <f t="shared" ca="1" si="60"/>
        <v>48.413303419069166</v>
      </c>
      <c r="T8" s="339" t="str">
        <f t="shared" si="61"/>
        <v>MERV - XMEV - GFGC3600JU - 24hs</v>
      </c>
      <c r="U8" s="339" t="str">
        <f t="shared" si="62"/>
        <v>GFGC3600JU</v>
      </c>
      <c r="V8" s="337">
        <f>IFERROR(VLOOKUP($U8,HomeBroker!$A$30:$F$60,2,0),0)</f>
        <v>1000</v>
      </c>
      <c r="W8" s="417">
        <f>IFERROR(VLOOKUP($U8,HomeBroker!$A$30:$F$60,3,0),0)</f>
        <v>84.6</v>
      </c>
      <c r="X8" s="547">
        <f>IFERROR(VLOOKUP($U8,HomeBroker!$A$30:$F$60,6,0),0)</f>
        <v>84.95</v>
      </c>
      <c r="Y8" s="416">
        <f>IFERROR(VLOOKUP($U8,HomeBroker!$A$30:$F$60,4,0),0)</f>
        <v>84.95</v>
      </c>
      <c r="Z8" s="337">
        <f>IFERROR(VLOOKUP($U8,HomeBroker!$A$30:$F$60,5,0),0)</f>
        <v>28</v>
      </c>
      <c r="AA8" s="340">
        <f>IFERROR(VLOOKUP($U8,HomeBroker!$A$30:$N$60,13,0),0)</f>
        <v>13420</v>
      </c>
      <c r="AB8" s="199">
        <f t="shared" si="63"/>
        <v>-204.40000000000009</v>
      </c>
      <c r="AC8" s="422">
        <f t="shared" si="9"/>
        <v>0</v>
      </c>
      <c r="AD8" s="420">
        <v>2900</v>
      </c>
      <c r="AE8" s="415">
        <f t="shared" ca="1" si="64"/>
        <v>164.19441684931417</v>
      </c>
      <c r="AF8" s="339" t="str">
        <f t="shared" si="65"/>
        <v>MERV - XMEV - GFGV2900JU - 24hs</v>
      </c>
      <c r="AG8" s="339" t="str">
        <f t="shared" si="66"/>
        <v>GFGV2900JU</v>
      </c>
      <c r="AH8" s="385">
        <f>IFERROR(VLOOKUP($AG8,HomeBroker!$A$30:$F$60,2,0),0)</f>
        <v>6</v>
      </c>
      <c r="AI8" s="417">
        <f>IFERROR(VLOOKUP($AG8,HomeBroker!$A$30:$F$60,3,0),0)</f>
        <v>65.5</v>
      </c>
      <c r="AJ8" s="547">
        <f>IFERROR(VLOOKUP($AG8,HomeBroker!$A$30:$F$60,6,0),0)</f>
        <v>68.400000000000006</v>
      </c>
      <c r="AK8" s="417">
        <f>IFERROR(VLOOKUP($AG8,HomeBroker!$A$30:$F$60,4,0),0)</f>
        <v>68.400000000000006</v>
      </c>
      <c r="AL8" s="385">
        <f>IFERROR(VLOOKUP($AG8,HomeBroker!$A$30:$F$60,5,0),0)</f>
        <v>1</v>
      </c>
      <c r="AM8" s="419">
        <f>IFERROR(VLOOKUP($AG8,HomeBroker!$A$30:$N$60,13,0),0)</f>
        <v>3157</v>
      </c>
      <c r="AN8" s="62"/>
      <c r="AO8" s="198">
        <f t="shared" si="67"/>
        <v>580.54999999999973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4">
        <f t="shared" si="11"/>
        <v>0</v>
      </c>
      <c r="AY8" s="215">
        <f t="shared" si="12"/>
        <v>0</v>
      </c>
      <c r="AZ8" s="114" t="s">
        <v>402</v>
      </c>
      <c r="BA8" s="112"/>
      <c r="BB8" s="129"/>
      <c r="BC8" s="115"/>
      <c r="BD8" s="216">
        <f t="shared" si="13"/>
        <v>0</v>
      </c>
      <c r="BE8" s="218">
        <f t="shared" si="14"/>
        <v>0</v>
      </c>
      <c r="BF8" s="116" t="s">
        <v>403</v>
      </c>
      <c r="BG8" s="112"/>
      <c r="BH8" s="115"/>
      <c r="BI8" s="219">
        <f t="shared" si="15"/>
        <v>0</v>
      </c>
      <c r="BJ8" s="220">
        <f t="shared" si="16"/>
        <v>0</v>
      </c>
      <c r="DE8" s="117">
        <f t="shared" si="17"/>
        <v>2238.8196492530014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-48522.98</v>
      </c>
      <c r="EU8" s="72"/>
      <c r="EV8" s="117">
        <f t="shared" si="55"/>
        <v>2238.8196492530014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-48522.98</v>
      </c>
    </row>
    <row r="9" spans="1:193" ht="15">
      <c r="A9" s="411" t="s">
        <v>401</v>
      </c>
      <c r="B9" s="203"/>
      <c r="C9" s="200"/>
      <c r="D9" s="423"/>
      <c r="E9" s="424">
        <f t="shared" si="0"/>
        <v>0</v>
      </c>
      <c r="F9" s="425">
        <f t="shared" si="1"/>
        <v>0</v>
      </c>
      <c r="G9" s="202" t="str">
        <f t="shared" si="2"/>
        <v/>
      </c>
      <c r="H9" s="429">
        <f t="shared" si="58"/>
        <v>0</v>
      </c>
      <c r="I9" s="430">
        <f t="shared" si="3"/>
        <v>0</v>
      </c>
      <c r="J9" s="62"/>
      <c r="K9" s="395"/>
      <c r="L9" s="551">
        <f t="shared" si="4"/>
        <v>2308.0614940752594</v>
      </c>
      <c r="M9" s="454">
        <f t="shared" si="5"/>
        <v>-48522.98</v>
      </c>
      <c r="N9" s="454">
        <f t="shared" ca="1" si="6"/>
        <v>-48522.98</v>
      </c>
      <c r="O9" s="62"/>
      <c r="P9" s="198">
        <f t="shared" si="59"/>
        <v>768</v>
      </c>
      <c r="Q9" s="421">
        <f t="shared" si="7"/>
        <v>0</v>
      </c>
      <c r="R9" s="420">
        <v>3750</v>
      </c>
      <c r="S9" s="414">
        <f t="shared" ca="1" si="60"/>
        <v>30.846175200195773</v>
      </c>
      <c r="T9" s="339" t="str">
        <f t="shared" si="61"/>
        <v>MERV - XMEV - GFGC3750JU - 24hs</v>
      </c>
      <c r="U9" s="339" t="str">
        <f t="shared" si="62"/>
        <v>GFGC3750JU</v>
      </c>
      <c r="V9" s="337">
        <f>IFERROR(VLOOKUP($U9,HomeBroker!$A$30:$F$60,2,0),0)</f>
        <v>495</v>
      </c>
      <c r="W9" s="417">
        <f>IFERROR(VLOOKUP($U9,HomeBroker!$A$30:$F$60,3,0),0)</f>
        <v>54</v>
      </c>
      <c r="X9" s="547">
        <f>IFERROR(VLOOKUP($U9,HomeBroker!$A$30:$F$60,6,0),0)</f>
        <v>54</v>
      </c>
      <c r="Y9" s="416">
        <f>IFERROR(VLOOKUP($U9,HomeBroker!$A$30:$F$60,4,0),0)</f>
        <v>56.6</v>
      </c>
      <c r="Z9" s="337">
        <f>IFERROR(VLOOKUP($U9,HomeBroker!$A$30:$F$60,5,0),0)</f>
        <v>1</v>
      </c>
      <c r="AA9" s="340">
        <f>IFERROR(VLOOKUP($U9,HomeBroker!$A$30:$N$60,13,0),0)</f>
        <v>687</v>
      </c>
      <c r="AB9" s="199">
        <f t="shared" si="63"/>
        <v>-136</v>
      </c>
      <c r="AC9" s="422">
        <f t="shared" si="9"/>
        <v>0</v>
      </c>
      <c r="AD9" s="420">
        <v>3000</v>
      </c>
      <c r="AE9" s="415">
        <f t="shared" ca="1" si="64"/>
        <v>211.78210853075143</v>
      </c>
      <c r="AF9" s="339" t="str">
        <f t="shared" si="65"/>
        <v>MERV - XMEV - GFGV3000JU - 24hs</v>
      </c>
      <c r="AG9" s="339" t="str">
        <f t="shared" si="66"/>
        <v>GFGV3000JU</v>
      </c>
      <c r="AH9" s="385">
        <f>IFERROR(VLOOKUP($AG9,HomeBroker!$A$30:$F$60,2,0),0)</f>
        <v>2</v>
      </c>
      <c r="AI9" s="417">
        <f>IFERROR(VLOOKUP($AG9,HomeBroker!$A$30:$F$60,3,0),0)</f>
        <v>100</v>
      </c>
      <c r="AJ9" s="547">
        <f>IFERROR(VLOOKUP($AG9,HomeBroker!$A$30:$F$60,6,0),0)</f>
        <v>100</v>
      </c>
      <c r="AK9" s="417">
        <f>IFERROR(VLOOKUP($AG9,HomeBroker!$A$30:$F$60,4,0),0)</f>
        <v>104.5</v>
      </c>
      <c r="AL9" s="385">
        <f>IFERROR(VLOOKUP($AG9,HomeBroker!$A$30:$F$60,5,0),0)</f>
        <v>17</v>
      </c>
      <c r="AM9" s="419">
        <f>IFERROR(VLOOKUP($AG9,HomeBroker!$A$30:$N$60,13,0),0)</f>
        <v>3168</v>
      </c>
      <c r="AN9" s="62"/>
      <c r="AO9" s="198">
        <f t="shared" si="67"/>
        <v>668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4">
        <f t="shared" si="11"/>
        <v>0</v>
      </c>
      <c r="AY9" s="215">
        <f t="shared" si="12"/>
        <v>0</v>
      </c>
      <c r="AZ9" s="114" t="s">
        <v>402</v>
      </c>
      <c r="BA9" s="112"/>
      <c r="BB9" s="129"/>
      <c r="BC9" s="115"/>
      <c r="BD9" s="216">
        <f t="shared" si="13"/>
        <v>0</v>
      </c>
      <c r="BE9" s="218">
        <f t="shared" si="14"/>
        <v>0</v>
      </c>
      <c r="BF9" s="116" t="s">
        <v>403</v>
      </c>
      <c r="BG9" s="112"/>
      <c r="BH9" s="115"/>
      <c r="BI9" s="219">
        <f t="shared" si="15"/>
        <v>0</v>
      </c>
      <c r="BJ9" s="220">
        <f t="shared" si="16"/>
        <v>0</v>
      </c>
      <c r="DE9" s="117">
        <f t="shared" si="17"/>
        <v>2308.0614940752594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-48522.98</v>
      </c>
      <c r="EU9" s="72"/>
      <c r="EV9" s="117">
        <f t="shared" si="55"/>
        <v>2308.0614940752594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-48522.98</v>
      </c>
    </row>
    <row r="10" spans="1:193" ht="15">
      <c r="A10" s="411" t="s">
        <v>401</v>
      </c>
      <c r="B10" s="203"/>
      <c r="C10" s="200"/>
      <c r="D10" s="423"/>
      <c r="E10" s="424">
        <f t="shared" si="0"/>
        <v>0</v>
      </c>
      <c r="F10" s="425">
        <f t="shared" si="1"/>
        <v>0</v>
      </c>
      <c r="G10" s="202" t="str">
        <f t="shared" si="2"/>
        <v/>
      </c>
      <c r="H10" s="429">
        <f t="shared" si="58"/>
        <v>0</v>
      </c>
      <c r="I10" s="430">
        <f t="shared" si="3"/>
        <v>0</v>
      </c>
      <c r="J10" s="62"/>
      <c r="K10" s="395"/>
      <c r="L10" s="551">
        <f t="shared" si="4"/>
        <v>2379.4448392528448</v>
      </c>
      <c r="M10" s="453">
        <f t="shared" si="5"/>
        <v>-48522.98</v>
      </c>
      <c r="N10" s="453">
        <f t="shared" ca="1" si="6"/>
        <v>-48522.98</v>
      </c>
      <c r="O10" s="62"/>
      <c r="P10" s="198">
        <f t="shared" si="59"/>
        <v>904</v>
      </c>
      <c r="Q10" s="421">
        <f t="shared" si="7"/>
        <v>0</v>
      </c>
      <c r="R10" s="420">
        <v>3900</v>
      </c>
      <c r="S10" s="414">
        <f t="shared" ca="1" si="60"/>
        <v>19.223756330628902</v>
      </c>
      <c r="T10" s="339" t="str">
        <f t="shared" si="61"/>
        <v>MERV - XMEV - GFGC3900JU - 24hs</v>
      </c>
      <c r="U10" s="339" t="str">
        <f t="shared" si="62"/>
        <v>GFGC3900JU</v>
      </c>
      <c r="V10" s="337">
        <f>IFERROR(VLOOKUP($U10,HomeBroker!$A$30:$F$60,2,0),0)</f>
        <v>22</v>
      </c>
      <c r="W10" s="417">
        <f>IFERROR(VLOOKUP($U10,HomeBroker!$A$30:$F$60,3,0),0)</f>
        <v>40</v>
      </c>
      <c r="X10" s="547">
        <f>IFERROR(VLOOKUP($U10,HomeBroker!$A$30:$F$60,6,0),0)</f>
        <v>40</v>
      </c>
      <c r="Y10" s="416">
        <f>IFERROR(VLOOKUP($U10,HomeBroker!$A$30:$F$60,4,0),0)</f>
        <v>40.6</v>
      </c>
      <c r="Z10" s="337">
        <f>IFERROR(VLOOKUP($U10,HomeBroker!$A$30:$F$60,5,0),0)</f>
        <v>1</v>
      </c>
      <c r="AA10" s="340">
        <f>IFERROR(VLOOKUP($U10,HomeBroker!$A$30:$N$60,13,0),0)</f>
        <v>6729</v>
      </c>
      <c r="AB10" s="199">
        <f t="shared" si="63"/>
        <v>-61.010000000000218</v>
      </c>
      <c r="AC10" s="422">
        <f t="shared" si="9"/>
        <v>0</v>
      </c>
      <c r="AD10" s="420">
        <v>3150</v>
      </c>
      <c r="AE10" s="415">
        <f t="shared" ca="1" si="64"/>
        <v>295.98951048056665</v>
      </c>
      <c r="AF10" s="339" t="str">
        <f t="shared" si="65"/>
        <v>MERV - XMEV - GFGV3150JU - 24hs</v>
      </c>
      <c r="AG10" s="339" t="str">
        <f t="shared" si="66"/>
        <v>GFGV3150JU</v>
      </c>
      <c r="AH10" s="385">
        <f>IFERROR(VLOOKUP($AG10,HomeBroker!$A$30:$F$60,2,0),0)</f>
        <v>7</v>
      </c>
      <c r="AI10" s="417">
        <f>IFERROR(VLOOKUP($AG10,HomeBroker!$A$30:$F$60,3,0),0)</f>
        <v>175.001</v>
      </c>
      <c r="AJ10" s="547">
        <f>IFERROR(VLOOKUP($AG10,HomeBroker!$A$30:$F$60,6,0),0)</f>
        <v>175.01</v>
      </c>
      <c r="AK10" s="417">
        <f>IFERROR(VLOOKUP($AG10,HomeBroker!$A$30:$F$60,4,0),0)</f>
        <v>182</v>
      </c>
      <c r="AL10" s="385">
        <f>IFERROR(VLOOKUP($AG10,HomeBroker!$A$30:$F$60,5,0),0)</f>
        <v>1</v>
      </c>
      <c r="AM10" s="419">
        <f>IFERROR(VLOOKUP($AG10,HomeBroker!$A$30:$N$60,13,0),0)</f>
        <v>375</v>
      </c>
      <c r="AN10" s="62"/>
      <c r="AO10" s="198">
        <f t="shared" si="67"/>
        <v>728.98999999999978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4">
        <f t="shared" si="11"/>
        <v>0</v>
      </c>
      <c r="AY10" s="215">
        <f t="shared" si="12"/>
        <v>0</v>
      </c>
      <c r="AZ10" s="114" t="s">
        <v>402</v>
      </c>
      <c r="BA10" s="112"/>
      <c r="BB10" s="129"/>
      <c r="BC10" s="115"/>
      <c r="BD10" s="216">
        <f t="shared" si="13"/>
        <v>0</v>
      </c>
      <c r="BE10" s="218">
        <f t="shared" si="14"/>
        <v>0</v>
      </c>
      <c r="BF10" s="116" t="s">
        <v>403</v>
      </c>
      <c r="BG10" s="112"/>
      <c r="BH10" s="115"/>
      <c r="BI10" s="219">
        <f t="shared" si="15"/>
        <v>0</v>
      </c>
      <c r="BJ10" s="220">
        <f t="shared" si="16"/>
        <v>0</v>
      </c>
      <c r="DE10" s="117">
        <f t="shared" si="17"/>
        <v>2379.4448392528448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-48522.98</v>
      </c>
      <c r="EU10" s="72"/>
      <c r="EV10" s="117">
        <f t="shared" si="55"/>
        <v>2379.4448392528448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-48522.98</v>
      </c>
    </row>
    <row r="11" spans="1:193" ht="15">
      <c r="A11" s="411" t="s">
        <v>401</v>
      </c>
      <c r="B11" s="203"/>
      <c r="C11" s="200"/>
      <c r="D11" s="423"/>
      <c r="E11" s="424">
        <f t="shared" si="0"/>
        <v>0</v>
      </c>
      <c r="F11" s="425">
        <f t="shared" si="1"/>
        <v>0</v>
      </c>
      <c r="G11" s="202" t="str">
        <f t="shared" si="2"/>
        <v/>
      </c>
      <c r="H11" s="429">
        <f t="shared" si="58"/>
        <v>0</v>
      </c>
      <c r="I11" s="430">
        <f t="shared" si="3"/>
        <v>0</v>
      </c>
      <c r="J11" s="62"/>
      <c r="K11" s="395"/>
      <c r="L11" s="551">
        <f t="shared" si="4"/>
        <v>2453.0359167555102</v>
      </c>
      <c r="M11" s="453">
        <f t="shared" si="5"/>
        <v>-48522.98</v>
      </c>
      <c r="N11" s="453">
        <f t="shared" ca="1" si="6"/>
        <v>-48522.98</v>
      </c>
      <c r="O11" s="62"/>
      <c r="P11" s="198">
        <f t="shared" si="59"/>
        <v>1043.9899999999998</v>
      </c>
      <c r="Q11" s="421">
        <f t="shared" si="7"/>
        <v>0</v>
      </c>
      <c r="R11" s="420">
        <v>4050</v>
      </c>
      <c r="S11" s="414">
        <f t="shared" ca="1" si="60"/>
        <v>11.741411616992821</v>
      </c>
      <c r="T11" s="339" t="str">
        <f t="shared" si="61"/>
        <v>MERV - XMEV - GFGC4050JU - 24hs</v>
      </c>
      <c r="U11" s="339" t="str">
        <f t="shared" si="62"/>
        <v>GFGC4050JU</v>
      </c>
      <c r="V11" s="337">
        <f>IFERROR(VLOOKUP($U11,HomeBroker!$A$30:$F$60,2,0),0)</f>
        <v>34</v>
      </c>
      <c r="W11" s="417">
        <f>IFERROR(VLOOKUP($U11,HomeBroker!$A$30:$F$60,3,0),0)</f>
        <v>28.98</v>
      </c>
      <c r="X11" s="547">
        <f>IFERROR(VLOOKUP($U11,HomeBroker!$A$30:$F$60,6,0),0)</f>
        <v>29.99</v>
      </c>
      <c r="Y11" s="416">
        <f>IFERROR(VLOOKUP($U11,HomeBroker!$A$30:$F$60,4,0),0)</f>
        <v>30</v>
      </c>
      <c r="Z11" s="337">
        <f>IFERROR(VLOOKUP($U11,HomeBroker!$A$30:$F$60,5,0),0)</f>
        <v>1</v>
      </c>
      <c r="AA11" s="340">
        <f>IFERROR(VLOOKUP($U11,HomeBroker!$A$30:$N$60,13,0),0)</f>
        <v>986</v>
      </c>
      <c r="AB11" s="199">
        <f t="shared" si="63"/>
        <v>3.9989999999997963</v>
      </c>
      <c r="AC11" s="422">
        <f t="shared" si="9"/>
        <v>0</v>
      </c>
      <c r="AD11" s="420">
        <v>3300</v>
      </c>
      <c r="AE11" s="415">
        <f t="shared" ca="1" si="64"/>
        <v>394.38313590574194</v>
      </c>
      <c r="AF11" s="339" t="str">
        <f t="shared" si="65"/>
        <v>MERV - XMEV - GFGV3300JU - 24hs</v>
      </c>
      <c r="AG11" s="339" t="str">
        <f t="shared" si="66"/>
        <v>GFGV3300JU</v>
      </c>
      <c r="AH11" s="385">
        <f>IFERROR(VLOOKUP($AG11,HomeBroker!$A$30:$F$60,2,0),0)</f>
        <v>10</v>
      </c>
      <c r="AI11" s="417">
        <f>IFERROR(VLOOKUP($AG11,HomeBroker!$A$30:$F$60,3,0),0)</f>
        <v>260</v>
      </c>
      <c r="AJ11" s="547">
        <f>IFERROR(VLOOKUP($AG11,HomeBroker!$A$30:$F$60,6,0),0)</f>
        <v>260.00099999999998</v>
      </c>
      <c r="AK11" s="417">
        <f>IFERROR(VLOOKUP($AG11,HomeBroker!$A$30:$F$60,4,0),0)</f>
        <v>270</v>
      </c>
      <c r="AL11" s="385">
        <f>IFERROR(VLOOKUP($AG11,HomeBroker!$A$30:$F$60,5,0),0)</f>
        <v>10</v>
      </c>
      <c r="AM11" s="419">
        <f>IFERROR(VLOOKUP($AG11,HomeBroker!$A$30:$N$60,13,0),0)</f>
        <v>547</v>
      </c>
      <c r="AN11" s="62"/>
      <c r="AO11" s="198">
        <f t="shared" si="67"/>
        <v>783.98899999999958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4">
        <f t="shared" si="11"/>
        <v>0</v>
      </c>
      <c r="AY11" s="215">
        <f t="shared" si="12"/>
        <v>0</v>
      </c>
      <c r="AZ11" s="114" t="s">
        <v>402</v>
      </c>
      <c r="BA11" s="112"/>
      <c r="BB11" s="129"/>
      <c r="BC11" s="115"/>
      <c r="BD11" s="216">
        <f t="shared" si="13"/>
        <v>0</v>
      </c>
      <c r="BE11" s="218">
        <f t="shared" si="14"/>
        <v>0</v>
      </c>
      <c r="BF11" s="116" t="s">
        <v>403</v>
      </c>
      <c r="BG11" s="112"/>
      <c r="BH11" s="115"/>
      <c r="BI11" s="219">
        <f t="shared" si="15"/>
        <v>0</v>
      </c>
      <c r="BJ11" s="220">
        <f t="shared" si="16"/>
        <v>0</v>
      </c>
      <c r="DE11" s="117">
        <f t="shared" si="17"/>
        <v>2453.0359167555102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-48522.98</v>
      </c>
      <c r="EU11" s="72"/>
      <c r="EV11" s="117">
        <f t="shared" si="55"/>
        <v>2453.0359167555102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-48522.98</v>
      </c>
    </row>
    <row r="12" spans="1:193" ht="15">
      <c r="A12" s="411" t="s">
        <v>401</v>
      </c>
      <c r="B12" s="203"/>
      <c r="C12" s="200"/>
      <c r="D12" s="423"/>
      <c r="E12" s="424">
        <f t="shared" si="0"/>
        <v>0</v>
      </c>
      <c r="F12" s="425">
        <f t="shared" si="1"/>
        <v>0</v>
      </c>
      <c r="G12" s="202" t="str">
        <f t="shared" si="2"/>
        <v/>
      </c>
      <c r="H12" s="429">
        <f t="shared" si="58"/>
        <v>0</v>
      </c>
      <c r="I12" s="430">
        <f t="shared" si="3"/>
        <v>0</v>
      </c>
      <c r="J12" s="62"/>
      <c r="K12" s="395">
        <f>IFERROR(-1+(L12/$L$18),"")</f>
        <v>-0.16702799507100008</v>
      </c>
      <c r="L12" s="551">
        <f t="shared" si="4"/>
        <v>2528.9030069644436</v>
      </c>
      <c r="M12" s="454">
        <f t="shared" si="5"/>
        <v>-48522.98</v>
      </c>
      <c r="N12" s="454">
        <f t="shared" ca="1" si="6"/>
        <v>-48522.98</v>
      </c>
      <c r="O12" s="62"/>
      <c r="P12" s="198">
        <f t="shared" si="59"/>
        <v>1186.1000000000004</v>
      </c>
      <c r="Q12" s="421">
        <f t="shared" si="7"/>
        <v>22</v>
      </c>
      <c r="R12" s="420">
        <v>4200</v>
      </c>
      <c r="S12" s="414">
        <f t="shared" ca="1" si="60"/>
        <v>7.0413723755002451</v>
      </c>
      <c r="T12" s="339" t="str">
        <f t="shared" si="61"/>
        <v>MERV - XMEV - GFGC4200JU - 24hs</v>
      </c>
      <c r="U12" s="339" t="str">
        <f t="shared" si="62"/>
        <v>GFGC4200JU</v>
      </c>
      <c r="V12" s="337">
        <f>IFERROR(VLOOKUP($U12,HomeBroker!$A$30:$F$60,2,0),0)</f>
        <v>45</v>
      </c>
      <c r="W12" s="417">
        <f>IFERROR(VLOOKUP($U12,HomeBroker!$A$30:$F$60,3,0),0)</f>
        <v>22.1</v>
      </c>
      <c r="X12" s="547">
        <f>IFERROR(VLOOKUP($U12,HomeBroker!$A$30:$F$60,6,0),0)</f>
        <v>22.1</v>
      </c>
      <c r="Y12" s="416">
        <f>IFERROR(VLOOKUP($U12,HomeBroker!$A$30:$F$60,4,0),0)</f>
        <v>22.3</v>
      </c>
      <c r="Z12" s="337">
        <f>IFERROR(VLOOKUP($U12,HomeBroker!$A$30:$F$60,5,0),0)</f>
        <v>3</v>
      </c>
      <c r="AA12" s="340">
        <f>IFERROR(VLOOKUP($U12,HomeBroker!$A$30:$N$60,13,0),0)</f>
        <v>6710</v>
      </c>
      <c r="AB12" s="199">
        <f t="shared" si="63"/>
        <v>-6</v>
      </c>
      <c r="AC12" s="422">
        <f t="shared" si="9"/>
        <v>0</v>
      </c>
      <c r="AD12" s="420">
        <v>3450</v>
      </c>
      <c r="AE12" s="415">
        <f t="shared" ca="1" si="64"/>
        <v>505.08096018126753</v>
      </c>
      <c r="AF12" s="339" t="str">
        <f t="shared" si="65"/>
        <v>MERV - XMEV - GFGV3450JU - 24hs</v>
      </c>
      <c r="AG12" s="339" t="str">
        <f t="shared" si="66"/>
        <v>GFGV3450JU</v>
      </c>
      <c r="AH12" s="385">
        <f>IFERROR(VLOOKUP($AG12,HomeBroker!$A$30:$F$60,2,0),0)</f>
        <v>2</v>
      </c>
      <c r="AI12" s="417">
        <f>IFERROR(VLOOKUP($AG12,HomeBroker!$A$30:$F$60,3,0),0)</f>
        <v>380.00200000000001</v>
      </c>
      <c r="AJ12" s="547">
        <f>IFERROR(VLOOKUP($AG12,HomeBroker!$A$30:$F$60,6,0),0)</f>
        <v>420</v>
      </c>
      <c r="AK12" s="417">
        <f>IFERROR(VLOOKUP($AG12,HomeBroker!$A$30:$F$60,4,0),0)</f>
        <v>419.99900000000002</v>
      </c>
      <c r="AL12" s="385">
        <f>IFERROR(VLOOKUP($AG12,HomeBroker!$A$30:$F$60,5,0),0)</f>
        <v>2</v>
      </c>
      <c r="AM12" s="419">
        <f>IFERROR(VLOOKUP($AG12,HomeBroker!$A$30:$N$60,13,0),0)</f>
        <v>47</v>
      </c>
      <c r="AN12" s="62"/>
      <c r="AO12" s="198">
        <f t="shared" si="67"/>
        <v>766.10000000000036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4">
        <f t="shared" si="11"/>
        <v>0</v>
      </c>
      <c r="AY12" s="215">
        <f t="shared" si="12"/>
        <v>0</v>
      </c>
      <c r="AZ12" s="114" t="s">
        <v>402</v>
      </c>
      <c r="BA12" s="112"/>
      <c r="BB12" s="129"/>
      <c r="BC12" s="115"/>
      <c r="BD12" s="216">
        <f t="shared" si="13"/>
        <v>0</v>
      </c>
      <c r="BE12" s="218">
        <f t="shared" si="14"/>
        <v>0</v>
      </c>
      <c r="BF12" s="116" t="s">
        <v>403</v>
      </c>
      <c r="BG12" s="112"/>
      <c r="BH12" s="115"/>
      <c r="BI12" s="219">
        <f t="shared" si="15"/>
        <v>0</v>
      </c>
      <c r="BJ12" s="220">
        <f t="shared" si="16"/>
        <v>0</v>
      </c>
      <c r="DE12" s="117">
        <f t="shared" si="17"/>
        <v>2528.9030069644436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-48522.98</v>
      </c>
      <c r="EU12" s="72"/>
      <c r="EV12" s="117">
        <f t="shared" si="55"/>
        <v>2528.9030069644436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-48522.98</v>
      </c>
    </row>
    <row r="13" spans="1:193" ht="15">
      <c r="A13" s="411" t="s">
        <v>401</v>
      </c>
      <c r="B13" s="203"/>
      <c r="C13" s="200"/>
      <c r="D13" s="423"/>
      <c r="E13" s="424">
        <f t="shared" si="0"/>
        <v>0</v>
      </c>
      <c r="F13" s="425">
        <f t="shared" si="1"/>
        <v>0</v>
      </c>
      <c r="G13" s="202" t="str">
        <f t="shared" si="2"/>
        <v/>
      </c>
      <c r="H13" s="429">
        <f t="shared" si="58"/>
        <v>0</v>
      </c>
      <c r="I13" s="430">
        <f t="shared" si="3"/>
        <v>0</v>
      </c>
      <c r="J13" s="62"/>
      <c r="K13" s="396">
        <f>IFERROR(-1+(L13/$L$18),"")</f>
        <v>-0.1412659743000001</v>
      </c>
      <c r="L13" s="552">
        <f t="shared" si="4"/>
        <v>2607.1165020251997</v>
      </c>
      <c r="M13" s="453">
        <f t="shared" si="5"/>
        <v>-48522.98</v>
      </c>
      <c r="N13" s="453">
        <f t="shared" ca="1" si="6"/>
        <v>-48522.98</v>
      </c>
      <c r="O13" s="62"/>
      <c r="P13" s="198" t="str">
        <f t="shared" si="59"/>
        <v>-</v>
      </c>
      <c r="Q13" s="421">
        <f t="shared" si="7"/>
        <v>0</v>
      </c>
      <c r="R13" s="420"/>
      <c r="S13" s="414">
        <f t="shared" ca="1" si="60"/>
        <v>0</v>
      </c>
      <c r="T13" s="339" t="str">
        <f t="shared" si="61"/>
        <v/>
      </c>
      <c r="U13" s="339" t="str">
        <f t="shared" si="62"/>
        <v/>
      </c>
      <c r="V13" s="337">
        <f>IFERROR(VLOOKUP($U13,HomeBroker!$A$30:$F$60,2,0),0)</f>
        <v>0</v>
      </c>
      <c r="W13" s="417">
        <f>IFERROR(VLOOKUP($U13,HomeBroker!$A$30:$F$60,3,0),0)</f>
        <v>0</v>
      </c>
      <c r="X13" s="547">
        <f>IFERROR(VLOOKUP($U13,HomeBroker!$A$30:$F$60,6,0),0)</f>
        <v>0</v>
      </c>
      <c r="Y13" s="416">
        <f>IFERROR(VLOOKUP($U13,HomeBroker!$A$30:$F$60,4,0),0)</f>
        <v>0</v>
      </c>
      <c r="Z13" s="337">
        <f>IFERROR(VLOOKUP($U13,HomeBroker!$A$30:$F$60,5,0),0)</f>
        <v>0</v>
      </c>
      <c r="AA13" s="340">
        <f>IFERROR(VLOOKUP($U13,HomeBroker!$A$30:$N$60,13,0),0)</f>
        <v>0</v>
      </c>
      <c r="AB13" s="199" t="str">
        <f t="shared" si="63"/>
        <v>-</v>
      </c>
      <c r="AC13" s="422">
        <f t="shared" si="9"/>
        <v>0</v>
      </c>
      <c r="AD13" s="420"/>
      <c r="AE13" s="415">
        <f t="shared" ca="1" si="64"/>
        <v>0</v>
      </c>
      <c r="AF13" s="339" t="str">
        <f t="shared" si="65"/>
        <v/>
      </c>
      <c r="AG13" s="339" t="str">
        <f t="shared" si="66"/>
        <v/>
      </c>
      <c r="AH13" s="385">
        <f>IFERROR(VLOOKUP($AG13,HomeBroker!$A$30:$F$60,2,0),0)</f>
        <v>0</v>
      </c>
      <c r="AI13" s="417">
        <f>IFERROR(VLOOKUP($AG13,HomeBroker!$A$30:$F$60,3,0),0)</f>
        <v>0</v>
      </c>
      <c r="AJ13" s="547">
        <f>IFERROR(VLOOKUP($AG13,HomeBroker!$A$30:$F$60,6,0),0)</f>
        <v>0</v>
      </c>
      <c r="AK13" s="417">
        <f>IFERROR(VLOOKUP($AG13,HomeBroker!$A$30:$F$60,4,0),0)</f>
        <v>0</v>
      </c>
      <c r="AL13" s="385">
        <f>IFERROR(VLOOKUP($AG13,HomeBroker!$A$30:$F$60,5,0),0)</f>
        <v>0</v>
      </c>
      <c r="AM13" s="419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4">
        <f t="shared" si="11"/>
        <v>0</v>
      </c>
      <c r="AY13" s="215">
        <f t="shared" si="12"/>
        <v>0</v>
      </c>
      <c r="AZ13" s="114" t="s">
        <v>402</v>
      </c>
      <c r="BA13" s="112"/>
      <c r="BB13" s="129"/>
      <c r="BC13" s="115"/>
      <c r="BD13" s="216">
        <f t="shared" si="13"/>
        <v>0</v>
      </c>
      <c r="BE13" s="218">
        <f t="shared" si="14"/>
        <v>0</v>
      </c>
      <c r="BF13" s="116" t="s">
        <v>403</v>
      </c>
      <c r="BG13" s="112"/>
      <c r="BH13" s="115"/>
      <c r="BI13" s="219">
        <f t="shared" si="15"/>
        <v>0</v>
      </c>
      <c r="BJ13" s="220">
        <f t="shared" si="16"/>
        <v>0</v>
      </c>
      <c r="DE13" s="117">
        <f t="shared" si="17"/>
        <v>2607.1165020251997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-48522.98</v>
      </c>
      <c r="EU13" s="72"/>
      <c r="EV13" s="117">
        <f t="shared" si="55"/>
        <v>2607.1165020251997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-48522.98</v>
      </c>
    </row>
    <row r="14" spans="1:193" ht="15">
      <c r="A14" s="411" t="s">
        <v>401</v>
      </c>
      <c r="B14" s="203"/>
      <c r="C14" s="200"/>
      <c r="D14" s="423"/>
      <c r="E14" s="424">
        <f t="shared" si="0"/>
        <v>0</v>
      </c>
      <c r="F14" s="425">
        <f t="shared" si="1"/>
        <v>0</v>
      </c>
      <c r="G14" s="202" t="str">
        <f t="shared" si="2"/>
        <v/>
      </c>
      <c r="H14" s="429">
        <f t="shared" si="58"/>
        <v>0</v>
      </c>
      <c r="I14" s="430">
        <f t="shared" si="3"/>
        <v>0</v>
      </c>
      <c r="J14" s="62"/>
      <c r="K14" s="397">
        <f>IFERROR(-1+(L14/$L$18),"")</f>
        <v>-0.11470719000000007</v>
      </c>
      <c r="L14" s="552">
        <f t="shared" si="4"/>
        <v>2687.7489711599997</v>
      </c>
      <c r="M14" s="453">
        <f t="shared" si="5"/>
        <v>-48522.98</v>
      </c>
      <c r="N14" s="453">
        <f t="shared" ca="1" si="6"/>
        <v>-48522.98</v>
      </c>
      <c r="O14" s="62"/>
      <c r="P14" s="198" t="str">
        <f t="shared" si="59"/>
        <v>-</v>
      </c>
      <c r="Q14" s="421">
        <f t="shared" si="7"/>
        <v>0</v>
      </c>
      <c r="R14" s="420"/>
      <c r="S14" s="414">
        <f t="shared" ca="1" si="60"/>
        <v>0</v>
      </c>
      <c r="T14" s="339" t="str">
        <f t="shared" si="61"/>
        <v/>
      </c>
      <c r="U14" s="339" t="str">
        <f t="shared" si="62"/>
        <v/>
      </c>
      <c r="V14" s="337">
        <f>IFERROR(VLOOKUP($U14,HomeBroker!$A$30:$F$60,2,0),0)</f>
        <v>0</v>
      </c>
      <c r="W14" s="417">
        <f>IFERROR(VLOOKUP($U14,HomeBroker!$A$30:$F$60,3,0),0)</f>
        <v>0</v>
      </c>
      <c r="X14" s="547">
        <f>IFERROR(VLOOKUP($U14,HomeBroker!$A$30:$F$60,6,0),0)</f>
        <v>0</v>
      </c>
      <c r="Y14" s="416">
        <f>IFERROR(VLOOKUP($U14,HomeBroker!$A$30:$F$60,4,0),0)</f>
        <v>0</v>
      </c>
      <c r="Z14" s="337">
        <f>IFERROR(VLOOKUP($U14,HomeBroker!$A$30:$F$60,5,0),0)</f>
        <v>0</v>
      </c>
      <c r="AA14" s="340">
        <f>IFERROR(VLOOKUP($U14,HomeBroker!$A$30:$N$60,13,0),0)</f>
        <v>0</v>
      </c>
      <c r="AB14" s="199" t="str">
        <f t="shared" si="63"/>
        <v>-</v>
      </c>
      <c r="AC14" s="422">
        <f t="shared" si="9"/>
        <v>0</v>
      </c>
      <c r="AD14" s="420"/>
      <c r="AE14" s="415">
        <f t="shared" ca="1" si="64"/>
        <v>0</v>
      </c>
      <c r="AF14" s="339" t="str">
        <f t="shared" si="65"/>
        <v/>
      </c>
      <c r="AG14" s="339" t="str">
        <f t="shared" si="66"/>
        <v/>
      </c>
      <c r="AH14" s="385">
        <f>IFERROR(VLOOKUP($AG14,HomeBroker!$A$30:$F$60,2,0),0)</f>
        <v>0</v>
      </c>
      <c r="AI14" s="417">
        <f>IFERROR(VLOOKUP($AG14,HomeBroker!$A$30:$F$60,3,0),0)</f>
        <v>0</v>
      </c>
      <c r="AJ14" s="547">
        <f>IFERROR(VLOOKUP($AG14,HomeBroker!$A$30:$F$60,6,0),0)</f>
        <v>0</v>
      </c>
      <c r="AK14" s="417">
        <f>IFERROR(VLOOKUP($AG14,HomeBroker!$A$30:$F$60,4,0),0)</f>
        <v>0</v>
      </c>
      <c r="AL14" s="385">
        <f>IFERROR(VLOOKUP($AG14,HomeBroker!$A$30:$F$60,5,0),0)</f>
        <v>0</v>
      </c>
      <c r="AM14" s="419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4">
        <f t="shared" si="11"/>
        <v>0</v>
      </c>
      <c r="AY14" s="215">
        <f t="shared" si="12"/>
        <v>0</v>
      </c>
      <c r="AZ14" s="114" t="s">
        <v>402</v>
      </c>
      <c r="BA14" s="112"/>
      <c r="BB14" s="129"/>
      <c r="BC14" s="115"/>
      <c r="BD14" s="216">
        <f t="shared" si="13"/>
        <v>0</v>
      </c>
      <c r="BE14" s="218">
        <f t="shared" si="14"/>
        <v>0</v>
      </c>
      <c r="BF14" s="116" t="s">
        <v>403</v>
      </c>
      <c r="BG14" s="112"/>
      <c r="BH14" s="115"/>
      <c r="BI14" s="219">
        <f t="shared" si="15"/>
        <v>0</v>
      </c>
      <c r="BJ14" s="220">
        <f t="shared" si="16"/>
        <v>0</v>
      </c>
      <c r="DE14" s="117">
        <f t="shared" si="17"/>
        <v>2687.7489711599997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-48522.98</v>
      </c>
      <c r="EU14" s="72"/>
      <c r="EV14" s="117">
        <f t="shared" si="55"/>
        <v>2687.7489711599997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-48522.98</v>
      </c>
    </row>
    <row r="15" spans="1:193" ht="15">
      <c r="A15" s="411" t="s">
        <v>401</v>
      </c>
      <c r="B15" s="203"/>
      <c r="C15" s="200"/>
      <c r="D15" s="423"/>
      <c r="E15" s="424">
        <f t="shared" si="0"/>
        <v>0</v>
      </c>
      <c r="F15" s="425">
        <f t="shared" si="1"/>
        <v>0</v>
      </c>
      <c r="G15" s="202" t="str">
        <f t="shared" si="2"/>
        <v/>
      </c>
      <c r="H15" s="429">
        <f t="shared" si="58"/>
        <v>0</v>
      </c>
      <c r="I15" s="430">
        <f t="shared" si="3"/>
        <v>0</v>
      </c>
      <c r="J15" s="62"/>
      <c r="K15" s="397">
        <f t="shared" ref="K15:K17" si="68">IFERROR(-1+(L15/$L$18),"")</f>
        <v>-8.7327000000000043E-2</v>
      </c>
      <c r="L15" s="552">
        <f t="shared" si="4"/>
        <v>2770.8752279999999</v>
      </c>
      <c r="M15" s="454">
        <f t="shared" si="5"/>
        <v>-48522.98</v>
      </c>
      <c r="N15" s="454">
        <f t="shared" ca="1" si="6"/>
        <v>-48522.98</v>
      </c>
      <c r="O15" s="62"/>
      <c r="P15" s="198" t="str">
        <f t="shared" si="59"/>
        <v>-</v>
      </c>
      <c r="Q15" s="421">
        <f t="shared" si="7"/>
        <v>0</v>
      </c>
      <c r="R15" s="420"/>
      <c r="S15" s="414">
        <f t="shared" ca="1" si="60"/>
        <v>0</v>
      </c>
      <c r="T15" s="339" t="str">
        <f t="shared" si="61"/>
        <v/>
      </c>
      <c r="U15" s="339" t="str">
        <f t="shared" si="62"/>
        <v/>
      </c>
      <c r="V15" s="337">
        <f>IFERROR(VLOOKUP($U15,HomeBroker!$A$30:$F$60,2,0),0)</f>
        <v>0</v>
      </c>
      <c r="W15" s="417">
        <f>IFERROR(VLOOKUP($U15,HomeBroker!$A$30:$F$60,3,0),0)</f>
        <v>0</v>
      </c>
      <c r="X15" s="547">
        <f>IFERROR(VLOOKUP($U15,HomeBroker!$A$30:$F$60,6,0),0)</f>
        <v>0</v>
      </c>
      <c r="Y15" s="416">
        <f>IFERROR(VLOOKUP($U15,HomeBroker!$A$30:$F$60,4,0),0)</f>
        <v>0</v>
      </c>
      <c r="Z15" s="337">
        <f>IFERROR(VLOOKUP($U15,HomeBroker!$A$30:$F$60,5,0),0)</f>
        <v>0</v>
      </c>
      <c r="AA15" s="340">
        <f>IFERROR(VLOOKUP($U15,HomeBroker!$A$30:$N$60,13,0),0)</f>
        <v>0</v>
      </c>
      <c r="AB15" s="199" t="str">
        <f t="shared" si="63"/>
        <v>-</v>
      </c>
      <c r="AC15" s="422">
        <f t="shared" si="9"/>
        <v>0</v>
      </c>
      <c r="AD15" s="420"/>
      <c r="AE15" s="415">
        <f t="shared" ca="1" si="64"/>
        <v>0</v>
      </c>
      <c r="AF15" s="339" t="str">
        <f t="shared" si="65"/>
        <v/>
      </c>
      <c r="AG15" s="339" t="str">
        <f t="shared" si="66"/>
        <v/>
      </c>
      <c r="AH15" s="385">
        <f>IFERROR(VLOOKUP($AG15,HomeBroker!$A$30:$F$60,2,0),0)</f>
        <v>0</v>
      </c>
      <c r="AI15" s="417">
        <f>IFERROR(VLOOKUP($AG15,HomeBroker!$A$30:$F$60,3,0),0)</f>
        <v>0</v>
      </c>
      <c r="AJ15" s="547">
        <f>IFERROR(VLOOKUP($AG15,HomeBroker!$A$30:$F$60,6,0),0)</f>
        <v>0</v>
      </c>
      <c r="AK15" s="417">
        <f>IFERROR(VLOOKUP($AG15,HomeBroker!$A$30:$F$60,4,0),0)</f>
        <v>0</v>
      </c>
      <c r="AL15" s="385">
        <f>IFERROR(VLOOKUP($AG15,HomeBroker!$A$30:$F$60,5,0),0)</f>
        <v>0</v>
      </c>
      <c r="AM15" s="419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4">
        <f t="shared" si="11"/>
        <v>0</v>
      </c>
      <c r="AY15" s="215">
        <f t="shared" si="12"/>
        <v>0</v>
      </c>
      <c r="AZ15" s="114" t="s">
        <v>402</v>
      </c>
      <c r="BA15" s="112"/>
      <c r="BB15" s="129"/>
      <c r="BC15" s="115"/>
      <c r="BD15" s="216">
        <f t="shared" si="13"/>
        <v>0</v>
      </c>
      <c r="BE15" s="218">
        <f t="shared" si="14"/>
        <v>0</v>
      </c>
      <c r="BF15" s="116" t="s">
        <v>403</v>
      </c>
      <c r="BG15" s="112"/>
      <c r="BH15" s="115"/>
      <c r="BI15" s="219">
        <f t="shared" si="15"/>
        <v>0</v>
      </c>
      <c r="BJ15" s="220">
        <f t="shared" si="16"/>
        <v>0</v>
      </c>
      <c r="DE15" s="117">
        <f t="shared" si="17"/>
        <v>2770.8752279999999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-48522.98</v>
      </c>
      <c r="EU15" s="72"/>
      <c r="EV15" s="117">
        <f t="shared" si="55"/>
        <v>2770.8752279999999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-48522.98</v>
      </c>
    </row>
    <row r="16" spans="1:193" ht="15">
      <c r="A16" s="411" t="s">
        <v>401</v>
      </c>
      <c r="B16" s="203"/>
      <c r="C16" s="200"/>
      <c r="D16" s="423"/>
      <c r="E16" s="424">
        <f>+B16*D16*-100</f>
        <v>0</v>
      </c>
      <c r="F16" s="425">
        <f t="shared" si="1"/>
        <v>0</v>
      </c>
      <c r="G16" s="202" t="str">
        <f t="shared" si="2"/>
        <v/>
      </c>
      <c r="H16" s="429">
        <f>IFERROR(+G16*B16*-100,0)</f>
        <v>0</v>
      </c>
      <c r="I16" s="430">
        <f t="shared" si="3"/>
        <v>0</v>
      </c>
      <c r="J16" s="62"/>
      <c r="K16" s="397">
        <f t="shared" si="68"/>
        <v>-5.9100000000000041E-2</v>
      </c>
      <c r="L16" s="552">
        <f t="shared" si="4"/>
        <v>2856.5724</v>
      </c>
      <c r="M16" s="453">
        <f t="shared" si="5"/>
        <v>-48522.98</v>
      </c>
      <c r="N16" s="453">
        <f t="shared" ca="1" si="6"/>
        <v>-48522.98</v>
      </c>
      <c r="O16" s="62"/>
      <c r="P16" s="198" t="str">
        <f t="shared" si="59"/>
        <v>-</v>
      </c>
      <c r="Q16" s="421">
        <f t="shared" si="7"/>
        <v>0</v>
      </c>
      <c r="R16" s="420"/>
      <c r="S16" s="414">
        <f t="shared" ca="1" si="60"/>
        <v>0</v>
      </c>
      <c r="T16" s="339" t="str">
        <f t="shared" si="61"/>
        <v/>
      </c>
      <c r="U16" s="339" t="str">
        <f t="shared" si="62"/>
        <v/>
      </c>
      <c r="V16" s="337">
        <f>IFERROR(VLOOKUP($U16,HomeBroker!$A$30:$F$60,2,0),0)</f>
        <v>0</v>
      </c>
      <c r="W16" s="417">
        <f>IFERROR(VLOOKUP($U16,HomeBroker!$A$30:$F$60,3,0),0)</f>
        <v>0</v>
      </c>
      <c r="X16" s="547">
        <f>IFERROR(VLOOKUP($U16,HomeBroker!$A$30:$F$60,6,0),0)</f>
        <v>0</v>
      </c>
      <c r="Y16" s="416">
        <f>IFERROR(VLOOKUP($U16,HomeBroker!$A$30:$F$60,4,0),0)</f>
        <v>0</v>
      </c>
      <c r="Z16" s="337">
        <f>IFERROR(VLOOKUP($U16,HomeBroker!$A$30:$F$60,5,0),0)</f>
        <v>0</v>
      </c>
      <c r="AA16" s="340">
        <f>IFERROR(VLOOKUP($U16,HomeBroker!$A$30:$N$60,13,0),0)</f>
        <v>0</v>
      </c>
      <c r="AB16" s="199" t="str">
        <f t="shared" si="63"/>
        <v>-</v>
      </c>
      <c r="AC16" s="422">
        <f t="shared" si="9"/>
        <v>0</v>
      </c>
      <c r="AD16" s="420"/>
      <c r="AE16" s="415">
        <f t="shared" ca="1" si="64"/>
        <v>0</v>
      </c>
      <c r="AF16" s="339" t="str">
        <f t="shared" si="65"/>
        <v/>
      </c>
      <c r="AG16" s="339" t="str">
        <f t="shared" si="66"/>
        <v/>
      </c>
      <c r="AH16" s="385">
        <f>IFERROR(VLOOKUP($AG16,HomeBroker!$A$30:$F$60,2,0),0)</f>
        <v>0</v>
      </c>
      <c r="AI16" s="417">
        <f>IFERROR(VLOOKUP($AG16,HomeBroker!$A$30:$F$60,3,0),0)</f>
        <v>0</v>
      </c>
      <c r="AJ16" s="547">
        <f>IFERROR(VLOOKUP($AG16,HomeBroker!$A$30:$F$60,6,0),0)</f>
        <v>0</v>
      </c>
      <c r="AK16" s="417">
        <f>IFERROR(VLOOKUP($AG16,HomeBroker!$A$30:$F$60,4,0),0)</f>
        <v>0</v>
      </c>
      <c r="AL16" s="385">
        <f>IFERROR(VLOOKUP($AG16,HomeBroker!$A$30:$F$60,5,0),0)</f>
        <v>0</v>
      </c>
      <c r="AM16" s="419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4">
        <f t="shared" si="11"/>
        <v>0</v>
      </c>
      <c r="AY16" s="215">
        <f t="shared" si="12"/>
        <v>0</v>
      </c>
      <c r="AZ16" s="114" t="s">
        <v>402</v>
      </c>
      <c r="BA16" s="112"/>
      <c r="BB16" s="129"/>
      <c r="BC16" s="115"/>
      <c r="BD16" s="216">
        <f t="shared" si="13"/>
        <v>0</v>
      </c>
      <c r="BE16" s="218">
        <f t="shared" si="14"/>
        <v>0</v>
      </c>
      <c r="BF16" s="116" t="s">
        <v>403</v>
      </c>
      <c r="BG16" s="112"/>
      <c r="BH16" s="115"/>
      <c r="BI16" s="219">
        <f t="shared" si="15"/>
        <v>0</v>
      </c>
      <c r="BJ16" s="220">
        <f t="shared" si="16"/>
        <v>0</v>
      </c>
      <c r="DE16" s="117">
        <f t="shared" si="17"/>
        <v>2856.5724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-48522.98</v>
      </c>
      <c r="EU16" s="72"/>
      <c r="EV16" s="117">
        <f t="shared" si="55"/>
        <v>2856.5724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-48522.98</v>
      </c>
    </row>
    <row r="17" spans="1:193" ht="15.75">
      <c r="A17" s="411" t="s">
        <v>401</v>
      </c>
      <c r="B17" s="204"/>
      <c r="C17" s="200"/>
      <c r="D17" s="423"/>
      <c r="E17" s="424">
        <f>+B17*D17*-100</f>
        <v>0</v>
      </c>
      <c r="F17" s="425">
        <f t="shared" si="1"/>
        <v>0</v>
      </c>
      <c r="G17" s="202" t="str">
        <f t="shared" si="2"/>
        <v/>
      </c>
      <c r="H17" s="429">
        <f>IFERROR(+G17*B17*-100,0)</f>
        <v>0</v>
      </c>
      <c r="I17" s="430">
        <f t="shared" si="3"/>
        <v>0</v>
      </c>
      <c r="J17" s="62"/>
      <c r="K17" s="397">
        <f t="shared" si="68"/>
        <v>-3.0000000000000027E-2</v>
      </c>
      <c r="L17" s="552">
        <f t="shared" si="4"/>
        <v>2944.92</v>
      </c>
      <c r="M17" s="453">
        <f t="shared" si="5"/>
        <v>-48522.98</v>
      </c>
      <c r="N17" s="453">
        <f t="shared" ca="1" si="6"/>
        <v>-48522.98</v>
      </c>
      <c r="O17" s="62"/>
      <c r="P17" s="198" t="str">
        <f t="shared" si="59"/>
        <v>-</v>
      </c>
      <c r="Q17" s="421">
        <f t="shared" si="7"/>
        <v>0</v>
      </c>
      <c r="R17" s="420"/>
      <c r="S17" s="414">
        <f t="shared" ca="1" si="60"/>
        <v>0</v>
      </c>
      <c r="T17" s="339" t="str">
        <f t="shared" si="61"/>
        <v/>
      </c>
      <c r="U17" s="339" t="str">
        <f t="shared" si="62"/>
        <v/>
      </c>
      <c r="V17" s="337">
        <f>IFERROR(VLOOKUP($U17,HomeBroker!$A$30:$F$60,2,0),0)</f>
        <v>0</v>
      </c>
      <c r="W17" s="417">
        <f>IFERROR(VLOOKUP($U17,HomeBroker!$A$30:$F$60,3,0),0)</f>
        <v>0</v>
      </c>
      <c r="X17" s="547">
        <f>IFERROR(VLOOKUP($U17,HomeBroker!$A$30:$F$60,6,0),0)</f>
        <v>0</v>
      </c>
      <c r="Y17" s="416">
        <f>IFERROR(VLOOKUP($U17,HomeBroker!$A$30:$F$60,4,0),0)</f>
        <v>0</v>
      </c>
      <c r="Z17" s="337">
        <f>IFERROR(VLOOKUP($U17,HomeBroker!$A$30:$F$60,5,0),0)</f>
        <v>0</v>
      </c>
      <c r="AA17" s="340">
        <f>IFERROR(VLOOKUP($U17,HomeBroker!$A$30:$N$60,13,0),0)</f>
        <v>0</v>
      </c>
      <c r="AB17" s="199" t="str">
        <f t="shared" si="63"/>
        <v>-</v>
      </c>
      <c r="AC17" s="422">
        <f t="shared" si="9"/>
        <v>0</v>
      </c>
      <c r="AD17" s="420"/>
      <c r="AE17" s="415">
        <f t="shared" ca="1" si="64"/>
        <v>0</v>
      </c>
      <c r="AF17" s="339" t="str">
        <f t="shared" si="65"/>
        <v/>
      </c>
      <c r="AG17" s="339" t="str">
        <f t="shared" si="66"/>
        <v/>
      </c>
      <c r="AH17" s="385">
        <f>IFERROR(VLOOKUP($AG17,HomeBroker!$A$30:$F$60,2,0),0)</f>
        <v>0</v>
      </c>
      <c r="AI17" s="417">
        <f>IFERROR(VLOOKUP($AG17,HomeBroker!$A$30:$F$60,3,0),0)</f>
        <v>0</v>
      </c>
      <c r="AJ17" s="547">
        <f>IFERROR(VLOOKUP($AG17,HomeBroker!$A$30:$F$60,6,0),0)</f>
        <v>0</v>
      </c>
      <c r="AK17" s="417">
        <f>IFERROR(VLOOKUP($AG17,HomeBroker!$A$30:$F$60,4,0),0)</f>
        <v>0</v>
      </c>
      <c r="AL17" s="385">
        <f>IFERROR(VLOOKUP($AG17,HomeBroker!$A$30:$F$60,5,0),0)</f>
        <v>0</v>
      </c>
      <c r="AM17" s="419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4">
        <f t="shared" si="11"/>
        <v>0</v>
      </c>
      <c r="AY17" s="215">
        <f t="shared" si="12"/>
        <v>0</v>
      </c>
      <c r="AZ17" s="114" t="s">
        <v>402</v>
      </c>
      <c r="BA17" s="112"/>
      <c r="BB17" s="129"/>
      <c r="BC17" s="115"/>
      <c r="BD17" s="216">
        <f t="shared" si="13"/>
        <v>0</v>
      </c>
      <c r="BE17" s="218">
        <f t="shared" si="14"/>
        <v>0</v>
      </c>
      <c r="BF17" s="116" t="s">
        <v>403</v>
      </c>
      <c r="BG17" s="112"/>
      <c r="BH17" s="115"/>
      <c r="BI17" s="219">
        <f t="shared" si="15"/>
        <v>0</v>
      </c>
      <c r="BJ17" s="220">
        <f t="shared" si="16"/>
        <v>0</v>
      </c>
      <c r="DE17" s="117">
        <f t="shared" si="17"/>
        <v>2944.92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-48522.98</v>
      </c>
      <c r="EU17" s="72"/>
      <c r="EV17" s="117">
        <f t="shared" si="55"/>
        <v>2944.92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-48522.98</v>
      </c>
    </row>
    <row r="18" spans="1:193" ht="15">
      <c r="A18" s="411" t="s">
        <v>401</v>
      </c>
      <c r="B18" s="203"/>
      <c r="C18" s="200"/>
      <c r="D18" s="423"/>
      <c r="E18" s="424">
        <f>+B18*D18*-100</f>
        <v>0</v>
      </c>
      <c r="F18" s="425">
        <f t="shared" si="1"/>
        <v>0</v>
      </c>
      <c r="G18" s="202" t="str">
        <f t="shared" si="2"/>
        <v/>
      </c>
      <c r="H18" s="429">
        <f>IFERROR(+G18*B18*-100,0)</f>
        <v>0</v>
      </c>
      <c r="I18" s="430">
        <f t="shared" si="3"/>
        <v>0</v>
      </c>
      <c r="J18" s="62"/>
      <c r="K18" s="131">
        <v>0</v>
      </c>
      <c r="L18" s="548">
        <f>IF($N$45&lt;&gt;"",$N$45,$B$76)</f>
        <v>3036</v>
      </c>
      <c r="M18" s="454">
        <f t="shared" si="5"/>
        <v>-48522.98</v>
      </c>
      <c r="N18" s="454">
        <f t="shared" ca="1" si="6"/>
        <v>-48522.98</v>
      </c>
      <c r="O18" s="62"/>
      <c r="P18" s="198" t="str">
        <f t="shared" si="59"/>
        <v>-</v>
      </c>
      <c r="Q18" s="384">
        <f t="shared" ref="Q18:Q42" si="69">SUMIFS(AU:AU,AV:AV,R18)</f>
        <v>0</v>
      </c>
      <c r="R18" s="420"/>
      <c r="S18" s="414">
        <f t="shared" ca="1" si="60"/>
        <v>0</v>
      </c>
      <c r="T18" s="339" t="str">
        <f t="shared" si="61"/>
        <v/>
      </c>
      <c r="U18" s="339" t="str">
        <f t="shared" si="62"/>
        <v/>
      </c>
      <c r="V18" s="337">
        <f>IFERROR(VLOOKUP($U18,HomeBroker!$A$30:$F$60,2,0),0)</f>
        <v>0</v>
      </c>
      <c r="W18" s="417">
        <f>IFERROR(VLOOKUP($U18,HomeBroker!$A$30:$F$60,3,0),0)</f>
        <v>0</v>
      </c>
      <c r="X18" s="547">
        <f>IFERROR(VLOOKUP($U18,HomeBroker!$A$30:$F$60,6,0),0)</f>
        <v>0</v>
      </c>
      <c r="Y18" s="416">
        <f>IFERROR(VLOOKUP($U18,HomeBroker!$A$30:$F$60,4,0),0)</f>
        <v>0</v>
      </c>
      <c r="Z18" s="337">
        <f>IFERROR(VLOOKUP($U18,HomeBroker!$A$30:$F$60,5,0),0)</f>
        <v>0</v>
      </c>
      <c r="AA18" s="340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20"/>
      <c r="AE18" s="338">
        <f t="shared" ca="1" si="64"/>
        <v>0</v>
      </c>
      <c r="AF18" s="339" t="str">
        <f t="shared" si="65"/>
        <v/>
      </c>
      <c r="AG18" s="339" t="str">
        <f t="shared" si="66"/>
        <v/>
      </c>
      <c r="AH18" s="385">
        <f>IFERROR(VLOOKUP($AG18,HomeBroker!$A$30:$F$60,2,0),0)</f>
        <v>0</v>
      </c>
      <c r="AI18" s="417">
        <f>IFERROR(VLOOKUP($AG18,HomeBroker!$A$30:$F$60,3,0),0)</f>
        <v>0</v>
      </c>
      <c r="AJ18" s="547">
        <f>IFERROR(VLOOKUP($AG18,HomeBroker!$A$30:$F$60,6,0),0)</f>
        <v>0</v>
      </c>
      <c r="AK18" s="417">
        <f>IFERROR(VLOOKUP($AG18,HomeBroker!$A$30:$F$60,4,0),0)</f>
        <v>0</v>
      </c>
      <c r="AL18" s="385">
        <f>IFERROR(VLOOKUP($AG18,HomeBroker!$A$30:$F$60,5,0),0)</f>
        <v>0</v>
      </c>
      <c r="AM18" s="419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4">
        <f t="shared" si="11"/>
        <v>0</v>
      </c>
      <c r="AY18" s="215">
        <f t="shared" si="12"/>
        <v>0</v>
      </c>
      <c r="AZ18" s="114" t="s">
        <v>402</v>
      </c>
      <c r="BA18" s="112"/>
      <c r="BB18" s="129"/>
      <c r="BC18" s="115"/>
      <c r="BD18" s="216">
        <f t="shared" si="13"/>
        <v>0</v>
      </c>
      <c r="BE18" s="218">
        <f t="shared" si="14"/>
        <v>0</v>
      </c>
      <c r="BF18" s="116" t="s">
        <v>403</v>
      </c>
      <c r="BG18" s="112"/>
      <c r="BH18" s="115"/>
      <c r="BI18" s="219">
        <f t="shared" si="15"/>
        <v>0</v>
      </c>
      <c r="BJ18" s="220">
        <f t="shared" si="16"/>
        <v>0</v>
      </c>
      <c r="DE18" s="117">
        <f t="shared" si="17"/>
        <v>3036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-48522.98</v>
      </c>
      <c r="EU18" s="72"/>
      <c r="EV18" s="117">
        <f t="shared" si="55"/>
        <v>3036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-48522.98</v>
      </c>
    </row>
    <row r="19" spans="1:193" ht="15">
      <c r="A19" s="411" t="s">
        <v>401</v>
      </c>
      <c r="B19" s="203"/>
      <c r="C19" s="200"/>
      <c r="D19" s="423"/>
      <c r="E19" s="424">
        <f t="shared" si="0"/>
        <v>0</v>
      </c>
      <c r="F19" s="425">
        <f t="shared" si="1"/>
        <v>0</v>
      </c>
      <c r="G19" s="202" t="str">
        <f t="shared" si="2"/>
        <v/>
      </c>
      <c r="H19" s="429">
        <f t="shared" si="58"/>
        <v>0</v>
      </c>
      <c r="I19" s="430">
        <f t="shared" si="3"/>
        <v>0</v>
      </c>
      <c r="J19" s="62"/>
      <c r="K19" s="396">
        <f>IFERROR(+L19/$L$18-1,"")</f>
        <v>3.0000000000000027E-2</v>
      </c>
      <c r="L19" s="552">
        <f t="shared" ref="L19:L34" si="71">+L18*(1+$N$42)</f>
        <v>3127.08</v>
      </c>
      <c r="M19" s="453">
        <f t="shared" si="5"/>
        <v>-48522.98</v>
      </c>
      <c r="N19" s="453">
        <f t="shared" ca="1" si="6"/>
        <v>-48522.98</v>
      </c>
      <c r="O19" s="62"/>
      <c r="P19" s="198" t="str">
        <f t="shared" si="59"/>
        <v>-</v>
      </c>
      <c r="Q19" s="384">
        <f t="shared" si="69"/>
        <v>0</v>
      </c>
      <c r="R19" s="420"/>
      <c r="S19" s="414">
        <f t="shared" ca="1" si="60"/>
        <v>0</v>
      </c>
      <c r="T19" s="339" t="str">
        <f t="shared" si="61"/>
        <v/>
      </c>
      <c r="U19" s="339" t="str">
        <f t="shared" si="62"/>
        <v/>
      </c>
      <c r="V19" s="337">
        <f>IFERROR(VLOOKUP($U19,HomeBroker!$A$30:$F$60,2,0),0)</f>
        <v>0</v>
      </c>
      <c r="W19" s="417">
        <f>IFERROR(VLOOKUP($U19,HomeBroker!$A$30:$F$60,3,0),0)</f>
        <v>0</v>
      </c>
      <c r="X19" s="547">
        <f>IFERROR(VLOOKUP($U19,HomeBroker!$A$30:$F$60,6,0),0)</f>
        <v>0</v>
      </c>
      <c r="Y19" s="416">
        <f>IFERROR(VLOOKUP($U19,HomeBroker!$A$30:$F$60,4,0),0)</f>
        <v>0</v>
      </c>
      <c r="Z19" s="337">
        <f>IFERROR(VLOOKUP($U19,HomeBroker!$A$30:$F$60,5,0),0)</f>
        <v>0</v>
      </c>
      <c r="AA19" s="340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20"/>
      <c r="AE19" s="338">
        <f t="shared" ca="1" si="64"/>
        <v>0</v>
      </c>
      <c r="AF19" s="339" t="str">
        <f t="shared" si="65"/>
        <v/>
      </c>
      <c r="AG19" s="339" t="str">
        <f t="shared" si="66"/>
        <v/>
      </c>
      <c r="AH19" s="385">
        <f>IFERROR(VLOOKUP($AG19,HomeBroker!$A$30:$F$60,2,0),0)</f>
        <v>0</v>
      </c>
      <c r="AI19" s="417">
        <f>IFERROR(VLOOKUP($AG19,HomeBroker!$A$30:$F$60,3,0),0)</f>
        <v>0</v>
      </c>
      <c r="AJ19" s="547">
        <f>IFERROR(VLOOKUP($AG19,HomeBroker!$A$30:$F$60,6,0),0)</f>
        <v>0</v>
      </c>
      <c r="AK19" s="417">
        <f>IFERROR(VLOOKUP($AG19,HomeBroker!$A$30:$F$60,4,0),0)</f>
        <v>0</v>
      </c>
      <c r="AL19" s="385">
        <f>IFERROR(VLOOKUP($AG19,HomeBroker!$A$30:$F$60,5,0),0)</f>
        <v>0</v>
      </c>
      <c r="AM19" s="419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4">
        <f t="shared" si="11"/>
        <v>0</v>
      </c>
      <c r="AY19" s="215">
        <f t="shared" si="12"/>
        <v>0</v>
      </c>
      <c r="AZ19" s="114" t="s">
        <v>402</v>
      </c>
      <c r="BA19" s="112"/>
      <c r="BB19" s="129"/>
      <c r="BC19" s="115"/>
      <c r="BD19" s="216">
        <f t="shared" si="13"/>
        <v>0</v>
      </c>
      <c r="BE19" s="218">
        <f t="shared" si="14"/>
        <v>0</v>
      </c>
      <c r="BF19" s="116" t="s">
        <v>403</v>
      </c>
      <c r="BG19" s="112"/>
      <c r="BH19" s="115"/>
      <c r="BI19" s="219">
        <f t="shared" si="15"/>
        <v>0</v>
      </c>
      <c r="BJ19" s="220">
        <f t="shared" si="16"/>
        <v>0</v>
      </c>
      <c r="DE19" s="117">
        <f t="shared" si="17"/>
        <v>3127.08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-48522.98</v>
      </c>
      <c r="EU19" s="72"/>
      <c r="EV19" s="117">
        <f t="shared" si="55"/>
        <v>3127.08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-48522.98</v>
      </c>
    </row>
    <row r="20" spans="1:193" ht="15">
      <c r="A20" s="411" t="s">
        <v>401</v>
      </c>
      <c r="B20" s="203"/>
      <c r="C20" s="200"/>
      <c r="D20" s="423"/>
      <c r="E20" s="424">
        <f t="shared" si="0"/>
        <v>0</v>
      </c>
      <c r="F20" s="425">
        <f t="shared" si="1"/>
        <v>0</v>
      </c>
      <c r="G20" s="202" t="str">
        <f t="shared" si="2"/>
        <v/>
      </c>
      <c r="H20" s="429">
        <f t="shared" si="58"/>
        <v>0</v>
      </c>
      <c r="I20" s="430">
        <f t="shared" si="3"/>
        <v>0</v>
      </c>
      <c r="J20" s="62"/>
      <c r="K20" s="397">
        <f t="shared" ref="K20:K23" si="72">IFERROR(+L20/$L$18-1,"")</f>
        <v>6.0899999999999954E-2</v>
      </c>
      <c r="L20" s="552">
        <f t="shared" si="71"/>
        <v>3220.8924000000002</v>
      </c>
      <c r="M20" s="453">
        <f t="shared" si="5"/>
        <v>-48522.98</v>
      </c>
      <c r="N20" s="453">
        <f t="shared" ca="1" si="6"/>
        <v>-48522.98</v>
      </c>
      <c r="O20" s="62"/>
      <c r="P20" s="198" t="str">
        <f t="shared" si="59"/>
        <v>-</v>
      </c>
      <c r="Q20" s="384">
        <f t="shared" si="69"/>
        <v>0</v>
      </c>
      <c r="R20" s="420"/>
      <c r="S20" s="414">
        <f t="shared" ca="1" si="60"/>
        <v>0</v>
      </c>
      <c r="T20" s="339" t="str">
        <f t="shared" si="61"/>
        <v/>
      </c>
      <c r="U20" s="339" t="str">
        <f t="shared" si="62"/>
        <v/>
      </c>
      <c r="V20" s="337">
        <f>IFERROR(VLOOKUP($U20,HomeBroker!$A$30:$F$60,2,0),0)</f>
        <v>0</v>
      </c>
      <c r="W20" s="417">
        <f>IFERROR(VLOOKUP($U20,HomeBroker!$A$30:$F$60,3,0),0)</f>
        <v>0</v>
      </c>
      <c r="X20" s="547">
        <f>IFERROR(VLOOKUP($U20,HomeBroker!$A$30:$F$60,6,0),0)</f>
        <v>0</v>
      </c>
      <c r="Y20" s="416">
        <f>IFERROR(VLOOKUP($U20,HomeBroker!$A$30:$F$60,4,0),0)</f>
        <v>0</v>
      </c>
      <c r="Z20" s="337">
        <f>IFERROR(VLOOKUP($U20,HomeBroker!$A$30:$F$60,5,0),0)</f>
        <v>0</v>
      </c>
      <c r="AA20" s="340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20"/>
      <c r="AE20" s="338">
        <f t="shared" ca="1" si="64"/>
        <v>0</v>
      </c>
      <c r="AF20" s="339" t="str">
        <f t="shared" si="65"/>
        <v/>
      </c>
      <c r="AG20" s="339" t="str">
        <f t="shared" si="66"/>
        <v/>
      </c>
      <c r="AH20" s="385">
        <f>IFERROR(VLOOKUP($AG20,HomeBroker!$A$30:$F$60,2,0),0)</f>
        <v>0</v>
      </c>
      <c r="AI20" s="417">
        <f>IFERROR(VLOOKUP($AG20,HomeBroker!$A$30:$F$60,3,0),0)</f>
        <v>0</v>
      </c>
      <c r="AJ20" s="547">
        <f>IFERROR(VLOOKUP($AG20,HomeBroker!$A$30:$F$60,6,0),0)</f>
        <v>0</v>
      </c>
      <c r="AK20" s="417">
        <f>IFERROR(VLOOKUP($AG20,HomeBroker!$A$30:$F$60,4,0),0)</f>
        <v>0</v>
      </c>
      <c r="AL20" s="385">
        <f>IFERROR(VLOOKUP($AG20,HomeBroker!$A$30:$F$60,5,0),0)</f>
        <v>0</v>
      </c>
      <c r="AM20" s="419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4">
        <f t="shared" si="11"/>
        <v>0</v>
      </c>
      <c r="AY20" s="215">
        <f t="shared" si="12"/>
        <v>0</v>
      </c>
      <c r="AZ20" s="114" t="s">
        <v>402</v>
      </c>
      <c r="BA20" s="112"/>
      <c r="BB20" s="129"/>
      <c r="BC20" s="115"/>
      <c r="BD20" s="216">
        <f t="shared" si="13"/>
        <v>0</v>
      </c>
      <c r="BE20" s="218">
        <f t="shared" si="14"/>
        <v>0</v>
      </c>
      <c r="BF20" s="116" t="s">
        <v>403</v>
      </c>
      <c r="BG20" s="112"/>
      <c r="BH20" s="115"/>
      <c r="BI20" s="219">
        <f t="shared" si="15"/>
        <v>0</v>
      </c>
      <c r="BJ20" s="220">
        <f t="shared" si="16"/>
        <v>0</v>
      </c>
      <c r="DE20" s="117">
        <f t="shared" si="17"/>
        <v>3220.8924000000002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-48522.98</v>
      </c>
      <c r="EU20" s="72"/>
      <c r="EV20" s="117">
        <f t="shared" si="55"/>
        <v>3220.8924000000002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-48522.98</v>
      </c>
    </row>
    <row r="21" spans="1:193" ht="15">
      <c r="A21" s="411" t="s">
        <v>401</v>
      </c>
      <c r="B21" s="203"/>
      <c r="C21" s="200"/>
      <c r="D21" s="423"/>
      <c r="E21" s="424">
        <f t="shared" si="0"/>
        <v>0</v>
      </c>
      <c r="F21" s="425">
        <f t="shared" si="1"/>
        <v>0</v>
      </c>
      <c r="G21" s="202" t="str">
        <f t="shared" si="2"/>
        <v/>
      </c>
      <c r="H21" s="429">
        <f t="shared" si="58"/>
        <v>0</v>
      </c>
      <c r="I21" s="430">
        <f t="shared" si="3"/>
        <v>0</v>
      </c>
      <c r="J21" s="62"/>
      <c r="K21" s="397">
        <f t="shared" si="72"/>
        <v>9.2727000000000004E-2</v>
      </c>
      <c r="L21" s="552">
        <f t="shared" si="71"/>
        <v>3317.5191720000003</v>
      </c>
      <c r="M21" s="454">
        <f t="shared" si="5"/>
        <v>-48522.98</v>
      </c>
      <c r="N21" s="454">
        <f t="shared" ca="1" si="6"/>
        <v>-48522.98</v>
      </c>
      <c r="O21" s="62"/>
      <c r="P21" s="198" t="str">
        <f t="shared" si="59"/>
        <v>-</v>
      </c>
      <c r="Q21" s="384">
        <f t="shared" si="69"/>
        <v>0</v>
      </c>
      <c r="R21" s="420"/>
      <c r="S21" s="414">
        <f t="shared" ca="1" si="60"/>
        <v>0</v>
      </c>
      <c r="T21" s="339" t="str">
        <f t="shared" si="61"/>
        <v/>
      </c>
      <c r="U21" s="339" t="str">
        <f t="shared" si="62"/>
        <v/>
      </c>
      <c r="V21" s="337">
        <f>IFERROR(VLOOKUP($U21,HomeBroker!$A$30:$F$60,2,0),0)</f>
        <v>0</v>
      </c>
      <c r="W21" s="417">
        <f>IFERROR(VLOOKUP($U21,HomeBroker!$A$30:$F$60,3,0),0)</f>
        <v>0</v>
      </c>
      <c r="X21" s="547">
        <f>IFERROR(VLOOKUP($U21,HomeBroker!$A$30:$F$60,6,0),0)</f>
        <v>0</v>
      </c>
      <c r="Y21" s="416">
        <f>IFERROR(VLOOKUP($U21,HomeBroker!$A$30:$F$60,4,0),0)</f>
        <v>0</v>
      </c>
      <c r="Z21" s="337">
        <f>IFERROR(VLOOKUP($U21,HomeBroker!$A$30:$F$60,5,0),0)</f>
        <v>0</v>
      </c>
      <c r="AA21" s="340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20"/>
      <c r="AE21" s="338">
        <f t="shared" ca="1" si="64"/>
        <v>0</v>
      </c>
      <c r="AF21" s="339" t="str">
        <f t="shared" si="65"/>
        <v/>
      </c>
      <c r="AG21" s="339" t="str">
        <f t="shared" si="66"/>
        <v/>
      </c>
      <c r="AH21" s="385">
        <f>IFERROR(VLOOKUP($AG21,HomeBroker!$A$30:$F$60,2,0),0)</f>
        <v>0</v>
      </c>
      <c r="AI21" s="417">
        <f>IFERROR(VLOOKUP($AG21,HomeBroker!$A$30:$F$60,3,0),0)</f>
        <v>0</v>
      </c>
      <c r="AJ21" s="547">
        <f>IFERROR(VLOOKUP($AG21,HomeBroker!$A$30:$F$60,6,0),0)</f>
        <v>0</v>
      </c>
      <c r="AK21" s="417">
        <f>IFERROR(VLOOKUP($AG21,HomeBroker!$A$30:$F$60,4,0),0)</f>
        <v>0</v>
      </c>
      <c r="AL21" s="385">
        <f>IFERROR(VLOOKUP($AG21,HomeBroker!$A$30:$F$60,5,0),0)</f>
        <v>0</v>
      </c>
      <c r="AM21" s="419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4">
        <f t="shared" si="11"/>
        <v>0</v>
      </c>
      <c r="AY21" s="215">
        <f t="shared" si="12"/>
        <v>0</v>
      </c>
      <c r="AZ21" s="114" t="s">
        <v>402</v>
      </c>
      <c r="BA21" s="112"/>
      <c r="BB21" s="129"/>
      <c r="BC21" s="115"/>
      <c r="BD21" s="216">
        <f t="shared" si="13"/>
        <v>0</v>
      </c>
      <c r="BE21" s="218">
        <f t="shared" si="14"/>
        <v>0</v>
      </c>
      <c r="BF21" s="116" t="s">
        <v>403</v>
      </c>
      <c r="BG21" s="112"/>
      <c r="BH21" s="115"/>
      <c r="BI21" s="219">
        <f t="shared" si="15"/>
        <v>0</v>
      </c>
      <c r="BJ21" s="220">
        <f t="shared" si="16"/>
        <v>0</v>
      </c>
      <c r="DE21" s="117">
        <f t="shared" si="17"/>
        <v>3317.5191720000003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-48522.98</v>
      </c>
      <c r="EU21" s="72"/>
      <c r="EV21" s="117">
        <f t="shared" si="55"/>
        <v>3317.5191720000003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-48522.98</v>
      </c>
    </row>
    <row r="22" spans="1:193" ht="15">
      <c r="A22" s="411" t="s">
        <v>401</v>
      </c>
      <c r="B22" s="203"/>
      <c r="C22" s="200"/>
      <c r="D22" s="423"/>
      <c r="E22" s="424">
        <f t="shared" si="0"/>
        <v>0</v>
      </c>
      <c r="F22" s="425">
        <f t="shared" si="1"/>
        <v>0</v>
      </c>
      <c r="G22" s="202" t="str">
        <f t="shared" si="2"/>
        <v/>
      </c>
      <c r="H22" s="429">
        <f t="shared" si="58"/>
        <v>0</v>
      </c>
      <c r="I22" s="430">
        <f t="shared" si="3"/>
        <v>0</v>
      </c>
      <c r="J22" s="62"/>
      <c r="K22" s="397">
        <f t="shared" si="72"/>
        <v>0.12550881000000014</v>
      </c>
      <c r="L22" s="552">
        <f t="shared" si="71"/>
        <v>3417.0447471600005</v>
      </c>
      <c r="M22" s="453">
        <f t="shared" si="5"/>
        <v>-48522.98</v>
      </c>
      <c r="N22" s="453">
        <f t="shared" ca="1" si="6"/>
        <v>-48522.98</v>
      </c>
      <c r="O22" s="62"/>
      <c r="P22" s="198" t="str">
        <f t="shared" si="59"/>
        <v>-</v>
      </c>
      <c r="Q22" s="384">
        <f t="shared" si="69"/>
        <v>0</v>
      </c>
      <c r="R22" s="420"/>
      <c r="S22" s="414">
        <f t="shared" ca="1" si="60"/>
        <v>0</v>
      </c>
      <c r="T22" s="339" t="str">
        <f t="shared" si="61"/>
        <v/>
      </c>
      <c r="U22" s="339" t="str">
        <f t="shared" si="62"/>
        <v/>
      </c>
      <c r="V22" s="337">
        <f>IFERROR(VLOOKUP($U22,HomeBroker!$A$30:$F$60,2,0),0)</f>
        <v>0</v>
      </c>
      <c r="W22" s="417">
        <f>IFERROR(VLOOKUP($U22,HomeBroker!$A$30:$F$60,3,0),0)</f>
        <v>0</v>
      </c>
      <c r="X22" s="547">
        <f>IFERROR(VLOOKUP($U22,HomeBroker!$A$30:$F$60,6,0),0)</f>
        <v>0</v>
      </c>
      <c r="Y22" s="416">
        <f>IFERROR(VLOOKUP($U22,HomeBroker!$A$30:$F$60,4,0),0)</f>
        <v>0</v>
      </c>
      <c r="Z22" s="337">
        <f>IFERROR(VLOOKUP($U22,HomeBroker!$A$30:$F$60,5,0),0)</f>
        <v>0</v>
      </c>
      <c r="AA22" s="340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20"/>
      <c r="AE22" s="338">
        <f t="shared" ca="1" si="64"/>
        <v>0</v>
      </c>
      <c r="AF22" s="339" t="str">
        <f t="shared" si="65"/>
        <v/>
      </c>
      <c r="AG22" s="339" t="str">
        <f t="shared" si="66"/>
        <v/>
      </c>
      <c r="AH22" s="385">
        <f>IFERROR(VLOOKUP($AG22,HomeBroker!$A$30:$F$60,2,0),0)</f>
        <v>0</v>
      </c>
      <c r="AI22" s="417">
        <f>IFERROR(VLOOKUP($AG22,HomeBroker!$A$30:$F$60,3,0),0)</f>
        <v>0</v>
      </c>
      <c r="AJ22" s="547">
        <f>IFERROR(VLOOKUP($AG22,HomeBroker!$A$30:$F$60,6,0),0)</f>
        <v>0</v>
      </c>
      <c r="AK22" s="417">
        <f>IFERROR(VLOOKUP($AG22,HomeBroker!$A$30:$F$60,4,0),0)</f>
        <v>0</v>
      </c>
      <c r="AL22" s="385">
        <f>IFERROR(VLOOKUP($AG22,HomeBroker!$A$30:$F$60,5,0),0)</f>
        <v>0</v>
      </c>
      <c r="AM22" s="419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4">
        <f t="shared" si="11"/>
        <v>0</v>
      </c>
      <c r="AY22" s="215">
        <f t="shared" si="12"/>
        <v>0</v>
      </c>
      <c r="AZ22" s="114" t="s">
        <v>402</v>
      </c>
      <c r="BA22" s="112"/>
      <c r="BB22" s="129"/>
      <c r="BC22" s="115"/>
      <c r="BD22" s="216">
        <f t="shared" si="13"/>
        <v>0</v>
      </c>
      <c r="BE22" s="218">
        <f t="shared" si="14"/>
        <v>0</v>
      </c>
      <c r="BF22" s="116" t="s">
        <v>403</v>
      </c>
      <c r="BG22" s="112"/>
      <c r="BH22" s="115"/>
      <c r="BI22" s="219">
        <f t="shared" si="15"/>
        <v>0</v>
      </c>
      <c r="BJ22" s="220">
        <f t="shared" si="16"/>
        <v>0</v>
      </c>
      <c r="DE22" s="117">
        <f t="shared" si="17"/>
        <v>3417.0447471600005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-48522.98</v>
      </c>
      <c r="EU22" s="72"/>
      <c r="EV22" s="117">
        <f t="shared" si="55"/>
        <v>3417.0447471600005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-48522.98</v>
      </c>
    </row>
    <row r="23" spans="1:193" ht="15">
      <c r="A23" s="411" t="s">
        <v>401</v>
      </c>
      <c r="B23" s="203"/>
      <c r="C23" s="200"/>
      <c r="D23" s="423"/>
      <c r="E23" s="424">
        <f t="shared" si="0"/>
        <v>0</v>
      </c>
      <c r="F23" s="425">
        <f t="shared" si="1"/>
        <v>0</v>
      </c>
      <c r="G23" s="202" t="str">
        <f t="shared" si="2"/>
        <v/>
      </c>
      <c r="H23" s="429">
        <f t="shared" si="58"/>
        <v>0</v>
      </c>
      <c r="I23" s="430">
        <f t="shared" si="3"/>
        <v>0</v>
      </c>
      <c r="J23" s="62"/>
      <c r="K23" s="397">
        <f t="shared" si="72"/>
        <v>0.15927407430000029</v>
      </c>
      <c r="L23" s="552">
        <f t="shared" si="71"/>
        <v>3519.5560895748008</v>
      </c>
      <c r="M23" s="453">
        <f t="shared" si="5"/>
        <v>-48522.98</v>
      </c>
      <c r="N23" s="453">
        <f t="shared" ca="1" si="6"/>
        <v>-48522.98</v>
      </c>
      <c r="O23" s="62"/>
      <c r="P23" s="198" t="str">
        <f t="shared" si="59"/>
        <v>-</v>
      </c>
      <c r="Q23" s="384">
        <f t="shared" si="69"/>
        <v>0</v>
      </c>
      <c r="R23" s="194"/>
      <c r="S23" s="414">
        <f t="shared" ca="1" si="60"/>
        <v>0</v>
      </c>
      <c r="T23" s="339" t="str">
        <f t="shared" si="61"/>
        <v/>
      </c>
      <c r="U23" s="339" t="str">
        <f t="shared" si="62"/>
        <v/>
      </c>
      <c r="V23" s="337">
        <f>IFERROR(VLOOKUP($U23,HomeBroker!$A$30:$F$60,2,0),0)</f>
        <v>0</v>
      </c>
      <c r="W23" s="417">
        <f>IFERROR(VLOOKUP($U23,HomeBroker!$A$30:$F$60,3,0),0)</f>
        <v>0</v>
      </c>
      <c r="X23" s="547">
        <f>IFERROR(VLOOKUP($U23,HomeBroker!$A$30:$F$60,6,0),0)</f>
        <v>0</v>
      </c>
      <c r="Y23" s="416">
        <f>IFERROR(VLOOKUP($U23,HomeBroker!$A$30:$F$60,4,0),0)</f>
        <v>0</v>
      </c>
      <c r="Z23" s="337">
        <f>IFERROR(VLOOKUP($U23,HomeBroker!$A$30:$F$60,5,0),0)</f>
        <v>0</v>
      </c>
      <c r="AA23" s="340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38">
        <f t="shared" ca="1" si="64"/>
        <v>0</v>
      </c>
      <c r="AF23" s="339" t="str">
        <f t="shared" si="65"/>
        <v/>
      </c>
      <c r="AG23" s="339" t="str">
        <f t="shared" si="66"/>
        <v/>
      </c>
      <c r="AH23" s="385">
        <f>IFERROR(VLOOKUP($AG23,HomeBroker!$A$30:$F$60,2,0),0)</f>
        <v>0</v>
      </c>
      <c r="AI23" s="417">
        <f>IFERROR(VLOOKUP($AG23,HomeBroker!$A$30:$F$60,3,0),0)</f>
        <v>0</v>
      </c>
      <c r="AJ23" s="547">
        <f>IFERROR(VLOOKUP($AG23,HomeBroker!$A$30:$F$60,6,0),0)</f>
        <v>0</v>
      </c>
      <c r="AK23" s="417">
        <f>IFERROR(VLOOKUP($AG23,HomeBroker!$A$30:$F$60,4,0),0)</f>
        <v>0</v>
      </c>
      <c r="AL23" s="385">
        <f>IFERROR(VLOOKUP($AG23,HomeBroker!$A$30:$F$60,5,0),0)</f>
        <v>0</v>
      </c>
      <c r="AM23" s="419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4">
        <f t="shared" si="11"/>
        <v>0</v>
      </c>
      <c r="AY23" s="215">
        <f t="shared" si="12"/>
        <v>0</v>
      </c>
      <c r="AZ23" s="114" t="s">
        <v>402</v>
      </c>
      <c r="BA23" s="112"/>
      <c r="BB23" s="129"/>
      <c r="BC23" s="115"/>
      <c r="BD23" s="216">
        <f t="shared" si="13"/>
        <v>0</v>
      </c>
      <c r="BE23" s="218">
        <f t="shared" si="14"/>
        <v>0</v>
      </c>
      <c r="BF23" s="116" t="s">
        <v>403</v>
      </c>
      <c r="BG23" s="112"/>
      <c r="BH23" s="115"/>
      <c r="BI23" s="219">
        <f t="shared" si="15"/>
        <v>0</v>
      </c>
      <c r="BJ23" s="220">
        <f t="shared" si="16"/>
        <v>0</v>
      </c>
      <c r="DE23" s="117">
        <f t="shared" si="17"/>
        <v>3519.5560895748008</v>
      </c>
      <c r="DF23" s="118">
        <f t="shared" si="18"/>
        <v>0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0</v>
      </c>
      <c r="EQ23" s="119"/>
      <c r="ER23" s="126"/>
      <c r="ES23" s="122"/>
      <c r="ET23" s="123">
        <f t="shared" si="54"/>
        <v>-48522.98</v>
      </c>
      <c r="EU23" s="72"/>
      <c r="EV23" s="117">
        <f t="shared" si="55"/>
        <v>3519.5560895748008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-48522.98</v>
      </c>
    </row>
    <row r="24" spans="1:193" ht="15">
      <c r="A24" s="411" t="s">
        <v>401</v>
      </c>
      <c r="B24" s="203"/>
      <c r="C24" s="200"/>
      <c r="D24" s="423"/>
      <c r="E24" s="424">
        <f t="shared" si="0"/>
        <v>0</v>
      </c>
      <c r="F24" s="425">
        <f t="shared" si="1"/>
        <v>0</v>
      </c>
      <c r="G24" s="202" t="str">
        <f t="shared" si="2"/>
        <v/>
      </c>
      <c r="H24" s="429">
        <f t="shared" si="58"/>
        <v>0</v>
      </c>
      <c r="I24" s="430">
        <f t="shared" si="3"/>
        <v>0</v>
      </c>
      <c r="J24" s="62"/>
      <c r="K24" s="394">
        <f>IFERROR(+L24/$L$18-1,"")</f>
        <v>0.19405229652900036</v>
      </c>
      <c r="L24" s="551">
        <f t="shared" si="71"/>
        <v>3625.1427722620451</v>
      </c>
      <c r="M24" s="454">
        <f t="shared" si="5"/>
        <v>-48522.98</v>
      </c>
      <c r="N24" s="454">
        <f t="shared" ca="1" si="6"/>
        <v>-48522.98</v>
      </c>
      <c r="O24" s="62"/>
      <c r="P24" s="198" t="str">
        <f t="shared" si="59"/>
        <v>-</v>
      </c>
      <c r="Q24" s="384">
        <f t="shared" si="69"/>
        <v>0</v>
      </c>
      <c r="R24" s="194"/>
      <c r="S24" s="414">
        <f t="shared" ca="1" si="60"/>
        <v>0</v>
      </c>
      <c r="T24" s="339" t="str">
        <f t="shared" si="61"/>
        <v/>
      </c>
      <c r="U24" s="339" t="str">
        <f t="shared" si="62"/>
        <v/>
      </c>
      <c r="V24" s="337">
        <f>IFERROR(VLOOKUP($U24,HomeBroker!$A$30:$F$60,2,0),0)</f>
        <v>0</v>
      </c>
      <c r="W24" s="417">
        <f>IFERROR(VLOOKUP($U24,HomeBroker!$A$30:$F$60,3,0),0)</f>
        <v>0</v>
      </c>
      <c r="X24" s="547">
        <f>IFERROR(VLOOKUP($U24,HomeBroker!$A$30:$F$60,6,0),0)</f>
        <v>0</v>
      </c>
      <c r="Y24" s="416">
        <f>IFERROR(VLOOKUP($U24,HomeBroker!$A$30:$F$60,4,0),0)</f>
        <v>0</v>
      </c>
      <c r="Z24" s="337">
        <f>IFERROR(VLOOKUP($U24,HomeBroker!$A$30:$F$60,5,0),0)</f>
        <v>0</v>
      </c>
      <c r="AA24" s="340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38">
        <f t="shared" ca="1" si="64"/>
        <v>0</v>
      </c>
      <c r="AF24" s="339" t="str">
        <f t="shared" si="65"/>
        <v/>
      </c>
      <c r="AG24" s="339" t="str">
        <f t="shared" si="66"/>
        <v/>
      </c>
      <c r="AH24" s="385">
        <f>IFERROR(VLOOKUP($AG24,HomeBroker!$A$30:$F$60,2,0),0)</f>
        <v>0</v>
      </c>
      <c r="AI24" s="417">
        <f>IFERROR(VLOOKUP($AG24,HomeBroker!$A$30:$F$60,3,0),0)</f>
        <v>0</v>
      </c>
      <c r="AJ24" s="547">
        <f>IFERROR(VLOOKUP($AG24,HomeBroker!$A$30:$F$60,6,0),0)</f>
        <v>0</v>
      </c>
      <c r="AK24" s="417">
        <f>IFERROR(VLOOKUP($AG24,HomeBroker!$A$30:$F$60,4,0),0)</f>
        <v>0</v>
      </c>
      <c r="AL24" s="385">
        <f>IFERROR(VLOOKUP($AG24,HomeBroker!$A$30:$F$60,5,0),0)</f>
        <v>0</v>
      </c>
      <c r="AM24" s="419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4">
        <f t="shared" si="11"/>
        <v>0</v>
      </c>
      <c r="AY24" s="215">
        <f t="shared" si="12"/>
        <v>0</v>
      </c>
      <c r="AZ24" s="114" t="s">
        <v>402</v>
      </c>
      <c r="BA24" s="112"/>
      <c r="BB24" s="129"/>
      <c r="BC24" s="115"/>
      <c r="BD24" s="216">
        <f t="shared" si="13"/>
        <v>0</v>
      </c>
      <c r="BE24" s="218">
        <f t="shared" si="14"/>
        <v>0</v>
      </c>
      <c r="BF24" s="116" t="s">
        <v>403</v>
      </c>
      <c r="BG24" s="112"/>
      <c r="BH24" s="115"/>
      <c r="BI24" s="219">
        <f t="shared" si="15"/>
        <v>0</v>
      </c>
      <c r="BJ24" s="220">
        <f t="shared" si="16"/>
        <v>0</v>
      </c>
      <c r="DE24" s="117">
        <f t="shared" si="17"/>
        <v>3625.1427722620451</v>
      </c>
      <c r="DF24" s="118">
        <f t="shared" si="18"/>
        <v>0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0</v>
      </c>
      <c r="EQ24" s="119"/>
      <c r="ER24" s="126"/>
      <c r="ES24" s="122"/>
      <c r="ET24" s="123">
        <f t="shared" si="54"/>
        <v>-48522.98</v>
      </c>
      <c r="EU24" s="72"/>
      <c r="EV24" s="117">
        <f t="shared" si="55"/>
        <v>3625.1427722620451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-48522.98</v>
      </c>
    </row>
    <row r="25" spans="1:193" ht="15">
      <c r="A25" s="411" t="s">
        <v>401</v>
      </c>
      <c r="B25" s="203"/>
      <c r="C25" s="200"/>
      <c r="D25" s="423"/>
      <c r="E25" s="424">
        <f t="shared" si="0"/>
        <v>0</v>
      </c>
      <c r="F25" s="425">
        <f t="shared" si="1"/>
        <v>0</v>
      </c>
      <c r="G25" s="202" t="str">
        <f t="shared" si="2"/>
        <v/>
      </c>
      <c r="H25" s="429">
        <f t="shared" si="58"/>
        <v>0</v>
      </c>
      <c r="I25" s="430">
        <f t="shared" si="3"/>
        <v>0</v>
      </c>
      <c r="J25" s="62"/>
      <c r="K25" s="395"/>
      <c r="L25" s="551">
        <f t="shared" si="71"/>
        <v>3733.8970554299067</v>
      </c>
      <c r="M25" s="453">
        <f t="shared" si="5"/>
        <v>-48522.98</v>
      </c>
      <c r="N25" s="453">
        <f t="shared" ca="1" si="6"/>
        <v>-48522.98</v>
      </c>
      <c r="O25" s="62"/>
      <c r="P25" s="198" t="str">
        <f t="shared" si="59"/>
        <v>-</v>
      </c>
      <c r="Q25" s="384">
        <f t="shared" si="69"/>
        <v>0</v>
      </c>
      <c r="R25" s="194"/>
      <c r="S25" s="414">
        <f t="shared" ca="1" si="60"/>
        <v>0</v>
      </c>
      <c r="T25" s="339" t="str">
        <f t="shared" si="61"/>
        <v/>
      </c>
      <c r="U25" s="339" t="str">
        <f t="shared" si="62"/>
        <v/>
      </c>
      <c r="V25" s="337">
        <f>IFERROR(VLOOKUP($U25,HomeBroker!$A$30:$F$60,2,0),0)</f>
        <v>0</v>
      </c>
      <c r="W25" s="417">
        <f>IFERROR(VLOOKUP($U25,HomeBroker!$A$30:$F$60,3,0),0)</f>
        <v>0</v>
      </c>
      <c r="X25" s="547">
        <f>IFERROR(VLOOKUP($U25,HomeBroker!$A$30:$F$60,6,0),0)</f>
        <v>0</v>
      </c>
      <c r="Y25" s="416">
        <f>IFERROR(VLOOKUP($U25,HomeBroker!$A$30:$F$60,4,0),0)</f>
        <v>0</v>
      </c>
      <c r="Z25" s="337">
        <f>IFERROR(VLOOKUP($U25,HomeBroker!$A$30:$F$60,5,0),0)</f>
        <v>0</v>
      </c>
      <c r="AA25" s="340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38">
        <f t="shared" ca="1" si="64"/>
        <v>0</v>
      </c>
      <c r="AF25" s="339" t="str">
        <f t="shared" si="65"/>
        <v/>
      </c>
      <c r="AG25" s="339" t="str">
        <f t="shared" si="66"/>
        <v/>
      </c>
      <c r="AH25" s="385">
        <f>IFERROR(VLOOKUP($AG25,HomeBroker!$A$30:$F$60,2,0),0)</f>
        <v>0</v>
      </c>
      <c r="AI25" s="417">
        <f>IFERROR(VLOOKUP($AG25,HomeBroker!$A$30:$F$60,3,0),0)</f>
        <v>0</v>
      </c>
      <c r="AJ25" s="547">
        <f>IFERROR(VLOOKUP($AG25,HomeBroker!$A$30:$F$60,6,0),0)</f>
        <v>0</v>
      </c>
      <c r="AK25" s="417">
        <f>IFERROR(VLOOKUP($AG25,HomeBroker!$A$30:$F$60,4,0),0)</f>
        <v>0</v>
      </c>
      <c r="AL25" s="385">
        <f>IFERROR(VLOOKUP($AG25,HomeBroker!$A$30:$F$60,5,0),0)</f>
        <v>0</v>
      </c>
      <c r="AM25" s="419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4">
        <f t="shared" si="11"/>
        <v>0</v>
      </c>
      <c r="AY25" s="215">
        <f t="shared" si="12"/>
        <v>0</v>
      </c>
      <c r="AZ25" s="114" t="s">
        <v>402</v>
      </c>
      <c r="BA25" s="112"/>
      <c r="BB25" s="129"/>
      <c r="BC25" s="115"/>
      <c r="BD25" s="216">
        <f t="shared" si="13"/>
        <v>0</v>
      </c>
      <c r="BE25" s="218">
        <f t="shared" si="14"/>
        <v>0</v>
      </c>
      <c r="BF25" s="116" t="s">
        <v>403</v>
      </c>
      <c r="BG25" s="112"/>
      <c r="BH25" s="115"/>
      <c r="BI25" s="219">
        <f t="shared" si="15"/>
        <v>0</v>
      </c>
      <c r="BJ25" s="220">
        <f t="shared" si="16"/>
        <v>0</v>
      </c>
      <c r="DE25" s="117">
        <f t="shared" si="17"/>
        <v>3733.8970554299067</v>
      </c>
      <c r="DF25" s="118">
        <f t="shared" si="18"/>
        <v>0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0</v>
      </c>
      <c r="EQ25" s="119"/>
      <c r="ER25" s="126"/>
      <c r="ES25" s="122"/>
      <c r="ET25" s="123">
        <f t="shared" si="54"/>
        <v>-48522.98</v>
      </c>
      <c r="EU25" s="72"/>
      <c r="EV25" s="117">
        <f t="shared" si="55"/>
        <v>3733.8970554299067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-48522.98</v>
      </c>
    </row>
    <row r="26" spans="1:193" ht="15">
      <c r="A26" s="411" t="s">
        <v>401</v>
      </c>
      <c r="B26" s="203"/>
      <c r="C26" s="200"/>
      <c r="D26" s="423"/>
      <c r="E26" s="424">
        <f t="shared" si="0"/>
        <v>0</v>
      </c>
      <c r="F26" s="425">
        <f t="shared" si="1"/>
        <v>0</v>
      </c>
      <c r="G26" s="202" t="str">
        <f t="shared" si="2"/>
        <v/>
      </c>
      <c r="H26" s="429">
        <f t="shared" si="58"/>
        <v>0</v>
      </c>
      <c r="I26" s="430">
        <f t="shared" si="3"/>
        <v>0</v>
      </c>
      <c r="J26" s="62"/>
      <c r="K26" s="395"/>
      <c r="L26" s="551">
        <f t="shared" si="71"/>
        <v>3845.9139670928039</v>
      </c>
      <c r="M26" s="453">
        <f t="shared" si="5"/>
        <v>-48522.98</v>
      </c>
      <c r="N26" s="453">
        <f t="shared" ca="1" si="6"/>
        <v>-48522.98</v>
      </c>
      <c r="O26" s="62"/>
      <c r="P26" s="198" t="str">
        <f t="shared" si="59"/>
        <v>-</v>
      </c>
      <c r="Q26" s="384">
        <f t="shared" si="69"/>
        <v>0</v>
      </c>
      <c r="R26" s="194"/>
      <c r="S26" s="414">
        <f t="shared" ca="1" si="60"/>
        <v>0</v>
      </c>
      <c r="T26" s="339" t="str">
        <f t="shared" si="61"/>
        <v/>
      </c>
      <c r="U26" s="339" t="str">
        <f t="shared" si="62"/>
        <v/>
      </c>
      <c r="V26" s="337">
        <f>IFERROR(VLOOKUP($U26,HomeBroker!$A$30:$F$60,2,0),0)</f>
        <v>0</v>
      </c>
      <c r="W26" s="417">
        <f>IFERROR(VLOOKUP($U26,HomeBroker!$A$30:$F$60,3,0),0)</f>
        <v>0</v>
      </c>
      <c r="X26" s="547">
        <f>IFERROR(VLOOKUP($U26,HomeBroker!$A$30:$F$60,6,0),0)</f>
        <v>0</v>
      </c>
      <c r="Y26" s="416">
        <f>IFERROR(VLOOKUP($U26,HomeBroker!$A$30:$F$60,4,0),0)</f>
        <v>0</v>
      </c>
      <c r="Z26" s="337">
        <f>IFERROR(VLOOKUP($U26,HomeBroker!$A$30:$F$60,5,0),0)</f>
        <v>0</v>
      </c>
      <c r="AA26" s="340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38">
        <f t="shared" ca="1" si="64"/>
        <v>0</v>
      </c>
      <c r="AF26" s="339" t="str">
        <f t="shared" si="65"/>
        <v/>
      </c>
      <c r="AG26" s="339" t="str">
        <f t="shared" si="66"/>
        <v/>
      </c>
      <c r="AH26" s="385">
        <f>IFERROR(VLOOKUP($AG26,HomeBroker!$A$30:$F$60,2,0),0)</f>
        <v>0</v>
      </c>
      <c r="AI26" s="417">
        <f>IFERROR(VLOOKUP($AG26,HomeBroker!$A$30:$F$60,3,0),0)</f>
        <v>0</v>
      </c>
      <c r="AJ26" s="547">
        <f>IFERROR(VLOOKUP($AG26,HomeBroker!$A$30:$F$60,6,0),0)</f>
        <v>0</v>
      </c>
      <c r="AK26" s="417">
        <f>IFERROR(VLOOKUP($AG26,HomeBroker!$A$30:$F$60,4,0),0)</f>
        <v>0</v>
      </c>
      <c r="AL26" s="385">
        <f>IFERROR(VLOOKUP($AG26,HomeBroker!$A$30:$F$60,5,0),0)</f>
        <v>0</v>
      </c>
      <c r="AM26" s="419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4">
        <f t="shared" si="11"/>
        <v>0</v>
      </c>
      <c r="AY26" s="215">
        <f t="shared" si="12"/>
        <v>0</v>
      </c>
      <c r="AZ26" s="114" t="s">
        <v>402</v>
      </c>
      <c r="BA26" s="112"/>
      <c r="BB26" s="129"/>
      <c r="BC26" s="115"/>
      <c r="BD26" s="216">
        <f t="shared" si="13"/>
        <v>0</v>
      </c>
      <c r="BE26" s="218">
        <f t="shared" si="14"/>
        <v>0</v>
      </c>
      <c r="BF26" s="116" t="s">
        <v>403</v>
      </c>
      <c r="BG26" s="112"/>
      <c r="BH26" s="115"/>
      <c r="BI26" s="219">
        <f t="shared" si="15"/>
        <v>0</v>
      </c>
      <c r="BJ26" s="220">
        <f t="shared" si="16"/>
        <v>0</v>
      </c>
      <c r="DE26" s="117">
        <f t="shared" si="17"/>
        <v>3845.9139670928039</v>
      </c>
      <c r="DF26" s="118">
        <f t="shared" si="18"/>
        <v>0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0</v>
      </c>
      <c r="EQ26" s="119"/>
      <c r="ER26" s="126"/>
      <c r="ES26" s="122"/>
      <c r="ET26" s="123">
        <f t="shared" si="54"/>
        <v>-48522.98</v>
      </c>
      <c r="EU26" s="72"/>
      <c r="EV26" s="117">
        <f t="shared" si="55"/>
        <v>3845.9139670928039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-48522.98</v>
      </c>
    </row>
    <row r="27" spans="1:193" ht="15">
      <c r="A27" s="411" t="s">
        <v>401</v>
      </c>
      <c r="B27" s="205"/>
      <c r="C27" s="200"/>
      <c r="D27" s="423"/>
      <c r="E27" s="424">
        <f t="shared" si="0"/>
        <v>0</v>
      </c>
      <c r="F27" s="425">
        <f t="shared" si="1"/>
        <v>0</v>
      </c>
      <c r="G27" s="202" t="str">
        <f t="shared" si="2"/>
        <v/>
      </c>
      <c r="H27" s="429">
        <f t="shared" si="58"/>
        <v>0</v>
      </c>
      <c r="I27" s="430">
        <f t="shared" si="3"/>
        <v>0</v>
      </c>
      <c r="J27" s="62"/>
      <c r="K27" s="395"/>
      <c r="L27" s="551">
        <f t="shared" si="71"/>
        <v>3961.2913861055881</v>
      </c>
      <c r="M27" s="454">
        <f t="shared" si="5"/>
        <v>-48522.98</v>
      </c>
      <c r="N27" s="454">
        <f t="shared" ca="1" si="6"/>
        <v>-48522.98</v>
      </c>
      <c r="O27" s="62"/>
      <c r="P27" s="198" t="str">
        <f t="shared" si="59"/>
        <v>-</v>
      </c>
      <c r="Q27" s="384">
        <f t="shared" si="69"/>
        <v>0</v>
      </c>
      <c r="R27" s="194"/>
      <c r="S27" s="414">
        <f t="shared" ca="1" si="60"/>
        <v>0</v>
      </c>
      <c r="T27" s="33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9" t="str">
        <f t="shared" si="62"/>
        <v/>
      </c>
      <c r="V27" s="337">
        <f>IFERROR(VLOOKUP($U27,HomeBroker!$A$30:$F$60,2,0),0)</f>
        <v>0</v>
      </c>
      <c r="W27" s="417">
        <f>IFERROR(VLOOKUP($U27,HomeBroker!$A$30:$F$60,3,0),0)</f>
        <v>0</v>
      </c>
      <c r="X27" s="547">
        <f>IFERROR(VLOOKUP($U27,HomeBroker!$A$30:$F$60,6,0),0)</f>
        <v>0</v>
      </c>
      <c r="Y27" s="416">
        <f>IFERROR(VLOOKUP($U27,HomeBroker!$A$30:$F$60,4,0),0)</f>
        <v>0</v>
      </c>
      <c r="Z27" s="337">
        <f>IFERROR(VLOOKUP($U27,HomeBroker!$A$30:$F$60,5,0),0)</f>
        <v>0</v>
      </c>
      <c r="AA27" s="340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38">
        <f t="shared" ca="1" si="64"/>
        <v>0</v>
      </c>
      <c r="AF27" s="33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85">
        <f>IFERROR(VLOOKUP($AG27,HomeBroker!$A$30:$F$60,2,0),0)</f>
        <v>0</v>
      </c>
      <c r="AI27" s="417">
        <f>IFERROR(VLOOKUP($AG27,HomeBroker!$A$30:$F$60,3,0),0)</f>
        <v>0</v>
      </c>
      <c r="AJ27" s="547">
        <f>IFERROR(VLOOKUP($AG27,HomeBroker!$A$30:$F$60,6,0),0)</f>
        <v>0</v>
      </c>
      <c r="AK27" s="417">
        <f>IFERROR(VLOOKUP($AG27,HomeBroker!$A$30:$F$60,4,0),0)</f>
        <v>0</v>
      </c>
      <c r="AL27" s="385">
        <f>IFERROR(VLOOKUP($AG27,HomeBroker!$A$30:$F$60,5,0),0)</f>
        <v>0</v>
      </c>
      <c r="AM27" s="419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4">
        <f t="shared" si="11"/>
        <v>0</v>
      </c>
      <c r="AY27" s="215">
        <f t="shared" si="12"/>
        <v>0</v>
      </c>
      <c r="AZ27" s="114" t="s">
        <v>402</v>
      </c>
      <c r="BA27" s="112"/>
      <c r="BB27" s="129"/>
      <c r="BC27" s="115"/>
      <c r="BD27" s="216">
        <f t="shared" si="13"/>
        <v>0</v>
      </c>
      <c r="BE27" s="218">
        <f t="shared" si="14"/>
        <v>0</v>
      </c>
      <c r="BF27" s="116" t="s">
        <v>403</v>
      </c>
      <c r="BG27" s="112"/>
      <c r="BH27" s="115"/>
      <c r="BI27" s="219">
        <f t="shared" si="15"/>
        <v>0</v>
      </c>
      <c r="BJ27" s="220">
        <f t="shared" si="16"/>
        <v>0</v>
      </c>
      <c r="DE27" s="117">
        <f t="shared" si="17"/>
        <v>3961.2913861055881</v>
      </c>
      <c r="DF27" s="118">
        <f t="shared" si="18"/>
        <v>0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0</v>
      </c>
      <c r="EQ27" s="119"/>
      <c r="ER27" s="126"/>
      <c r="ES27" s="122"/>
      <c r="ET27" s="123">
        <f t="shared" si="54"/>
        <v>-48522.98</v>
      </c>
      <c r="EU27" s="72"/>
      <c r="EV27" s="117">
        <f t="shared" si="55"/>
        <v>3961.2913861055881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-48522.98</v>
      </c>
    </row>
    <row r="28" spans="1:193" ht="15">
      <c r="A28" s="411" t="s">
        <v>401</v>
      </c>
      <c r="B28" s="203"/>
      <c r="C28" s="200"/>
      <c r="D28" s="423"/>
      <c r="E28" s="424">
        <f t="shared" si="0"/>
        <v>0</v>
      </c>
      <c r="F28" s="425">
        <f t="shared" si="1"/>
        <v>0</v>
      </c>
      <c r="G28" s="202" t="str">
        <f t="shared" si="2"/>
        <v/>
      </c>
      <c r="H28" s="429">
        <f t="shared" si="58"/>
        <v>0</v>
      </c>
      <c r="I28" s="430">
        <f t="shared" si="3"/>
        <v>0</v>
      </c>
      <c r="J28" s="62"/>
      <c r="K28" s="398"/>
      <c r="L28" s="551">
        <f t="shared" si="71"/>
        <v>4080.1301276887557</v>
      </c>
      <c r="M28" s="453">
        <f t="shared" si="5"/>
        <v>-48522.98</v>
      </c>
      <c r="N28" s="453">
        <f t="shared" ca="1" si="6"/>
        <v>-48522.98</v>
      </c>
      <c r="O28" s="62"/>
      <c r="P28" s="198" t="str">
        <f t="shared" si="59"/>
        <v>-</v>
      </c>
      <c r="Q28" s="384">
        <f t="shared" si="69"/>
        <v>0</v>
      </c>
      <c r="R28" s="194"/>
      <c r="S28" s="414">
        <f t="shared" ca="1" si="60"/>
        <v>0</v>
      </c>
      <c r="T28" s="339" t="str">
        <f t="shared" si="73"/>
        <v/>
      </c>
      <c r="U28" s="339" t="str">
        <f t="shared" si="62"/>
        <v/>
      </c>
      <c r="V28" s="337">
        <f>IFERROR(VLOOKUP($U28,HomeBroker!$A$30:$F$60,2,0),0)</f>
        <v>0</v>
      </c>
      <c r="W28" s="417">
        <f>IFERROR(VLOOKUP($U28,HomeBroker!$A$30:$F$60,3,0),0)</f>
        <v>0</v>
      </c>
      <c r="X28" s="547">
        <f>IFERROR(VLOOKUP($U28,HomeBroker!$A$30:$F$60,6,0),0)</f>
        <v>0</v>
      </c>
      <c r="Y28" s="416">
        <f>IFERROR(VLOOKUP($U28,HomeBroker!$A$30:$F$60,4,0),0)</f>
        <v>0</v>
      </c>
      <c r="Z28" s="337">
        <f>IFERROR(VLOOKUP($U28,HomeBroker!$A$30:$F$60,5,0),0)</f>
        <v>0</v>
      </c>
      <c r="AA28" s="340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38">
        <f t="shared" ca="1" si="64"/>
        <v>0</v>
      </c>
      <c r="AF28" s="339" t="str">
        <f t="shared" si="74"/>
        <v/>
      </c>
      <c r="AG28" s="339" t="str">
        <f t="shared" si="75"/>
        <v/>
      </c>
      <c r="AH28" s="385">
        <f>IFERROR(VLOOKUP($AG28,HomeBroker!$A$30:$F$60,2,0),0)</f>
        <v>0</v>
      </c>
      <c r="AI28" s="417">
        <f>IFERROR(VLOOKUP($AG28,HomeBroker!$A$30:$F$60,3,0),0)</f>
        <v>0</v>
      </c>
      <c r="AJ28" s="547">
        <f>IFERROR(VLOOKUP($AG28,HomeBroker!$A$30:$F$60,6,0),0)</f>
        <v>0</v>
      </c>
      <c r="AK28" s="417">
        <f>IFERROR(VLOOKUP($AG28,HomeBroker!$A$30:$F$60,4,0),0)</f>
        <v>0</v>
      </c>
      <c r="AL28" s="385">
        <f>IFERROR(VLOOKUP($AG28,HomeBroker!$A$30:$F$60,5,0),0)</f>
        <v>0</v>
      </c>
      <c r="AM28" s="419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4">
        <f t="shared" si="11"/>
        <v>0</v>
      </c>
      <c r="AY28" s="215">
        <f t="shared" si="12"/>
        <v>0</v>
      </c>
      <c r="AZ28" s="114" t="s">
        <v>402</v>
      </c>
      <c r="BA28" s="112"/>
      <c r="BB28" s="129"/>
      <c r="BC28" s="115"/>
      <c r="BD28" s="216">
        <f t="shared" si="13"/>
        <v>0</v>
      </c>
      <c r="BE28" s="218">
        <f t="shared" si="14"/>
        <v>0</v>
      </c>
      <c r="BF28" s="116" t="s">
        <v>403</v>
      </c>
      <c r="BG28" s="112"/>
      <c r="BH28" s="115"/>
      <c r="BI28" s="219">
        <f t="shared" si="15"/>
        <v>0</v>
      </c>
      <c r="BJ28" s="220">
        <f t="shared" si="16"/>
        <v>0</v>
      </c>
      <c r="DE28" s="117">
        <f t="shared" si="17"/>
        <v>4080.1301276887557</v>
      </c>
      <c r="DF28" s="118">
        <f t="shared" si="18"/>
        <v>0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0</v>
      </c>
      <c r="EQ28" s="119"/>
      <c r="ER28" s="126"/>
      <c r="ES28" s="122"/>
      <c r="ET28" s="123">
        <f t="shared" si="54"/>
        <v>-48522.98</v>
      </c>
      <c r="EU28" s="72"/>
      <c r="EV28" s="117">
        <f t="shared" si="55"/>
        <v>4080.1301276887557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-48522.98</v>
      </c>
    </row>
    <row r="29" spans="1:193" ht="15">
      <c r="A29" s="411" t="s">
        <v>401</v>
      </c>
      <c r="B29" s="203"/>
      <c r="C29" s="200"/>
      <c r="D29" s="423"/>
      <c r="E29" s="424">
        <f t="shared" si="0"/>
        <v>0</v>
      </c>
      <c r="F29" s="425">
        <f t="shared" si="1"/>
        <v>0</v>
      </c>
      <c r="G29" s="202" t="str">
        <f t="shared" si="2"/>
        <v/>
      </c>
      <c r="H29" s="429">
        <f t="shared" si="58"/>
        <v>0</v>
      </c>
      <c r="I29" s="430">
        <f t="shared" si="3"/>
        <v>0</v>
      </c>
      <c r="J29" s="62"/>
      <c r="K29" s="106">
        <f>IFERROR(+L29/$L$18-1,"")</f>
        <v>0.38423387072444593</v>
      </c>
      <c r="L29" s="553">
        <f t="shared" si="71"/>
        <v>4202.534031519418</v>
      </c>
      <c r="M29" s="453">
        <f t="shared" si="5"/>
        <v>-37373.25</v>
      </c>
      <c r="N29" s="453">
        <f t="shared" ca="1" si="6"/>
        <v>-48522.98</v>
      </c>
      <c r="O29" s="62"/>
      <c r="P29" s="198" t="str">
        <f t="shared" si="59"/>
        <v>-</v>
      </c>
      <c r="Q29" s="384">
        <f t="shared" si="69"/>
        <v>0</v>
      </c>
      <c r="R29" s="194"/>
      <c r="S29" s="414">
        <f t="shared" ca="1" si="60"/>
        <v>0</v>
      </c>
      <c r="T29" s="339" t="str">
        <f t="shared" si="73"/>
        <v/>
      </c>
      <c r="U29" s="339" t="str">
        <f t="shared" si="62"/>
        <v/>
      </c>
      <c r="V29" s="337">
        <f>IFERROR(VLOOKUP($U29,HomeBroker!$A$30:$F$60,2,0),0)</f>
        <v>0</v>
      </c>
      <c r="W29" s="417">
        <f>IFERROR(VLOOKUP($U29,HomeBroker!$A$30:$F$60,3,0),0)</f>
        <v>0</v>
      </c>
      <c r="X29" s="547">
        <f>IFERROR(VLOOKUP($U29,HomeBroker!$A$30:$F$60,6,0),0)</f>
        <v>0</v>
      </c>
      <c r="Y29" s="416">
        <f>IFERROR(VLOOKUP($U29,HomeBroker!$A$30:$F$60,4,0),0)</f>
        <v>0</v>
      </c>
      <c r="Z29" s="337">
        <f>IFERROR(VLOOKUP($U29,HomeBroker!$A$30:$F$60,5,0),0)</f>
        <v>0</v>
      </c>
      <c r="AA29" s="340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38">
        <f t="shared" ca="1" si="64"/>
        <v>0</v>
      </c>
      <c r="AF29" s="339" t="str">
        <f t="shared" si="74"/>
        <v/>
      </c>
      <c r="AG29" s="339" t="str">
        <f t="shared" si="75"/>
        <v/>
      </c>
      <c r="AH29" s="385">
        <f>IFERROR(VLOOKUP($AG29,HomeBroker!$A$30:$F$60,2,0),0)</f>
        <v>0</v>
      </c>
      <c r="AI29" s="417">
        <f>IFERROR(VLOOKUP($AG29,HomeBroker!$A$30:$F$60,3,0),0)</f>
        <v>0</v>
      </c>
      <c r="AJ29" s="547">
        <f>IFERROR(VLOOKUP($AG29,HomeBroker!$A$30:$F$60,6,0),0)</f>
        <v>0</v>
      </c>
      <c r="AK29" s="417">
        <f>IFERROR(VLOOKUP($AG29,HomeBroker!$A$30:$F$60,4,0),0)</f>
        <v>0</v>
      </c>
      <c r="AL29" s="385">
        <f>IFERROR(VLOOKUP($AG29,HomeBroker!$A$30:$F$60,5,0),0)</f>
        <v>0</v>
      </c>
      <c r="AM29" s="419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4">
        <f t="shared" si="11"/>
        <v>0</v>
      </c>
      <c r="AY29" s="215">
        <f t="shared" si="12"/>
        <v>0</v>
      </c>
      <c r="AZ29" s="114" t="s">
        <v>402</v>
      </c>
      <c r="BA29" s="112"/>
      <c r="BB29" s="129"/>
      <c r="BC29" s="115"/>
      <c r="BD29" s="216">
        <f t="shared" si="13"/>
        <v>0</v>
      </c>
      <c r="BE29" s="218">
        <f t="shared" si="14"/>
        <v>0</v>
      </c>
      <c r="BF29" s="116" t="s">
        <v>403</v>
      </c>
      <c r="BG29" s="112"/>
      <c r="BH29" s="115"/>
      <c r="BI29" s="219">
        <f t="shared" si="15"/>
        <v>0</v>
      </c>
      <c r="BJ29" s="220">
        <f t="shared" si="16"/>
        <v>0</v>
      </c>
      <c r="DE29" s="117">
        <f t="shared" si="17"/>
        <v>4202.534031519418</v>
      </c>
      <c r="DF29" s="118">
        <f t="shared" si="18"/>
        <v>5574.8693427196486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5574.8693427196486</v>
      </c>
      <c r="EQ29" s="119"/>
      <c r="ER29" s="126"/>
      <c r="ES29" s="122"/>
      <c r="ET29" s="123">
        <f t="shared" si="54"/>
        <v>-37373.25</v>
      </c>
      <c r="EU29" s="72"/>
      <c r="EV29" s="117">
        <f t="shared" si="55"/>
        <v>4202.534031519418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-48522.98</v>
      </c>
    </row>
    <row r="30" spans="1:193" ht="15">
      <c r="A30" s="411" t="s">
        <v>401</v>
      </c>
      <c r="B30" s="203"/>
      <c r="C30" s="200"/>
      <c r="D30" s="423"/>
      <c r="E30" s="424">
        <f t="shared" si="0"/>
        <v>0</v>
      </c>
      <c r="F30" s="425">
        <f t="shared" si="1"/>
        <v>0</v>
      </c>
      <c r="G30" s="202" t="str">
        <f t="shared" si="2"/>
        <v/>
      </c>
      <c r="H30" s="429">
        <f t="shared" si="58"/>
        <v>0</v>
      </c>
      <c r="I30" s="430">
        <f t="shared" si="3"/>
        <v>0</v>
      </c>
      <c r="J30" s="62"/>
      <c r="K30" s="106"/>
      <c r="L30" s="553">
        <f t="shared" si="71"/>
        <v>4328.610052465001</v>
      </c>
      <c r="M30" s="454">
        <f t="shared" si="5"/>
        <v>517361.25</v>
      </c>
      <c r="N30" s="454">
        <f t="shared" ca="1" si="6"/>
        <v>-48522.98</v>
      </c>
      <c r="O30" s="62"/>
      <c r="P30" s="198" t="str">
        <f t="shared" si="59"/>
        <v>-</v>
      </c>
      <c r="Q30" s="384">
        <f t="shared" si="69"/>
        <v>0</v>
      </c>
      <c r="R30" s="194"/>
      <c r="S30" s="414">
        <f t="shared" ca="1" si="60"/>
        <v>0</v>
      </c>
      <c r="T30" s="339" t="str">
        <f t="shared" si="73"/>
        <v/>
      </c>
      <c r="U30" s="339" t="str">
        <f t="shared" si="62"/>
        <v/>
      </c>
      <c r="V30" s="337">
        <f>IFERROR(VLOOKUP($U30,HomeBroker!$A$30:$F$60,2,0),0)</f>
        <v>0</v>
      </c>
      <c r="W30" s="417">
        <f>IFERROR(VLOOKUP($U30,HomeBroker!$A$30:$F$60,3,0),0)</f>
        <v>0</v>
      </c>
      <c r="X30" s="547">
        <f>IFERROR(VLOOKUP($U30,HomeBroker!$A$30:$F$60,6,0),0)</f>
        <v>0</v>
      </c>
      <c r="Y30" s="416">
        <f>IFERROR(VLOOKUP($U30,HomeBroker!$A$30:$F$60,4,0),0)</f>
        <v>0</v>
      </c>
      <c r="Z30" s="337">
        <f>IFERROR(VLOOKUP($U30,HomeBroker!$A$30:$F$60,5,0),0)</f>
        <v>0</v>
      </c>
      <c r="AA30" s="340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38">
        <f t="shared" ca="1" si="64"/>
        <v>0</v>
      </c>
      <c r="AF30" s="339" t="str">
        <f t="shared" si="74"/>
        <v/>
      </c>
      <c r="AG30" s="339" t="str">
        <f t="shared" si="75"/>
        <v/>
      </c>
      <c r="AH30" s="385">
        <f>IFERROR(VLOOKUP($AG30,HomeBroker!$A$30:$F$60,2,0),0)</f>
        <v>0</v>
      </c>
      <c r="AI30" s="417">
        <f>IFERROR(VLOOKUP($AG30,HomeBroker!$A$30:$F$60,3,0),0)</f>
        <v>0</v>
      </c>
      <c r="AJ30" s="547">
        <f>IFERROR(VLOOKUP($AG30,HomeBroker!$A$30:$F$60,6,0),0)</f>
        <v>0</v>
      </c>
      <c r="AK30" s="417">
        <f>IFERROR(VLOOKUP($AG30,HomeBroker!$A$30:$F$60,4,0),0)</f>
        <v>0</v>
      </c>
      <c r="AL30" s="385">
        <f>IFERROR(VLOOKUP($AG30,HomeBroker!$A$30:$F$60,5,0),0)</f>
        <v>0</v>
      </c>
      <c r="AM30" s="419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4">
        <f t="shared" si="11"/>
        <v>0</v>
      </c>
      <c r="AY30" s="215">
        <f t="shared" si="12"/>
        <v>0</v>
      </c>
      <c r="AZ30" s="114" t="s">
        <v>402</v>
      </c>
      <c r="BA30" s="112"/>
      <c r="BB30" s="129"/>
      <c r="BC30" s="115"/>
      <c r="BD30" s="216">
        <f t="shared" si="13"/>
        <v>0</v>
      </c>
      <c r="BE30" s="218">
        <f t="shared" si="14"/>
        <v>0</v>
      </c>
      <c r="BF30" s="116" t="s">
        <v>403</v>
      </c>
      <c r="BG30" s="112"/>
      <c r="BH30" s="115"/>
      <c r="BI30" s="219">
        <f t="shared" si="15"/>
        <v>0</v>
      </c>
      <c r="BJ30" s="220">
        <f t="shared" si="16"/>
        <v>0</v>
      </c>
      <c r="DE30" s="117">
        <f t="shared" si="17"/>
        <v>4328.610052465001</v>
      </c>
      <c r="DF30" s="118">
        <f t="shared" si="18"/>
        <v>282942.11542300216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282942.11542300216</v>
      </c>
      <c r="EQ30" s="119"/>
      <c r="ER30" s="126"/>
      <c r="ES30" s="122"/>
      <c r="ET30" s="123">
        <f t="shared" si="54"/>
        <v>517361.25</v>
      </c>
      <c r="EU30" s="72"/>
      <c r="EV30" s="117">
        <f t="shared" si="55"/>
        <v>4328.610052465001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-48522.98</v>
      </c>
    </row>
    <row r="31" spans="1:193" ht="15">
      <c r="A31" s="411" t="s">
        <v>401</v>
      </c>
      <c r="B31" s="203"/>
      <c r="C31" s="200"/>
      <c r="D31" s="423"/>
      <c r="E31" s="424">
        <f t="shared" si="0"/>
        <v>0</v>
      </c>
      <c r="F31" s="425">
        <f t="shared" si="1"/>
        <v>0</v>
      </c>
      <c r="G31" s="202" t="str">
        <f t="shared" si="2"/>
        <v/>
      </c>
      <c r="H31" s="429">
        <f t="shared" si="58"/>
        <v>0</v>
      </c>
      <c r="I31" s="430">
        <f t="shared" si="3"/>
        <v>0</v>
      </c>
      <c r="J31" s="62"/>
      <c r="K31" s="106"/>
      <c r="L31" s="553">
        <f t="shared" si="71"/>
        <v>4458.4683540389515</v>
      </c>
      <c r="M31" s="453">
        <f t="shared" si="5"/>
        <v>1088737.77</v>
      </c>
      <c r="N31" s="453">
        <f t="shared" ca="1" si="6"/>
        <v>-48522.98</v>
      </c>
      <c r="O31" s="62"/>
      <c r="P31" s="198" t="str">
        <f t="shared" si="59"/>
        <v>-</v>
      </c>
      <c r="Q31" s="384">
        <f t="shared" si="69"/>
        <v>0</v>
      </c>
      <c r="R31" s="194"/>
      <c r="S31" s="414">
        <f t="shared" ca="1" si="60"/>
        <v>0</v>
      </c>
      <c r="T31" s="339" t="str">
        <f t="shared" si="73"/>
        <v/>
      </c>
      <c r="U31" s="339" t="str">
        <f t="shared" si="62"/>
        <v/>
      </c>
      <c r="V31" s="337">
        <f>IFERROR(VLOOKUP($U31,HomeBroker!$A$30:$F$60,2,0),0)</f>
        <v>0</v>
      </c>
      <c r="W31" s="417">
        <f>IFERROR(VLOOKUP($U31,HomeBroker!$A$30:$F$60,3,0),0)</f>
        <v>0</v>
      </c>
      <c r="X31" s="547">
        <f>IFERROR(VLOOKUP($U31,HomeBroker!$A$30:$F$60,6,0),0)</f>
        <v>0</v>
      </c>
      <c r="Y31" s="416">
        <f>IFERROR(VLOOKUP($U31,HomeBroker!$A$30:$F$60,4,0),0)</f>
        <v>0</v>
      </c>
      <c r="Z31" s="337">
        <f>IFERROR(VLOOKUP($U31,HomeBroker!$A$30:$F$60,5,0),0)</f>
        <v>0</v>
      </c>
      <c r="AA31" s="340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38">
        <f t="shared" ca="1" si="64"/>
        <v>0</v>
      </c>
      <c r="AF31" s="339" t="str">
        <f t="shared" si="74"/>
        <v/>
      </c>
      <c r="AG31" s="339" t="str">
        <f t="shared" si="75"/>
        <v/>
      </c>
      <c r="AH31" s="385">
        <f>IFERROR(VLOOKUP($AG31,HomeBroker!$A$30:$F$60,2,0),0)</f>
        <v>0</v>
      </c>
      <c r="AI31" s="417">
        <f>IFERROR(VLOOKUP($AG31,HomeBroker!$A$30:$F$60,3,0),0)</f>
        <v>0</v>
      </c>
      <c r="AJ31" s="547">
        <f>IFERROR(VLOOKUP($AG31,HomeBroker!$A$30:$F$60,6,0),0)</f>
        <v>0</v>
      </c>
      <c r="AK31" s="417">
        <f>IFERROR(VLOOKUP($AG31,HomeBroker!$A$30:$F$60,4,0),0)</f>
        <v>0</v>
      </c>
      <c r="AL31" s="385">
        <f>IFERROR(VLOOKUP($AG31,HomeBroker!$A$30:$F$60,5,0),0)</f>
        <v>0</v>
      </c>
      <c r="AM31" s="419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4">
        <f t="shared" si="11"/>
        <v>0</v>
      </c>
      <c r="AY31" s="215">
        <f t="shared" si="12"/>
        <v>0</v>
      </c>
      <c r="AZ31" s="114" t="s">
        <v>402</v>
      </c>
      <c r="BA31" s="112"/>
      <c r="BB31" s="129"/>
      <c r="BC31" s="115"/>
      <c r="BD31" s="216">
        <f t="shared" si="13"/>
        <v>0</v>
      </c>
      <c r="BE31" s="218">
        <f t="shared" si="14"/>
        <v>0</v>
      </c>
      <c r="BF31" s="116" t="s">
        <v>403</v>
      </c>
      <c r="BG31" s="112"/>
      <c r="BH31" s="115"/>
      <c r="BI31" s="219">
        <f t="shared" si="15"/>
        <v>0</v>
      </c>
      <c r="BJ31" s="220">
        <f t="shared" si="16"/>
        <v>0</v>
      </c>
      <c r="DE31" s="117">
        <f t="shared" si="17"/>
        <v>4458.4683540389515</v>
      </c>
      <c r="DF31" s="118">
        <f t="shared" si="18"/>
        <v>568630.37888569327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568630.37888569327</v>
      </c>
      <c r="EQ31" s="119"/>
      <c r="ER31" s="126"/>
      <c r="ES31" s="122"/>
      <c r="ET31" s="123">
        <f t="shared" si="54"/>
        <v>1088737.77</v>
      </c>
      <c r="EU31" s="72"/>
      <c r="EV31" s="117">
        <f t="shared" si="55"/>
        <v>4458.4683540389515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-48522.98</v>
      </c>
    </row>
    <row r="32" spans="1:193" ht="15">
      <c r="A32" s="411" t="s">
        <v>401</v>
      </c>
      <c r="B32" s="203"/>
      <c r="C32" s="200"/>
      <c r="D32" s="423"/>
      <c r="E32" s="424">
        <f t="shared" si="0"/>
        <v>0</v>
      </c>
      <c r="F32" s="425">
        <f t="shared" si="1"/>
        <v>0</v>
      </c>
      <c r="G32" s="202" t="str">
        <f t="shared" si="2"/>
        <v/>
      </c>
      <c r="H32" s="429">
        <f t="shared" si="58"/>
        <v>0</v>
      </c>
      <c r="I32" s="430">
        <f t="shared" si="3"/>
        <v>0</v>
      </c>
      <c r="J32" s="62"/>
      <c r="K32" s="106"/>
      <c r="L32" s="553">
        <f t="shared" si="71"/>
        <v>4592.2224046601204</v>
      </c>
      <c r="M32" s="453">
        <f t="shared" si="5"/>
        <v>1677255.6</v>
      </c>
      <c r="N32" s="453">
        <f t="shared" ca="1" si="6"/>
        <v>-48522.98</v>
      </c>
      <c r="O32" s="62"/>
      <c r="P32" s="198" t="str">
        <f t="shared" si="59"/>
        <v>-</v>
      </c>
      <c r="Q32" s="384">
        <f t="shared" si="69"/>
        <v>0</v>
      </c>
      <c r="R32" s="194"/>
      <c r="S32" s="414">
        <f t="shared" ca="1" si="60"/>
        <v>0</v>
      </c>
      <c r="T32" s="339" t="str">
        <f t="shared" si="73"/>
        <v/>
      </c>
      <c r="U32" s="339" t="str">
        <f t="shared" si="62"/>
        <v/>
      </c>
      <c r="V32" s="337">
        <f>IFERROR(VLOOKUP($U32,HomeBroker!$A$30:$F$60,2,0),0)</f>
        <v>0</v>
      </c>
      <c r="W32" s="417">
        <f>IFERROR(VLOOKUP($U32,HomeBroker!$A$30:$F$60,3,0),0)</f>
        <v>0</v>
      </c>
      <c r="X32" s="547">
        <f>IFERROR(VLOOKUP($U32,HomeBroker!$A$30:$F$60,6,0),0)</f>
        <v>0</v>
      </c>
      <c r="Y32" s="416">
        <f>IFERROR(VLOOKUP($U32,HomeBroker!$A$30:$F$60,4,0),0)</f>
        <v>0</v>
      </c>
      <c r="Z32" s="337">
        <f>IFERROR(VLOOKUP($U32,HomeBroker!$A$30:$F$60,5,0),0)</f>
        <v>0</v>
      </c>
      <c r="AA32" s="340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38">
        <f t="shared" ca="1" si="64"/>
        <v>0</v>
      </c>
      <c r="AF32" s="339" t="str">
        <f t="shared" si="74"/>
        <v/>
      </c>
      <c r="AG32" s="339" t="str">
        <f t="shared" si="75"/>
        <v/>
      </c>
      <c r="AH32" s="385">
        <f>IFERROR(VLOOKUP($AG32,HomeBroker!$A$30:$F$60,2,0),0)</f>
        <v>0</v>
      </c>
      <c r="AI32" s="417">
        <f>IFERROR(VLOOKUP($AG32,HomeBroker!$A$30:$F$60,3,0),0)</f>
        <v>0</v>
      </c>
      <c r="AJ32" s="547">
        <f>IFERROR(VLOOKUP($AG32,HomeBroker!$A$30:$F$60,6,0),0)</f>
        <v>0</v>
      </c>
      <c r="AK32" s="417">
        <f>IFERROR(VLOOKUP($AG32,HomeBroker!$A$30:$F$60,4,0),0)</f>
        <v>0</v>
      </c>
      <c r="AL32" s="385">
        <f>IFERROR(VLOOKUP($AG32,HomeBroker!$A$30:$F$60,5,0),0)</f>
        <v>0</v>
      </c>
      <c r="AM32" s="419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4">
        <f t="shared" si="11"/>
        <v>0</v>
      </c>
      <c r="AY32" s="215">
        <f t="shared" si="12"/>
        <v>0</v>
      </c>
      <c r="AZ32" s="114" t="s">
        <v>402</v>
      </c>
      <c r="BA32" s="112"/>
      <c r="BB32" s="129"/>
      <c r="BC32" s="115"/>
      <c r="BD32" s="216">
        <f t="shared" si="13"/>
        <v>0</v>
      </c>
      <c r="BE32" s="218">
        <f t="shared" si="14"/>
        <v>0</v>
      </c>
      <c r="BF32" s="116" t="s">
        <v>403</v>
      </c>
      <c r="BG32" s="112"/>
      <c r="BH32" s="115"/>
      <c r="BI32" s="219">
        <f t="shared" si="15"/>
        <v>0</v>
      </c>
      <c r="BJ32" s="220">
        <f t="shared" si="16"/>
        <v>0</v>
      </c>
      <c r="DE32" s="117">
        <f t="shared" si="17"/>
        <v>4592.2224046601204</v>
      </c>
      <c r="DF32" s="118">
        <f t="shared" si="18"/>
        <v>862889.29025226494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862889.29025226494</v>
      </c>
      <c r="EQ32" s="119"/>
      <c r="ER32" s="126"/>
      <c r="ES32" s="122"/>
      <c r="ET32" s="123">
        <f t="shared" si="54"/>
        <v>1677255.6</v>
      </c>
      <c r="EU32" s="72"/>
      <c r="EV32" s="117">
        <f t="shared" si="55"/>
        <v>4592.2224046601204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-48522.98</v>
      </c>
    </row>
    <row r="33" spans="1:193" ht="15">
      <c r="A33" s="411" t="s">
        <v>401</v>
      </c>
      <c r="B33" s="203"/>
      <c r="C33" s="200"/>
      <c r="D33" s="423"/>
      <c r="E33" s="424">
        <f t="shared" si="0"/>
        <v>0</v>
      </c>
      <c r="F33" s="425">
        <f t="shared" si="1"/>
        <v>0</v>
      </c>
      <c r="G33" s="202" t="str">
        <f t="shared" si="2"/>
        <v/>
      </c>
      <c r="H33" s="429">
        <f t="shared" si="58"/>
        <v>0</v>
      </c>
      <c r="I33" s="430">
        <f t="shared" si="3"/>
        <v>0</v>
      </c>
      <c r="J33" s="62"/>
      <c r="K33" s="106"/>
      <c r="L33" s="553">
        <f t="shared" si="71"/>
        <v>4729.9890767999241</v>
      </c>
      <c r="M33" s="454">
        <f t="shared" si="5"/>
        <v>2283428.9500000002</v>
      </c>
      <c r="N33" s="454">
        <f t="shared" ca="1" si="6"/>
        <v>-48522.98</v>
      </c>
      <c r="O33" s="62"/>
      <c r="P33" s="198" t="str">
        <f t="shared" si="59"/>
        <v>-</v>
      </c>
      <c r="Q33" s="384">
        <f t="shared" si="69"/>
        <v>0</v>
      </c>
      <c r="R33" s="194"/>
      <c r="S33" s="414">
        <f t="shared" ca="1" si="60"/>
        <v>0</v>
      </c>
      <c r="T33" s="339" t="str">
        <f t="shared" si="73"/>
        <v/>
      </c>
      <c r="U33" s="339" t="str">
        <f t="shared" si="62"/>
        <v/>
      </c>
      <c r="V33" s="337">
        <f>IFERROR(VLOOKUP($U33,HomeBroker!$A$30:$F$60,2,0),0)</f>
        <v>0</v>
      </c>
      <c r="W33" s="417">
        <f>IFERROR(VLOOKUP($U33,HomeBroker!$A$30:$F$60,3,0),0)</f>
        <v>0</v>
      </c>
      <c r="X33" s="547">
        <f>IFERROR(VLOOKUP($U33,HomeBroker!$A$30:$F$60,6,0),0)</f>
        <v>0</v>
      </c>
      <c r="Y33" s="416">
        <f>IFERROR(VLOOKUP($U33,HomeBroker!$A$30:$F$60,4,0),0)</f>
        <v>0</v>
      </c>
      <c r="Z33" s="337">
        <f>IFERROR(VLOOKUP($U33,HomeBroker!$A$30:$F$60,5,0),0)</f>
        <v>0</v>
      </c>
      <c r="AA33" s="340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38">
        <f t="shared" ca="1" si="64"/>
        <v>0</v>
      </c>
      <c r="AF33" s="339" t="str">
        <f t="shared" si="74"/>
        <v/>
      </c>
      <c r="AG33" s="339" t="str">
        <f t="shared" si="75"/>
        <v/>
      </c>
      <c r="AH33" s="385">
        <f>IFERROR(VLOOKUP($AG33,HomeBroker!$A$30:$F$60,2,0),0)</f>
        <v>0</v>
      </c>
      <c r="AI33" s="417">
        <f>IFERROR(VLOOKUP($AG33,HomeBroker!$A$30:$F$60,3,0),0)</f>
        <v>0</v>
      </c>
      <c r="AJ33" s="547">
        <f>IFERROR(VLOOKUP($AG33,HomeBroker!$A$30:$F$60,6,0),0)</f>
        <v>0</v>
      </c>
      <c r="AK33" s="417">
        <f>IFERROR(VLOOKUP($AG33,HomeBroker!$A$30:$F$60,4,0),0)</f>
        <v>0</v>
      </c>
      <c r="AL33" s="385">
        <f>IFERROR(VLOOKUP($AG33,HomeBroker!$A$30:$F$60,5,0),0)</f>
        <v>0</v>
      </c>
      <c r="AM33" s="419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4">
        <f t="shared" si="11"/>
        <v>0</v>
      </c>
      <c r="AY33" s="215">
        <f t="shared" si="12"/>
        <v>0</v>
      </c>
      <c r="AZ33" s="114" t="s">
        <v>402</v>
      </c>
      <c r="BA33" s="112"/>
      <c r="BB33" s="129"/>
      <c r="BC33" s="115"/>
      <c r="BD33" s="216">
        <f t="shared" si="13"/>
        <v>0</v>
      </c>
      <c r="BE33" s="218">
        <f t="shared" si="14"/>
        <v>0</v>
      </c>
      <c r="BF33" s="116" t="s">
        <v>403</v>
      </c>
      <c r="BG33" s="112"/>
      <c r="BH33" s="115"/>
      <c r="BI33" s="219">
        <f t="shared" si="15"/>
        <v>0</v>
      </c>
      <c r="BJ33" s="220">
        <f t="shared" si="16"/>
        <v>0</v>
      </c>
      <c r="DE33" s="117">
        <f t="shared" si="17"/>
        <v>4729.9890767999241</v>
      </c>
      <c r="DF33" s="118">
        <f t="shared" si="18"/>
        <v>1165975.968959833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1165975.968959833</v>
      </c>
      <c r="EQ33" s="119"/>
      <c r="ER33" s="126"/>
      <c r="ES33" s="122"/>
      <c r="ET33" s="123">
        <f t="shared" si="54"/>
        <v>2283428.9500000002</v>
      </c>
      <c r="EU33" s="72"/>
      <c r="EV33" s="117">
        <f t="shared" si="55"/>
        <v>4729.9890767999241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-48522.98</v>
      </c>
    </row>
    <row r="34" spans="1:193" ht="15.75" thickBot="1">
      <c r="A34" s="411" t="s">
        <v>401</v>
      </c>
      <c r="B34" s="203"/>
      <c r="C34" s="200"/>
      <c r="D34" s="423"/>
      <c r="E34" s="424">
        <f t="shared" si="0"/>
        <v>0</v>
      </c>
      <c r="F34" s="425">
        <f t="shared" si="1"/>
        <v>0</v>
      </c>
      <c r="G34" s="202" t="str">
        <f t="shared" si="2"/>
        <v/>
      </c>
      <c r="H34" s="429">
        <f t="shared" si="58"/>
        <v>0</v>
      </c>
      <c r="I34" s="430">
        <f t="shared" si="3"/>
        <v>0</v>
      </c>
      <c r="J34" s="62"/>
      <c r="K34" s="133"/>
      <c r="L34" s="554">
        <f t="shared" si="71"/>
        <v>4871.8887491039222</v>
      </c>
      <c r="M34" s="455">
        <f t="shared" si="5"/>
        <v>2907787.51</v>
      </c>
      <c r="N34" s="455">
        <f t="shared" ca="1" si="6"/>
        <v>-48522.98</v>
      </c>
      <c r="O34" s="134"/>
      <c r="P34" s="198" t="str">
        <f t="shared" si="59"/>
        <v>-</v>
      </c>
      <c r="Q34" s="384">
        <f t="shared" si="69"/>
        <v>0</v>
      </c>
      <c r="R34" s="194"/>
      <c r="S34" s="414">
        <f t="shared" ca="1" si="60"/>
        <v>0</v>
      </c>
      <c r="T34" s="339" t="str">
        <f t="shared" si="73"/>
        <v/>
      </c>
      <c r="U34" s="339" t="str">
        <f t="shared" si="62"/>
        <v/>
      </c>
      <c r="V34" s="337">
        <f>IFERROR(VLOOKUP($U34,HomeBroker!$A$30:$F$60,2,0),0)</f>
        <v>0</v>
      </c>
      <c r="W34" s="417">
        <f>IFERROR(VLOOKUP($U34,HomeBroker!$A$30:$F$60,3,0),0)</f>
        <v>0</v>
      </c>
      <c r="X34" s="547">
        <f>IFERROR(VLOOKUP($U34,HomeBroker!$A$30:$F$60,6,0),0)</f>
        <v>0</v>
      </c>
      <c r="Y34" s="416">
        <f>IFERROR(VLOOKUP($U34,HomeBroker!$A$30:$F$60,4,0),0)</f>
        <v>0</v>
      </c>
      <c r="Z34" s="337">
        <f>IFERROR(VLOOKUP($U34,HomeBroker!$A$30:$F$60,5,0),0)</f>
        <v>0</v>
      </c>
      <c r="AA34" s="340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38">
        <f t="shared" ca="1" si="64"/>
        <v>0</v>
      </c>
      <c r="AF34" s="339" t="str">
        <f t="shared" si="74"/>
        <v/>
      </c>
      <c r="AG34" s="339" t="str">
        <f t="shared" si="75"/>
        <v/>
      </c>
      <c r="AH34" s="385">
        <f>IFERROR(VLOOKUP($AG34,HomeBroker!$A$30:$F$60,2,0),0)</f>
        <v>0</v>
      </c>
      <c r="AI34" s="417">
        <f>IFERROR(VLOOKUP($AG34,HomeBroker!$A$30:$F$60,3,0),0)</f>
        <v>0</v>
      </c>
      <c r="AJ34" s="547">
        <f>IFERROR(VLOOKUP($AG34,HomeBroker!$A$30:$F$60,6,0),0)</f>
        <v>0</v>
      </c>
      <c r="AK34" s="417">
        <f>IFERROR(VLOOKUP($AG34,HomeBroker!$A$30:$F$60,4,0),0)</f>
        <v>0</v>
      </c>
      <c r="AL34" s="385">
        <f>IFERROR(VLOOKUP($AG34,HomeBroker!$A$30:$F$60,5,0),0)</f>
        <v>0</v>
      </c>
      <c r="AM34" s="419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4">
        <f t="shared" si="11"/>
        <v>0</v>
      </c>
      <c r="AY34" s="215">
        <f t="shared" si="12"/>
        <v>0</v>
      </c>
      <c r="AZ34" s="114" t="s">
        <v>402</v>
      </c>
      <c r="BA34" s="112"/>
      <c r="BB34" s="129"/>
      <c r="BC34" s="115"/>
      <c r="BD34" s="216">
        <f t="shared" si="13"/>
        <v>0</v>
      </c>
      <c r="BE34" s="218">
        <f t="shared" si="14"/>
        <v>0</v>
      </c>
      <c r="BF34" s="116" t="s">
        <v>403</v>
      </c>
      <c r="BG34" s="112"/>
      <c r="BH34" s="115"/>
      <c r="BI34" s="219">
        <f t="shared" si="15"/>
        <v>0</v>
      </c>
      <c r="BJ34" s="220">
        <f t="shared" si="16"/>
        <v>0</v>
      </c>
      <c r="DE34" s="117">
        <f t="shared" si="17"/>
        <v>4871.8887491039222</v>
      </c>
      <c r="DF34" s="118">
        <f t="shared" si="18"/>
        <v>1478155.248028629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1478155.248028629</v>
      </c>
      <c r="EQ34" s="119"/>
      <c r="ER34" s="135"/>
      <c r="ES34" s="136"/>
      <c r="ET34" s="137">
        <f t="shared" si="54"/>
        <v>2907787.51</v>
      </c>
      <c r="EU34" s="72"/>
      <c r="EV34" s="117">
        <f t="shared" si="55"/>
        <v>4871.8887491039222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-48522.98</v>
      </c>
    </row>
    <row r="35" spans="1:193" ht="15">
      <c r="A35" s="411" t="s">
        <v>401</v>
      </c>
      <c r="B35" s="203"/>
      <c r="C35" s="200"/>
      <c r="D35" s="423"/>
      <c r="E35" s="424">
        <f t="shared" si="0"/>
        <v>0</v>
      </c>
      <c r="F35" s="425">
        <f t="shared" ref="F35:F66" si="76">IF(B35&gt;0,+B35*D35*(1+($N$53+0.002)*1.21)*-100,B35*D35*(1-($N$53+0.002)*1.21)*-100)</f>
        <v>0</v>
      </c>
      <c r="G35" s="202" t="str">
        <f t="shared" si="2"/>
        <v/>
      </c>
      <c r="H35" s="429">
        <f t="shared" si="58"/>
        <v>0</v>
      </c>
      <c r="I35" s="430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384">
        <f t="shared" si="69"/>
        <v>0</v>
      </c>
      <c r="R35" s="194"/>
      <c r="S35" s="414">
        <f t="shared" ca="1" si="60"/>
        <v>0</v>
      </c>
      <c r="T35" s="339" t="str">
        <f t="shared" si="73"/>
        <v/>
      </c>
      <c r="U35" s="339" t="str">
        <f t="shared" si="62"/>
        <v/>
      </c>
      <c r="V35" s="337">
        <f>IFERROR(VLOOKUP($U35,HomeBroker!$A$30:$F$60,2,0),0)</f>
        <v>0</v>
      </c>
      <c r="W35" s="417">
        <f>IFERROR(VLOOKUP($U35,HomeBroker!$A$30:$F$60,3,0),0)</f>
        <v>0</v>
      </c>
      <c r="X35" s="547">
        <f>IFERROR(VLOOKUP($U35,HomeBroker!$A$30:$F$60,6,0),0)</f>
        <v>0</v>
      </c>
      <c r="Y35" s="416">
        <f>IFERROR(VLOOKUP($U35,HomeBroker!$A$30:$F$60,4,0),0)</f>
        <v>0</v>
      </c>
      <c r="Z35" s="337">
        <f>IFERROR(VLOOKUP($U35,HomeBroker!$A$30:$F$60,5,0),0)</f>
        <v>0</v>
      </c>
      <c r="AA35" s="340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38">
        <f t="shared" ca="1" si="64"/>
        <v>0</v>
      </c>
      <c r="AF35" s="339" t="str">
        <f t="shared" si="74"/>
        <v/>
      </c>
      <c r="AG35" s="339" t="str">
        <f t="shared" si="75"/>
        <v/>
      </c>
      <c r="AH35" s="385">
        <f>IFERROR(VLOOKUP($AG35,HomeBroker!$A$30:$F$60,2,0),0)</f>
        <v>0</v>
      </c>
      <c r="AI35" s="417">
        <f>IFERROR(VLOOKUP($AG35,HomeBroker!$A$30:$F$60,3,0),0)</f>
        <v>0</v>
      </c>
      <c r="AJ35" s="547">
        <f>IFERROR(VLOOKUP($AG35,HomeBroker!$A$30:$F$60,6,0),0)</f>
        <v>0</v>
      </c>
      <c r="AK35" s="417">
        <f>IFERROR(VLOOKUP($AG35,HomeBroker!$A$30:$F$60,4,0),0)</f>
        <v>0</v>
      </c>
      <c r="AL35" s="385">
        <f>IFERROR(VLOOKUP($AG35,HomeBroker!$A$30:$F$60,5,0),0)</f>
        <v>0</v>
      </c>
      <c r="AM35" s="419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4">
        <f t="shared" si="11"/>
        <v>0</v>
      </c>
      <c r="AY35" s="215">
        <f t="shared" si="12"/>
        <v>0</v>
      </c>
      <c r="AZ35" s="114" t="s">
        <v>402</v>
      </c>
      <c r="BA35" s="112"/>
      <c r="BB35" s="129"/>
      <c r="BC35" s="115"/>
      <c r="BD35" s="216">
        <f t="shared" si="13"/>
        <v>0</v>
      </c>
      <c r="BE35" s="218">
        <f t="shared" si="14"/>
        <v>0</v>
      </c>
      <c r="BF35" s="116" t="s">
        <v>403</v>
      </c>
      <c r="BG35" s="112"/>
      <c r="BH35" s="115"/>
      <c r="BI35" s="219">
        <f t="shared" si="15"/>
        <v>0</v>
      </c>
      <c r="BJ35" s="220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11" t="s">
        <v>401</v>
      </c>
      <c r="B36" s="203"/>
      <c r="C36" s="200"/>
      <c r="D36" s="423"/>
      <c r="E36" s="424">
        <f t="shared" si="0"/>
        <v>0</v>
      </c>
      <c r="F36" s="425">
        <f t="shared" si="76"/>
        <v>0</v>
      </c>
      <c r="G36" s="202" t="str">
        <f t="shared" si="2"/>
        <v/>
      </c>
      <c r="H36" s="429">
        <f t="shared" si="58"/>
        <v>0</v>
      </c>
      <c r="I36" s="430">
        <f t="shared" si="3"/>
        <v>0</v>
      </c>
      <c r="J36" s="62"/>
      <c r="K36" s="866" t="s">
        <v>442</v>
      </c>
      <c r="L36" s="845"/>
      <c r="M36" s="846"/>
      <c r="N36" s="401">
        <f>SUM(AY:AY)+SUM(BE:BE)+SUM(BJ:BJ)+$F$76</f>
        <v>-48522.984399999994</v>
      </c>
      <c r="O36" s="62"/>
      <c r="P36" s="198" t="str">
        <f t="shared" si="59"/>
        <v>-</v>
      </c>
      <c r="Q36" s="384">
        <f t="shared" si="69"/>
        <v>0</v>
      </c>
      <c r="R36" s="194"/>
      <c r="S36" s="414">
        <f t="shared" ca="1" si="60"/>
        <v>0</v>
      </c>
      <c r="T36" s="339" t="str">
        <f t="shared" si="73"/>
        <v/>
      </c>
      <c r="U36" s="339" t="str">
        <f t="shared" si="62"/>
        <v/>
      </c>
      <c r="V36" s="337">
        <f>IFERROR(VLOOKUP($U36,HomeBroker!$A$30:$F$60,2,0),0)</f>
        <v>0</v>
      </c>
      <c r="W36" s="417">
        <f>IFERROR(VLOOKUP($U36,HomeBroker!$A$30:$F$60,3,0),0)</f>
        <v>0</v>
      </c>
      <c r="X36" s="547">
        <f>IFERROR(VLOOKUP($U36,HomeBroker!$A$30:$F$60,6,0),0)</f>
        <v>0</v>
      </c>
      <c r="Y36" s="416">
        <f>IFERROR(VLOOKUP($U36,HomeBroker!$A$30:$F$60,4,0),0)</f>
        <v>0</v>
      </c>
      <c r="Z36" s="337">
        <f>IFERROR(VLOOKUP($U36,HomeBroker!$A$30:$F$60,5,0),0)</f>
        <v>0</v>
      </c>
      <c r="AA36" s="340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38">
        <f t="shared" ca="1" si="64"/>
        <v>0</v>
      </c>
      <c r="AF36" s="339" t="str">
        <f t="shared" si="74"/>
        <v/>
      </c>
      <c r="AG36" s="339" t="str">
        <f t="shared" si="75"/>
        <v/>
      </c>
      <c r="AH36" s="385">
        <f>IFERROR(VLOOKUP($AG36,HomeBroker!$A$30:$F$60,2,0),0)</f>
        <v>0</v>
      </c>
      <c r="AI36" s="417">
        <f>IFERROR(VLOOKUP($AG36,HomeBroker!$A$30:$F$60,3,0),0)</f>
        <v>0</v>
      </c>
      <c r="AJ36" s="547">
        <f>IFERROR(VLOOKUP($AG36,HomeBroker!$A$30:$F$60,6,0),0)</f>
        <v>0</v>
      </c>
      <c r="AK36" s="417">
        <f>IFERROR(VLOOKUP($AG36,HomeBroker!$A$30:$F$60,4,0),0)</f>
        <v>0</v>
      </c>
      <c r="AL36" s="385">
        <f>IFERROR(VLOOKUP($AG36,HomeBroker!$A$30:$F$60,5,0),0)</f>
        <v>0</v>
      </c>
      <c r="AM36" s="419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4">
        <f t="shared" si="11"/>
        <v>0</v>
      </c>
      <c r="AY36" s="215">
        <f t="shared" si="12"/>
        <v>0</v>
      </c>
      <c r="AZ36" s="114" t="s">
        <v>402</v>
      </c>
      <c r="BA36" s="112"/>
      <c r="BB36" s="129"/>
      <c r="BC36" s="115"/>
      <c r="BD36" s="216">
        <f t="shared" si="13"/>
        <v>0</v>
      </c>
      <c r="BE36" s="218">
        <f t="shared" si="14"/>
        <v>0</v>
      </c>
      <c r="BF36" s="116" t="s">
        <v>403</v>
      </c>
      <c r="BG36" s="112"/>
      <c r="BH36" s="115"/>
      <c r="BI36" s="219">
        <f t="shared" si="15"/>
        <v>0</v>
      </c>
      <c r="BJ36" s="220">
        <f t="shared" si="16"/>
        <v>0</v>
      </c>
      <c r="DE36" s="117">
        <f t="shared" ref="DE36:DE67" si="77">DE3</f>
        <v>1922.5506102192917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1922.5506102192917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12" t="s">
        <v>401</v>
      </c>
      <c r="B37" s="403"/>
      <c r="C37" s="404"/>
      <c r="D37" s="426"/>
      <c r="E37" s="427">
        <f t="shared" si="0"/>
        <v>0</v>
      </c>
      <c r="F37" s="428">
        <f t="shared" si="76"/>
        <v>0</v>
      </c>
      <c r="G37" s="405" t="str">
        <f t="shared" si="2"/>
        <v/>
      </c>
      <c r="H37" s="431">
        <f t="shared" si="58"/>
        <v>0</v>
      </c>
      <c r="I37" s="428">
        <f t="shared" si="3"/>
        <v>0</v>
      </c>
      <c r="J37" s="62"/>
      <c r="K37" s="866" t="s">
        <v>443</v>
      </c>
      <c r="L37" s="845"/>
      <c r="M37" s="846"/>
      <c r="N37" s="402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48717.015600000021</v>
      </c>
      <c r="O37" s="62"/>
      <c r="P37" s="198" t="str">
        <f t="shared" si="59"/>
        <v>-</v>
      </c>
      <c r="Q37" s="384">
        <f t="shared" si="69"/>
        <v>0</v>
      </c>
      <c r="R37" s="194"/>
      <c r="S37" s="414">
        <f t="shared" ca="1" si="60"/>
        <v>0</v>
      </c>
      <c r="T37" s="339" t="str">
        <f t="shared" si="73"/>
        <v/>
      </c>
      <c r="U37" s="339" t="str">
        <f t="shared" si="62"/>
        <v/>
      </c>
      <c r="V37" s="337">
        <f>IFERROR(VLOOKUP($U37,HomeBroker!$A$30:$F$60,2,0),0)</f>
        <v>0</v>
      </c>
      <c r="W37" s="417">
        <f>IFERROR(VLOOKUP($U37,HomeBroker!$A$30:$F$60,3,0),0)</f>
        <v>0</v>
      </c>
      <c r="X37" s="547">
        <f>IFERROR(VLOOKUP($U37,HomeBroker!$A$30:$F$60,6,0),0)</f>
        <v>0</v>
      </c>
      <c r="Y37" s="416">
        <f>IFERROR(VLOOKUP($U37,HomeBroker!$A$30:$F$60,4,0),0)</f>
        <v>0</v>
      </c>
      <c r="Z37" s="337">
        <f>IFERROR(VLOOKUP($U37,HomeBroker!$A$30:$F$60,5,0),0)</f>
        <v>0</v>
      </c>
      <c r="AA37" s="340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38">
        <f t="shared" ca="1" si="64"/>
        <v>0</v>
      </c>
      <c r="AF37" s="339" t="str">
        <f t="shared" si="74"/>
        <v/>
      </c>
      <c r="AG37" s="339" t="str">
        <f t="shared" si="75"/>
        <v/>
      </c>
      <c r="AH37" s="385">
        <f>IFERROR(VLOOKUP($AG37,HomeBroker!$A$30:$F$60,2,0),0)</f>
        <v>0</v>
      </c>
      <c r="AI37" s="417">
        <f>IFERROR(VLOOKUP($AG37,HomeBroker!$A$30:$F$60,3,0),0)</f>
        <v>0</v>
      </c>
      <c r="AJ37" s="547">
        <f>IFERROR(VLOOKUP($AG37,HomeBroker!$A$30:$F$60,6,0),0)</f>
        <v>0</v>
      </c>
      <c r="AK37" s="417">
        <f>IFERROR(VLOOKUP($AG37,HomeBroker!$A$30:$F$60,4,0),0)</f>
        <v>0</v>
      </c>
      <c r="AL37" s="385">
        <f>IFERROR(VLOOKUP($AG37,HomeBroker!$A$30:$F$60,5,0),0)</f>
        <v>0</v>
      </c>
      <c r="AM37" s="419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4">
        <f t="shared" si="11"/>
        <v>0</v>
      </c>
      <c r="AY37" s="215">
        <f t="shared" si="12"/>
        <v>0</v>
      </c>
      <c r="AZ37" s="114" t="s">
        <v>402</v>
      </c>
      <c r="BA37" s="112"/>
      <c r="BB37" s="129"/>
      <c r="BC37" s="115"/>
      <c r="BD37" s="216">
        <f t="shared" si="13"/>
        <v>0</v>
      </c>
      <c r="BE37" s="218">
        <f t="shared" si="14"/>
        <v>0</v>
      </c>
      <c r="BF37" s="116" t="s">
        <v>403</v>
      </c>
      <c r="BG37" s="112"/>
      <c r="BH37" s="115"/>
      <c r="BI37" s="219">
        <f t="shared" si="15"/>
        <v>0</v>
      </c>
      <c r="BJ37" s="220">
        <f t="shared" si="16"/>
        <v>0</v>
      </c>
      <c r="DE37" s="117">
        <f t="shared" si="77"/>
        <v>1982.0109383704039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1982.0109383704039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13" t="s">
        <v>401</v>
      </c>
      <c r="B38" s="144"/>
      <c r="C38" s="200"/>
      <c r="D38" s="201"/>
      <c r="E38" s="432">
        <f t="shared" si="0"/>
        <v>0</v>
      </c>
      <c r="F38" s="433">
        <f t="shared" si="76"/>
        <v>0</v>
      </c>
      <c r="G38" s="202" t="str">
        <f>IFERROR(VLOOKUP(C38,$AD$3:$AM$50,7,0),"")</f>
        <v/>
      </c>
      <c r="H38" s="442">
        <f t="shared" si="58"/>
        <v>0</v>
      </c>
      <c r="I38" s="443">
        <f t="shared" si="3"/>
        <v>0</v>
      </c>
      <c r="J38" s="62"/>
      <c r="K38" s="867" t="s">
        <v>444</v>
      </c>
      <c r="L38" s="845"/>
      <c r="M38" s="846"/>
      <c r="N38" s="145">
        <f>SUM(Q3:Q42)</f>
        <v>22</v>
      </c>
      <c r="O38" s="62"/>
      <c r="P38" s="198" t="str">
        <f t="shared" si="59"/>
        <v>-</v>
      </c>
      <c r="Q38" s="384">
        <f t="shared" si="69"/>
        <v>0</v>
      </c>
      <c r="R38" s="194"/>
      <c r="S38" s="414">
        <f t="shared" ca="1" si="60"/>
        <v>0</v>
      </c>
      <c r="T38" s="339" t="str">
        <f t="shared" si="73"/>
        <v/>
      </c>
      <c r="U38" s="339" t="str">
        <f t="shared" si="62"/>
        <v/>
      </c>
      <c r="V38" s="337">
        <f>IFERROR(VLOOKUP($U38,HomeBroker!$A$30:$F$60,2,0),0)</f>
        <v>0</v>
      </c>
      <c r="W38" s="417">
        <f>IFERROR(VLOOKUP($U38,HomeBroker!$A$30:$F$60,3,0),0)</f>
        <v>0</v>
      </c>
      <c r="X38" s="547">
        <f>IFERROR(VLOOKUP($U38,HomeBroker!$A$30:$F$60,6,0),0)</f>
        <v>0</v>
      </c>
      <c r="Y38" s="416">
        <f>IFERROR(VLOOKUP($U38,HomeBroker!$A$30:$F$60,4,0),0)</f>
        <v>0</v>
      </c>
      <c r="Z38" s="337">
        <f>IFERROR(VLOOKUP($U38,HomeBroker!$A$30:$F$60,5,0),0)</f>
        <v>0</v>
      </c>
      <c r="AA38" s="340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38">
        <f t="shared" ca="1" si="64"/>
        <v>0</v>
      </c>
      <c r="AF38" s="339" t="str">
        <f t="shared" si="74"/>
        <v/>
      </c>
      <c r="AG38" s="339" t="str">
        <f t="shared" si="75"/>
        <v/>
      </c>
      <c r="AH38" s="385">
        <f>IFERROR(VLOOKUP($AG38,HomeBroker!$A$30:$F$60,2,0),0)</f>
        <v>0</v>
      </c>
      <c r="AI38" s="417">
        <f>IFERROR(VLOOKUP($AG38,HomeBroker!$A$30:$F$60,3,0),0)</f>
        <v>0</v>
      </c>
      <c r="AJ38" s="547">
        <f>IFERROR(VLOOKUP($AG38,HomeBroker!$A$30:$F$60,6,0),0)</f>
        <v>0</v>
      </c>
      <c r="AK38" s="417">
        <f>IFERROR(VLOOKUP($AG38,HomeBroker!$A$30:$F$60,4,0),0)</f>
        <v>0</v>
      </c>
      <c r="AL38" s="385">
        <f>IFERROR(VLOOKUP($AG38,HomeBroker!$A$30:$F$60,5,0),0)</f>
        <v>0</v>
      </c>
      <c r="AM38" s="419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4">
        <f t="shared" si="11"/>
        <v>0</v>
      </c>
      <c r="AY38" s="215">
        <f t="shared" si="12"/>
        <v>0</v>
      </c>
      <c r="AZ38" s="148" t="s">
        <v>402</v>
      </c>
      <c r="BA38" s="112"/>
      <c r="BB38" s="129"/>
      <c r="BC38" s="115"/>
      <c r="BD38" s="216">
        <f t="shared" si="13"/>
        <v>0</v>
      </c>
      <c r="BE38" s="218">
        <f t="shared" si="14"/>
        <v>0</v>
      </c>
      <c r="BF38" s="149" t="s">
        <v>403</v>
      </c>
      <c r="BG38" s="112"/>
      <c r="BH38" s="115"/>
      <c r="BI38" s="219">
        <f t="shared" si="15"/>
        <v>0</v>
      </c>
      <c r="BJ38" s="220">
        <f t="shared" si="16"/>
        <v>0</v>
      </c>
      <c r="DE38" s="117">
        <f t="shared" si="77"/>
        <v>2043.3102457426844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2043.3102457426844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13" t="s">
        <v>401</v>
      </c>
      <c r="B39" s="144"/>
      <c r="C39" s="200"/>
      <c r="D39" s="201"/>
      <c r="E39" s="432">
        <f t="shared" si="0"/>
        <v>0</v>
      </c>
      <c r="F39" s="433">
        <f t="shared" si="76"/>
        <v>0</v>
      </c>
      <c r="G39" s="202" t="str">
        <f>IFERROR(VLOOKUP(C39,$AD$3:$AM$50,7,0),"")</f>
        <v/>
      </c>
      <c r="H39" s="442">
        <f t="shared" si="58"/>
        <v>0</v>
      </c>
      <c r="I39" s="443">
        <f t="shared" si="3"/>
        <v>0</v>
      </c>
      <c r="J39" s="62"/>
      <c r="K39" s="868" t="s">
        <v>445</v>
      </c>
      <c r="L39" s="845"/>
      <c r="M39" s="846"/>
      <c r="N39" s="150">
        <f>SUM(AC3:AC42)</f>
        <v>0</v>
      </c>
      <c r="O39" s="62"/>
      <c r="P39" s="198" t="str">
        <f t="shared" si="59"/>
        <v>-</v>
      </c>
      <c r="Q39" s="384">
        <f t="shared" si="69"/>
        <v>0</v>
      </c>
      <c r="R39" s="194"/>
      <c r="S39" s="414">
        <f t="shared" ca="1" si="60"/>
        <v>0</v>
      </c>
      <c r="T39" s="339" t="str">
        <f t="shared" si="73"/>
        <v/>
      </c>
      <c r="U39" s="339" t="str">
        <f t="shared" si="62"/>
        <v/>
      </c>
      <c r="V39" s="337">
        <f>IFERROR(VLOOKUP($U39,HomeBroker!$A$30:$F$60,2,0),0)</f>
        <v>0</v>
      </c>
      <c r="W39" s="417">
        <f>IFERROR(VLOOKUP($U39,HomeBroker!$A$30:$F$60,3,0),0)</f>
        <v>0</v>
      </c>
      <c r="X39" s="547">
        <f>IFERROR(VLOOKUP($U39,HomeBroker!$A$30:$F$60,6,0),0)</f>
        <v>0</v>
      </c>
      <c r="Y39" s="416">
        <f>IFERROR(VLOOKUP($U39,HomeBroker!$A$30:$F$60,4,0),0)</f>
        <v>0</v>
      </c>
      <c r="Z39" s="337">
        <f>IFERROR(VLOOKUP($U39,HomeBroker!$A$30:$F$60,5,0),0)</f>
        <v>0</v>
      </c>
      <c r="AA39" s="340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38">
        <f t="shared" ca="1" si="64"/>
        <v>0</v>
      </c>
      <c r="AF39" s="339" t="str">
        <f t="shared" si="74"/>
        <v/>
      </c>
      <c r="AG39" s="339" t="str">
        <f t="shared" si="75"/>
        <v/>
      </c>
      <c r="AH39" s="385">
        <f>IFERROR(VLOOKUP($AG39,HomeBroker!$A$30:$F$60,2,0),0)</f>
        <v>0</v>
      </c>
      <c r="AI39" s="417">
        <f>IFERROR(VLOOKUP($AG39,HomeBroker!$A$30:$F$60,3,0),0)</f>
        <v>0</v>
      </c>
      <c r="AJ39" s="547">
        <f>IFERROR(VLOOKUP($AG39,HomeBroker!$A$30:$F$60,6,0),0)</f>
        <v>0</v>
      </c>
      <c r="AK39" s="417">
        <f>IFERROR(VLOOKUP($AG39,HomeBroker!$A$30:$F$60,4,0),0)</f>
        <v>0</v>
      </c>
      <c r="AL39" s="385">
        <f>IFERROR(VLOOKUP($AG39,HomeBroker!$A$30:$F$60,5,0),0)</f>
        <v>0</v>
      </c>
      <c r="AM39" s="419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4">
        <f t="shared" si="11"/>
        <v>0</v>
      </c>
      <c r="AY39" s="215">
        <f t="shared" si="12"/>
        <v>0</v>
      </c>
      <c r="AZ39" s="148" t="s">
        <v>402</v>
      </c>
      <c r="BA39" s="112"/>
      <c r="BB39" s="129"/>
      <c r="BC39" s="115"/>
      <c r="BD39" s="216">
        <f t="shared" si="13"/>
        <v>0</v>
      </c>
      <c r="BE39" s="218">
        <f t="shared" si="14"/>
        <v>0</v>
      </c>
      <c r="BF39" s="149" t="s">
        <v>403</v>
      </c>
      <c r="BG39" s="112"/>
      <c r="BH39" s="115"/>
      <c r="BI39" s="219">
        <f t="shared" si="15"/>
        <v>0</v>
      </c>
      <c r="BJ39" s="220">
        <f t="shared" si="16"/>
        <v>0</v>
      </c>
      <c r="DE39" s="117">
        <f t="shared" si="77"/>
        <v>2106.5054079821489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2106.5054079821489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13" t="s">
        <v>401</v>
      </c>
      <c r="B40" s="144"/>
      <c r="C40" s="200"/>
      <c r="D40" s="201"/>
      <c r="E40" s="432">
        <f t="shared" si="0"/>
        <v>0</v>
      </c>
      <c r="F40" s="433">
        <f t="shared" si="76"/>
        <v>0</v>
      </c>
      <c r="G40" s="202" t="str">
        <f t="shared" ref="G40:G72" si="124">IFERROR(VLOOKUP(C40,$AD$3:$AM$42,7,0),"")</f>
        <v/>
      </c>
      <c r="H40" s="442">
        <f t="shared" si="58"/>
        <v>0</v>
      </c>
      <c r="I40" s="443">
        <f t="shared" si="3"/>
        <v>0</v>
      </c>
      <c r="J40" s="62"/>
      <c r="K40" s="865" t="s">
        <v>0</v>
      </c>
      <c r="L40" s="845"/>
      <c r="M40" s="846"/>
      <c r="N40" s="151">
        <f>AB43+SUM(B73:B75)</f>
        <v>0</v>
      </c>
      <c r="O40" s="62"/>
      <c r="P40" s="198" t="str">
        <f t="shared" si="59"/>
        <v>-</v>
      </c>
      <c r="Q40" s="384">
        <f t="shared" si="69"/>
        <v>0</v>
      </c>
      <c r="R40" s="194"/>
      <c r="S40" s="414">
        <f t="shared" ca="1" si="60"/>
        <v>0</v>
      </c>
      <c r="T40" s="339" t="str">
        <f t="shared" si="73"/>
        <v/>
      </c>
      <c r="U40" s="339" t="str">
        <f t="shared" si="62"/>
        <v/>
      </c>
      <c r="V40" s="337">
        <f>IFERROR(VLOOKUP($U40,HomeBroker!$A$30:$F$60,2,0),0)</f>
        <v>0</v>
      </c>
      <c r="W40" s="417">
        <f>IFERROR(VLOOKUP($U40,HomeBroker!$A$30:$F$60,3,0),0)</f>
        <v>0</v>
      </c>
      <c r="X40" s="547">
        <f>IFERROR(VLOOKUP($U40,HomeBroker!$A$30:$F$60,6,0),0)</f>
        <v>0</v>
      </c>
      <c r="Y40" s="416">
        <f>IFERROR(VLOOKUP($U40,HomeBroker!$A$30:$F$60,4,0),0)</f>
        <v>0</v>
      </c>
      <c r="Z40" s="337">
        <f>IFERROR(VLOOKUP($U40,HomeBroker!$A$30:$F$60,5,0),0)</f>
        <v>0</v>
      </c>
      <c r="AA40" s="340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38">
        <f t="shared" ca="1" si="64"/>
        <v>0</v>
      </c>
      <c r="AF40" s="339" t="str">
        <f t="shared" si="74"/>
        <v/>
      </c>
      <c r="AG40" s="339" t="str">
        <f t="shared" si="75"/>
        <v/>
      </c>
      <c r="AH40" s="385">
        <f>IFERROR(VLOOKUP($AG40,HomeBroker!$A$30:$F$60,2,0),0)</f>
        <v>0</v>
      </c>
      <c r="AI40" s="417">
        <f>IFERROR(VLOOKUP($AG40,HomeBroker!$A$30:$F$60,3,0),0)</f>
        <v>0</v>
      </c>
      <c r="AJ40" s="547">
        <f>IFERROR(VLOOKUP($AG40,HomeBroker!$A$30:$F$60,6,0),0)</f>
        <v>0</v>
      </c>
      <c r="AK40" s="417">
        <f>IFERROR(VLOOKUP($AG40,HomeBroker!$A$30:$F$60,4,0),0)</f>
        <v>0</v>
      </c>
      <c r="AL40" s="385">
        <f>IFERROR(VLOOKUP($AG40,HomeBroker!$A$30:$F$60,5,0),0)</f>
        <v>0</v>
      </c>
      <c r="AM40" s="419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4">
        <f t="shared" si="11"/>
        <v>0</v>
      </c>
      <c r="AY40" s="215">
        <f t="shared" si="12"/>
        <v>0</v>
      </c>
      <c r="AZ40" s="148" t="s">
        <v>402</v>
      </c>
      <c r="BA40" s="112"/>
      <c r="BB40" s="129"/>
      <c r="BC40" s="115"/>
      <c r="BD40" s="216">
        <f t="shared" si="13"/>
        <v>0</v>
      </c>
      <c r="BE40" s="218">
        <f t="shared" si="14"/>
        <v>0</v>
      </c>
      <c r="BF40" s="149" t="s">
        <v>403</v>
      </c>
      <c r="BG40" s="112"/>
      <c r="BH40" s="115"/>
      <c r="BI40" s="219">
        <f t="shared" si="15"/>
        <v>0</v>
      </c>
      <c r="BJ40" s="220">
        <f t="shared" si="16"/>
        <v>0</v>
      </c>
      <c r="DE40" s="117">
        <f t="shared" si="77"/>
        <v>2171.6550597754112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2171.6550597754112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13" t="s">
        <v>401</v>
      </c>
      <c r="B41" s="144"/>
      <c r="C41" s="200"/>
      <c r="D41" s="201"/>
      <c r="E41" s="432">
        <f t="shared" si="0"/>
        <v>0</v>
      </c>
      <c r="F41" s="433">
        <f t="shared" si="76"/>
        <v>0</v>
      </c>
      <c r="G41" s="202" t="str">
        <f t="shared" si="124"/>
        <v/>
      </c>
      <c r="H41" s="442">
        <f t="shared" si="58"/>
        <v>0</v>
      </c>
      <c r="I41" s="443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384">
        <f t="shared" si="69"/>
        <v>0</v>
      </c>
      <c r="R41" s="194"/>
      <c r="S41" s="414">
        <f t="shared" ca="1" si="60"/>
        <v>0</v>
      </c>
      <c r="T41" s="339" t="str">
        <f t="shared" si="73"/>
        <v/>
      </c>
      <c r="U41" s="339" t="str">
        <f t="shared" si="62"/>
        <v/>
      </c>
      <c r="V41" s="337">
        <f>IFERROR(VLOOKUP($U41,HomeBroker!$A$30:$F$60,2,0),0)</f>
        <v>0</v>
      </c>
      <c r="W41" s="417">
        <f>IFERROR(VLOOKUP($U41,HomeBroker!$A$30:$F$60,3,0),0)</f>
        <v>0</v>
      </c>
      <c r="X41" s="547">
        <f>IFERROR(VLOOKUP($U41,HomeBroker!$A$30:$F$60,6,0),0)</f>
        <v>0</v>
      </c>
      <c r="Y41" s="416">
        <f>IFERROR(VLOOKUP($U41,HomeBroker!$A$30:$F$60,4,0),0)</f>
        <v>0</v>
      </c>
      <c r="Z41" s="337">
        <f>IFERROR(VLOOKUP($U41,HomeBroker!$A$30:$F$60,5,0),0)</f>
        <v>0</v>
      </c>
      <c r="AA41" s="340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38">
        <f t="shared" ca="1" si="64"/>
        <v>0</v>
      </c>
      <c r="AF41" s="339" t="str">
        <f t="shared" si="74"/>
        <v/>
      </c>
      <c r="AG41" s="339" t="str">
        <f t="shared" si="75"/>
        <v/>
      </c>
      <c r="AH41" s="385">
        <f>IFERROR(VLOOKUP($AG41,HomeBroker!$A$30:$F$60,2,0),0)</f>
        <v>0</v>
      </c>
      <c r="AI41" s="417">
        <f>IFERROR(VLOOKUP($AG41,HomeBroker!$A$30:$F$60,3,0),0)</f>
        <v>0</v>
      </c>
      <c r="AJ41" s="547">
        <f>IFERROR(VLOOKUP($AG41,HomeBroker!$A$30:$F$60,6,0),0)</f>
        <v>0</v>
      </c>
      <c r="AK41" s="417">
        <f>IFERROR(VLOOKUP($AG41,HomeBroker!$A$30:$F$60,4,0),0)</f>
        <v>0</v>
      </c>
      <c r="AL41" s="385">
        <f>IFERROR(VLOOKUP($AG41,HomeBroker!$A$30:$F$60,5,0),0)</f>
        <v>0</v>
      </c>
      <c r="AM41" s="419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4">
        <f t="shared" si="11"/>
        <v>0</v>
      </c>
      <c r="AY41" s="215">
        <f t="shared" si="12"/>
        <v>0</v>
      </c>
      <c r="AZ41" s="148" t="s">
        <v>402</v>
      </c>
      <c r="BA41" s="112"/>
      <c r="BB41" s="129"/>
      <c r="BC41" s="115"/>
      <c r="BD41" s="216">
        <f t="shared" si="13"/>
        <v>0</v>
      </c>
      <c r="BE41" s="218">
        <f t="shared" si="14"/>
        <v>0</v>
      </c>
      <c r="BF41" s="149" t="s">
        <v>403</v>
      </c>
      <c r="BG41" s="112"/>
      <c r="BH41" s="115"/>
      <c r="BI41" s="219">
        <f t="shared" si="15"/>
        <v>0</v>
      </c>
      <c r="BJ41" s="220">
        <f t="shared" si="16"/>
        <v>0</v>
      </c>
      <c r="DE41" s="117">
        <f t="shared" si="77"/>
        <v>2238.8196492530014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2238.8196492530014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13" t="s">
        <v>401</v>
      </c>
      <c r="B42" s="144"/>
      <c r="C42" s="200"/>
      <c r="D42" s="201"/>
      <c r="E42" s="432">
        <f t="shared" si="0"/>
        <v>0</v>
      </c>
      <c r="F42" s="433">
        <f t="shared" si="76"/>
        <v>0</v>
      </c>
      <c r="G42" s="202" t="str">
        <f t="shared" si="124"/>
        <v/>
      </c>
      <c r="H42" s="442">
        <f t="shared" si="58"/>
        <v>0</v>
      </c>
      <c r="I42" s="443">
        <f t="shared" si="3"/>
        <v>0</v>
      </c>
      <c r="J42" s="62"/>
      <c r="K42" s="849" t="s">
        <v>446</v>
      </c>
      <c r="L42" s="845"/>
      <c r="M42" s="846"/>
      <c r="N42" s="153">
        <v>0.03</v>
      </c>
      <c r="O42" s="62"/>
      <c r="P42" s="198" t="str">
        <f t="shared" si="59"/>
        <v>-</v>
      </c>
      <c r="Q42" s="384">
        <f t="shared" si="69"/>
        <v>0</v>
      </c>
      <c r="R42" s="194"/>
      <c r="S42" s="414">
        <f t="shared" ca="1" si="60"/>
        <v>0</v>
      </c>
      <c r="T42" s="339" t="str">
        <f t="shared" si="73"/>
        <v/>
      </c>
      <c r="U42" s="339" t="str">
        <f t="shared" si="62"/>
        <v/>
      </c>
      <c r="V42" s="337">
        <f>IFERROR(VLOOKUP($U42,HomeBroker!$A$30:$F$60,2,0),0)</f>
        <v>0</v>
      </c>
      <c r="W42" s="417">
        <f>IFERROR(VLOOKUP($U42,HomeBroker!$A$30:$F$60,3,0),0)</f>
        <v>0</v>
      </c>
      <c r="X42" s="547">
        <f>IFERROR(VLOOKUP($U42,HomeBroker!$A$30:$F$60,6,0),0)</f>
        <v>0</v>
      </c>
      <c r="Y42" s="416">
        <f>IFERROR(VLOOKUP($U42,HomeBroker!$A$30:$F$60,4,0),0)</f>
        <v>0</v>
      </c>
      <c r="Z42" s="337">
        <f>IFERROR(VLOOKUP($U42,HomeBroker!$A$30:$F$60,5,0),0)</f>
        <v>0</v>
      </c>
      <c r="AA42" s="340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38">
        <f t="shared" ca="1" si="64"/>
        <v>0</v>
      </c>
      <c r="AF42" s="339" t="str">
        <f t="shared" si="74"/>
        <v/>
      </c>
      <c r="AG42" s="339" t="str">
        <f t="shared" si="75"/>
        <v/>
      </c>
      <c r="AH42" s="385">
        <f>IFERROR(VLOOKUP($AG42,HomeBroker!$A$30:$F$60,2,0),0)</f>
        <v>0</v>
      </c>
      <c r="AI42" s="417">
        <f>IFERROR(VLOOKUP($AG42,HomeBroker!$A$30:$F$60,3,0),0)</f>
        <v>0</v>
      </c>
      <c r="AJ42" s="547">
        <f>IFERROR(VLOOKUP($AG42,HomeBroker!$A$30:$F$60,6,0),0)</f>
        <v>0</v>
      </c>
      <c r="AK42" s="417">
        <f>IFERROR(VLOOKUP($AG42,HomeBroker!$A$30:$F$60,4,0),0)</f>
        <v>0</v>
      </c>
      <c r="AL42" s="385">
        <f>IFERROR(VLOOKUP($AG42,HomeBroker!$A$30:$F$60,5,0),0)</f>
        <v>0</v>
      </c>
      <c r="AM42" s="419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4">
        <f t="shared" si="11"/>
        <v>0</v>
      </c>
      <c r="AY42" s="215">
        <f t="shared" si="12"/>
        <v>0</v>
      </c>
      <c r="AZ42" s="148" t="s">
        <v>402</v>
      </c>
      <c r="BA42" s="112"/>
      <c r="BB42" s="129"/>
      <c r="BC42" s="115"/>
      <c r="BD42" s="216">
        <f t="shared" si="13"/>
        <v>0</v>
      </c>
      <c r="BE42" s="218">
        <f t="shared" si="14"/>
        <v>0</v>
      </c>
      <c r="BF42" s="149" t="s">
        <v>403</v>
      </c>
      <c r="BG42" s="112"/>
      <c r="BH42" s="115"/>
      <c r="BI42" s="219">
        <f t="shared" si="15"/>
        <v>0</v>
      </c>
      <c r="BJ42" s="220">
        <f t="shared" si="16"/>
        <v>0</v>
      </c>
      <c r="DE42" s="117">
        <f t="shared" si="77"/>
        <v>2308.0614940752594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2308.0614940752594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13" t="s">
        <v>401</v>
      </c>
      <c r="B43" s="144"/>
      <c r="C43" s="200"/>
      <c r="D43" s="201"/>
      <c r="E43" s="432">
        <f t="shared" si="0"/>
        <v>0</v>
      </c>
      <c r="F43" s="433">
        <f t="shared" si="76"/>
        <v>0</v>
      </c>
      <c r="G43" s="202" t="str">
        <f t="shared" si="124"/>
        <v/>
      </c>
      <c r="H43" s="442">
        <f t="shared" si="58"/>
        <v>0</v>
      </c>
      <c r="I43" s="443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651</v>
      </c>
      <c r="O43" s="62"/>
      <c r="P43" s="850"/>
      <c r="Q43" s="851"/>
      <c r="R43" s="851"/>
      <c r="S43" s="851"/>
      <c r="T43" s="851"/>
      <c r="U43" s="851"/>
      <c r="V43" s="851"/>
      <c r="W43" s="851"/>
      <c r="X43" s="851"/>
      <c r="Y43" s="851"/>
      <c r="Z43" s="851"/>
      <c r="AA43" s="852"/>
      <c r="AB43" s="856"/>
      <c r="AC43" s="856"/>
      <c r="AD43" s="856"/>
      <c r="AE43" s="856"/>
      <c r="AF43" s="856"/>
      <c r="AG43" s="856"/>
      <c r="AH43" s="856"/>
      <c r="AI43" s="856"/>
      <c r="AJ43" s="856"/>
      <c r="AK43" s="856"/>
      <c r="AL43" s="856"/>
      <c r="AM43" s="857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4">
        <f t="shared" si="11"/>
        <v>0</v>
      </c>
      <c r="AY43" s="215">
        <f t="shared" si="12"/>
        <v>0</v>
      </c>
      <c r="AZ43" s="148" t="s">
        <v>402</v>
      </c>
      <c r="BA43" s="112"/>
      <c r="BB43" s="129"/>
      <c r="BC43" s="115"/>
      <c r="BD43" s="216">
        <f t="shared" si="13"/>
        <v>0</v>
      </c>
      <c r="BE43" s="218">
        <f t="shared" si="14"/>
        <v>0</v>
      </c>
      <c r="BF43" s="149" t="s">
        <v>403</v>
      </c>
      <c r="BG43" s="112"/>
      <c r="BH43" s="115"/>
      <c r="BI43" s="219">
        <f t="shared" si="15"/>
        <v>0</v>
      </c>
      <c r="BJ43" s="220">
        <f t="shared" si="16"/>
        <v>0</v>
      </c>
      <c r="DE43" s="117">
        <f t="shared" si="77"/>
        <v>2379.4448392528448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2379.4448392528448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13" t="s">
        <v>401</v>
      </c>
      <c r="B44" s="144"/>
      <c r="C44" s="200"/>
      <c r="D44" s="201"/>
      <c r="E44" s="432">
        <f t="shared" si="0"/>
        <v>0</v>
      </c>
      <c r="F44" s="433">
        <f t="shared" si="76"/>
        <v>0</v>
      </c>
      <c r="G44" s="202" t="str">
        <f t="shared" si="124"/>
        <v/>
      </c>
      <c r="H44" s="442">
        <f t="shared" si="58"/>
        <v>0</v>
      </c>
      <c r="I44" s="443">
        <f t="shared" si="3"/>
        <v>0</v>
      </c>
      <c r="J44" s="62"/>
      <c r="K44" s="847" t="s">
        <v>450</v>
      </c>
      <c r="L44" s="845"/>
      <c r="M44" s="846"/>
      <c r="N44" s="157"/>
      <c r="O44" s="62"/>
      <c r="P44" s="853"/>
      <c r="Q44" s="854"/>
      <c r="R44" s="854"/>
      <c r="S44" s="854"/>
      <c r="T44" s="854"/>
      <c r="U44" s="854"/>
      <c r="V44" s="854"/>
      <c r="W44" s="854"/>
      <c r="X44" s="854"/>
      <c r="Y44" s="854"/>
      <c r="Z44" s="854"/>
      <c r="AA44" s="855"/>
      <c r="AB44" s="858"/>
      <c r="AC44" s="858"/>
      <c r="AD44" s="858"/>
      <c r="AE44" s="858"/>
      <c r="AF44" s="858"/>
      <c r="AG44" s="858"/>
      <c r="AH44" s="858"/>
      <c r="AI44" s="858"/>
      <c r="AJ44" s="858"/>
      <c r="AK44" s="858"/>
      <c r="AL44" s="858"/>
      <c r="AM44" s="859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4">
        <f t="shared" si="11"/>
        <v>0</v>
      </c>
      <c r="AY44" s="215">
        <f t="shared" si="12"/>
        <v>0</v>
      </c>
      <c r="AZ44" s="148" t="s">
        <v>402</v>
      </c>
      <c r="BA44" s="112"/>
      <c r="BB44" s="129"/>
      <c r="BC44" s="115"/>
      <c r="BD44" s="216">
        <f t="shared" si="13"/>
        <v>0</v>
      </c>
      <c r="BE44" s="218">
        <f t="shared" si="14"/>
        <v>0</v>
      </c>
      <c r="BF44" s="149" t="s">
        <v>403</v>
      </c>
      <c r="BG44" s="112"/>
      <c r="BH44" s="115"/>
      <c r="BI44" s="219">
        <f t="shared" si="15"/>
        <v>0</v>
      </c>
      <c r="BJ44" s="220">
        <f t="shared" si="16"/>
        <v>0</v>
      </c>
      <c r="DE44" s="117">
        <f t="shared" si="77"/>
        <v>2453.0359167555102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2453.0359167555102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13" t="s">
        <v>401</v>
      </c>
      <c r="B45" s="144"/>
      <c r="C45" s="200"/>
      <c r="D45" s="201"/>
      <c r="E45" s="432">
        <f t="shared" si="0"/>
        <v>0</v>
      </c>
      <c r="F45" s="433">
        <f t="shared" si="76"/>
        <v>0</v>
      </c>
      <c r="G45" s="202" t="str">
        <f t="shared" si="124"/>
        <v/>
      </c>
      <c r="H45" s="442">
        <f t="shared" si="58"/>
        <v>0</v>
      </c>
      <c r="I45" s="443">
        <f t="shared" si="3"/>
        <v>0</v>
      </c>
      <c r="J45" s="62"/>
      <c r="K45" s="860" t="s">
        <v>451</v>
      </c>
      <c r="L45" s="845"/>
      <c r="M45" s="846"/>
      <c r="N45" s="406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4">
        <f t="shared" si="11"/>
        <v>0</v>
      </c>
      <c r="AY45" s="215">
        <f t="shared" si="12"/>
        <v>0</v>
      </c>
      <c r="AZ45" s="148" t="s">
        <v>402</v>
      </c>
      <c r="BA45" s="112"/>
      <c r="BB45" s="129"/>
      <c r="BC45" s="115"/>
      <c r="BD45" s="216">
        <f t="shared" si="13"/>
        <v>0</v>
      </c>
      <c r="BE45" s="218">
        <f t="shared" si="14"/>
        <v>0</v>
      </c>
      <c r="BF45" s="149" t="s">
        <v>403</v>
      </c>
      <c r="BG45" s="112"/>
      <c r="BH45" s="115"/>
      <c r="BI45" s="219">
        <f t="shared" si="15"/>
        <v>0</v>
      </c>
      <c r="BJ45" s="220">
        <f t="shared" si="16"/>
        <v>0</v>
      </c>
      <c r="DE45" s="117">
        <f t="shared" si="77"/>
        <v>2528.9030069644436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2528.9030069644436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13" t="s">
        <v>401</v>
      </c>
      <c r="B46" s="144"/>
      <c r="C46" s="200"/>
      <c r="D46" s="201"/>
      <c r="E46" s="432">
        <f t="shared" si="0"/>
        <v>0</v>
      </c>
      <c r="F46" s="433">
        <f t="shared" si="76"/>
        <v>0</v>
      </c>
      <c r="G46" s="202" t="str">
        <f t="shared" si="124"/>
        <v/>
      </c>
      <c r="H46" s="442">
        <f t="shared" si="58"/>
        <v>0</v>
      </c>
      <c r="I46" s="443">
        <f t="shared" si="3"/>
        <v>0</v>
      </c>
      <c r="J46" s="62"/>
      <c r="K46" s="864" t="s">
        <v>452</v>
      </c>
      <c r="L46" s="845"/>
      <c r="M46" s="846"/>
      <c r="N46" s="870">
        <v>0.42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4">
        <f t="shared" si="11"/>
        <v>0</v>
      </c>
      <c r="AY46" s="215">
        <f t="shared" si="12"/>
        <v>0</v>
      </c>
      <c r="AZ46" s="148" t="s">
        <v>402</v>
      </c>
      <c r="BA46" s="112"/>
      <c r="BB46" s="129"/>
      <c r="BC46" s="115"/>
      <c r="BD46" s="216">
        <f t="shared" si="13"/>
        <v>0</v>
      </c>
      <c r="BE46" s="218">
        <f t="shared" si="14"/>
        <v>0</v>
      </c>
      <c r="BF46" s="149" t="s">
        <v>403</v>
      </c>
      <c r="BG46" s="112"/>
      <c r="BH46" s="115"/>
      <c r="BI46" s="219">
        <f t="shared" si="15"/>
        <v>0</v>
      </c>
      <c r="BJ46" s="220">
        <f t="shared" si="16"/>
        <v>0</v>
      </c>
      <c r="DE46" s="117">
        <f t="shared" si="77"/>
        <v>2607.1165020251997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2607.1165020251997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13" t="s">
        <v>401</v>
      </c>
      <c r="B47" s="144"/>
      <c r="C47" s="200"/>
      <c r="D47" s="201"/>
      <c r="E47" s="432">
        <f t="shared" si="0"/>
        <v>0</v>
      </c>
      <c r="F47" s="433">
        <f t="shared" si="76"/>
        <v>0</v>
      </c>
      <c r="G47" s="202" t="str">
        <f t="shared" si="124"/>
        <v/>
      </c>
      <c r="H47" s="442">
        <f t="shared" si="58"/>
        <v>0</v>
      </c>
      <c r="I47" s="443">
        <f t="shared" si="3"/>
        <v>0</v>
      </c>
      <c r="J47" s="62"/>
      <c r="K47" s="844" t="s">
        <v>453</v>
      </c>
      <c r="L47" s="845"/>
      <c r="M47" s="846"/>
      <c r="N47" s="870">
        <v>0.47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4">
        <f t="shared" si="11"/>
        <v>0</v>
      </c>
      <c r="AY47" s="215">
        <f t="shared" si="12"/>
        <v>0</v>
      </c>
      <c r="AZ47" s="148" t="s">
        <v>402</v>
      </c>
      <c r="BA47" s="112"/>
      <c r="BB47" s="129"/>
      <c r="BC47" s="115"/>
      <c r="BD47" s="216">
        <f t="shared" si="13"/>
        <v>0</v>
      </c>
      <c r="BE47" s="218">
        <f t="shared" si="14"/>
        <v>0</v>
      </c>
      <c r="BF47" s="149" t="s">
        <v>403</v>
      </c>
      <c r="BG47" s="112"/>
      <c r="BH47" s="115"/>
      <c r="BI47" s="219">
        <f t="shared" si="15"/>
        <v>0</v>
      </c>
      <c r="BJ47" s="220">
        <f t="shared" si="16"/>
        <v>0</v>
      </c>
      <c r="DE47" s="117">
        <f t="shared" si="77"/>
        <v>2687.7489711599997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2687.7489711599997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13" t="s">
        <v>401</v>
      </c>
      <c r="B48" s="144"/>
      <c r="C48" s="200"/>
      <c r="D48" s="201"/>
      <c r="E48" s="432">
        <f t="shared" si="0"/>
        <v>0</v>
      </c>
      <c r="F48" s="433">
        <f t="shared" si="76"/>
        <v>0</v>
      </c>
      <c r="G48" s="202" t="str">
        <f t="shared" si="124"/>
        <v/>
      </c>
      <c r="H48" s="442">
        <f t="shared" si="58"/>
        <v>0</v>
      </c>
      <c r="I48" s="443">
        <f t="shared" si="3"/>
        <v>0</v>
      </c>
      <c r="J48" s="62"/>
      <c r="K48" s="847" t="s">
        <v>454</v>
      </c>
      <c r="L48" s="845"/>
      <c r="M48" s="846"/>
      <c r="N48" s="870">
        <f>HomeBroker!AE1*365/100</f>
        <v>6.4000000000000003E-3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4">
        <f t="shared" si="11"/>
        <v>0</v>
      </c>
      <c r="AY48" s="215">
        <f t="shared" si="12"/>
        <v>0</v>
      </c>
      <c r="AZ48" s="148" t="s">
        <v>402</v>
      </c>
      <c r="BA48" s="112"/>
      <c r="BB48" s="129"/>
      <c r="BC48" s="115"/>
      <c r="BD48" s="216">
        <f t="shared" si="13"/>
        <v>0</v>
      </c>
      <c r="BE48" s="218">
        <f t="shared" si="14"/>
        <v>0</v>
      </c>
      <c r="BF48" s="149" t="s">
        <v>403</v>
      </c>
      <c r="BG48" s="112"/>
      <c r="BH48" s="115"/>
      <c r="BI48" s="219">
        <f t="shared" si="15"/>
        <v>0</v>
      </c>
      <c r="BJ48" s="220">
        <f t="shared" si="16"/>
        <v>0</v>
      </c>
      <c r="DE48" s="117">
        <f t="shared" si="77"/>
        <v>2770.8752279999999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2770.8752279999999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13" t="s">
        <v>401</v>
      </c>
      <c r="B49" s="144"/>
      <c r="C49" s="200"/>
      <c r="D49" s="201"/>
      <c r="E49" s="432">
        <f t="shared" si="0"/>
        <v>0</v>
      </c>
      <c r="F49" s="433">
        <f t="shared" si="76"/>
        <v>0</v>
      </c>
      <c r="G49" s="202" t="str">
        <f t="shared" si="124"/>
        <v/>
      </c>
      <c r="H49" s="442">
        <f t="shared" si="58"/>
        <v>0</v>
      </c>
      <c r="I49" s="443">
        <f t="shared" si="3"/>
        <v>0</v>
      </c>
      <c r="J49" s="62"/>
      <c r="K49" s="848" t="s">
        <v>455</v>
      </c>
      <c r="L49" s="845"/>
      <c r="M49" s="846"/>
      <c r="N49" s="162">
        <v>45462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4">
        <f t="shared" si="11"/>
        <v>0</v>
      </c>
      <c r="AY49" s="215">
        <f t="shared" si="12"/>
        <v>0</v>
      </c>
      <c r="AZ49" s="148" t="s">
        <v>402</v>
      </c>
      <c r="BA49" s="112"/>
      <c r="BB49" s="129"/>
      <c r="BC49" s="115"/>
      <c r="BD49" s="216">
        <f t="shared" si="13"/>
        <v>0</v>
      </c>
      <c r="BE49" s="218">
        <f t="shared" si="14"/>
        <v>0</v>
      </c>
      <c r="BF49" s="149" t="s">
        <v>403</v>
      </c>
      <c r="BG49" s="112"/>
      <c r="BH49" s="115"/>
      <c r="BI49" s="219">
        <f t="shared" si="15"/>
        <v>0</v>
      </c>
      <c r="BJ49" s="220">
        <f t="shared" si="16"/>
        <v>0</v>
      </c>
      <c r="DE49" s="117">
        <f t="shared" si="77"/>
        <v>2856.5724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2856.5724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13" t="s">
        <v>401</v>
      </c>
      <c r="B50" s="144"/>
      <c r="C50" s="200"/>
      <c r="D50" s="201"/>
      <c r="E50" s="432">
        <f t="shared" si="0"/>
        <v>0</v>
      </c>
      <c r="F50" s="433">
        <f t="shared" si="76"/>
        <v>0</v>
      </c>
      <c r="G50" s="202" t="str">
        <f t="shared" si="124"/>
        <v/>
      </c>
      <c r="H50" s="442">
        <f t="shared" si="58"/>
        <v>0</v>
      </c>
      <c r="I50" s="443">
        <f t="shared" si="3"/>
        <v>0</v>
      </c>
      <c r="J50" s="62"/>
      <c r="K50" s="848" t="s">
        <v>456</v>
      </c>
      <c r="L50" s="845"/>
      <c r="M50" s="846"/>
      <c r="N50" s="163">
        <f ca="1">N49-TODAY()-N44</f>
        <v>61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4">
        <f t="shared" si="11"/>
        <v>0</v>
      </c>
      <c r="AY50" s="215">
        <f t="shared" si="12"/>
        <v>0</v>
      </c>
      <c r="AZ50" s="148" t="s">
        <v>402</v>
      </c>
      <c r="BA50" s="112"/>
      <c r="BB50" s="129"/>
      <c r="BC50" s="115"/>
      <c r="BD50" s="216">
        <f t="shared" si="13"/>
        <v>0</v>
      </c>
      <c r="BE50" s="218">
        <f t="shared" si="14"/>
        <v>0</v>
      </c>
      <c r="BF50" s="149" t="s">
        <v>403</v>
      </c>
      <c r="BG50" s="112"/>
      <c r="BH50" s="115"/>
      <c r="BI50" s="219">
        <f t="shared" si="15"/>
        <v>0</v>
      </c>
      <c r="BJ50" s="220">
        <f t="shared" si="16"/>
        <v>0</v>
      </c>
      <c r="DE50" s="117">
        <f t="shared" si="77"/>
        <v>2944.92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2944.92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13" t="s">
        <v>401</v>
      </c>
      <c r="B51" s="144"/>
      <c r="C51" s="200"/>
      <c r="D51" s="201"/>
      <c r="E51" s="432">
        <f t="shared" si="0"/>
        <v>0</v>
      </c>
      <c r="F51" s="433">
        <f t="shared" si="76"/>
        <v>0</v>
      </c>
      <c r="G51" s="202" t="str">
        <f t="shared" si="124"/>
        <v/>
      </c>
      <c r="H51" s="442">
        <f t="shared" si="58"/>
        <v>0</v>
      </c>
      <c r="I51" s="443">
        <f t="shared" si="3"/>
        <v>0</v>
      </c>
      <c r="J51" s="62"/>
      <c r="K51" s="848" t="s">
        <v>457</v>
      </c>
      <c r="L51" s="845"/>
      <c r="M51" s="846"/>
      <c r="N51" s="164">
        <f ca="1">N50/365</f>
        <v>0.16712328767123288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4">
        <f t="shared" si="11"/>
        <v>0</v>
      </c>
      <c r="AY51" s="215">
        <f t="shared" si="12"/>
        <v>0</v>
      </c>
      <c r="AZ51" s="148" t="s">
        <v>402</v>
      </c>
      <c r="BA51" s="112"/>
      <c r="BB51" s="129"/>
      <c r="BC51" s="115"/>
      <c r="BD51" s="216">
        <f t="shared" si="13"/>
        <v>0</v>
      </c>
      <c r="BE51" s="218">
        <f t="shared" si="14"/>
        <v>0</v>
      </c>
      <c r="BF51" s="149" t="s">
        <v>403</v>
      </c>
      <c r="BG51" s="112"/>
      <c r="BH51" s="115"/>
      <c r="BI51" s="219">
        <f t="shared" si="15"/>
        <v>0</v>
      </c>
      <c r="BJ51" s="220">
        <f t="shared" si="16"/>
        <v>0</v>
      </c>
      <c r="DE51" s="117">
        <f t="shared" si="77"/>
        <v>3036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3036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13" t="s">
        <v>401</v>
      </c>
      <c r="B52" s="144"/>
      <c r="C52" s="200"/>
      <c r="D52" s="201"/>
      <c r="E52" s="432">
        <f t="shared" si="0"/>
        <v>0</v>
      </c>
      <c r="F52" s="433">
        <f t="shared" si="76"/>
        <v>0</v>
      </c>
      <c r="G52" s="202" t="str">
        <f t="shared" si="124"/>
        <v/>
      </c>
      <c r="H52" s="442">
        <f t="shared" si="58"/>
        <v>0</v>
      </c>
      <c r="I52" s="443">
        <f t="shared" si="3"/>
        <v>0</v>
      </c>
      <c r="J52" s="62"/>
      <c r="K52" s="849" t="s">
        <v>0</v>
      </c>
      <c r="L52" s="845"/>
      <c r="M52" s="846"/>
      <c r="N52" s="161">
        <v>1E-4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4">
        <f t="shared" si="11"/>
        <v>0</v>
      </c>
      <c r="AY52" s="215">
        <f t="shared" si="12"/>
        <v>0</v>
      </c>
      <c r="AZ52" s="148" t="s">
        <v>402</v>
      </c>
      <c r="BA52" s="112"/>
      <c r="BB52" s="129"/>
      <c r="BC52" s="115"/>
      <c r="BD52" s="216">
        <f t="shared" si="13"/>
        <v>0</v>
      </c>
      <c r="BE52" s="218">
        <f t="shared" si="14"/>
        <v>0</v>
      </c>
      <c r="BF52" s="149" t="s">
        <v>403</v>
      </c>
      <c r="BG52" s="112"/>
      <c r="BH52" s="115"/>
      <c r="BI52" s="219">
        <f t="shared" si="15"/>
        <v>0</v>
      </c>
      <c r="BJ52" s="220">
        <f t="shared" si="16"/>
        <v>0</v>
      </c>
      <c r="DE52" s="117">
        <f t="shared" si="77"/>
        <v>3127.08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3127.08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13" t="s">
        <v>401</v>
      </c>
      <c r="B53" s="144"/>
      <c r="C53" s="200"/>
      <c r="D53" s="201"/>
      <c r="E53" s="432">
        <f t="shared" si="0"/>
        <v>0</v>
      </c>
      <c r="F53" s="433">
        <f t="shared" si="76"/>
        <v>0</v>
      </c>
      <c r="G53" s="202" t="str">
        <f t="shared" si="124"/>
        <v/>
      </c>
      <c r="H53" s="442">
        <f t="shared" si="58"/>
        <v>0</v>
      </c>
      <c r="I53" s="443">
        <f t="shared" si="3"/>
        <v>0</v>
      </c>
      <c r="J53" s="62"/>
      <c r="K53" s="861" t="s">
        <v>1</v>
      </c>
      <c r="L53" s="862"/>
      <c r="M53" s="863"/>
      <c r="N53" s="165">
        <v>1E-4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4">
        <f t="shared" si="11"/>
        <v>0</v>
      </c>
      <c r="AY53" s="215">
        <f t="shared" si="12"/>
        <v>0</v>
      </c>
      <c r="AZ53" s="148" t="s">
        <v>402</v>
      </c>
      <c r="BA53" s="112"/>
      <c r="BB53" s="129"/>
      <c r="BC53" s="115"/>
      <c r="BD53" s="216">
        <f t="shared" si="13"/>
        <v>0</v>
      </c>
      <c r="BE53" s="218">
        <f t="shared" si="14"/>
        <v>0</v>
      </c>
      <c r="BF53" s="149" t="s">
        <v>403</v>
      </c>
      <c r="BG53" s="112"/>
      <c r="BH53" s="115"/>
      <c r="BI53" s="219">
        <f t="shared" si="15"/>
        <v>0</v>
      </c>
      <c r="BJ53" s="220">
        <f t="shared" si="16"/>
        <v>0</v>
      </c>
      <c r="DE53" s="117">
        <f t="shared" si="77"/>
        <v>3220.8924000000002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3220.8924000000002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13" t="s">
        <v>401</v>
      </c>
      <c r="B54" s="144"/>
      <c r="C54" s="200"/>
      <c r="D54" s="201"/>
      <c r="E54" s="432">
        <f t="shared" si="0"/>
        <v>0</v>
      </c>
      <c r="F54" s="433">
        <f t="shared" si="76"/>
        <v>0</v>
      </c>
      <c r="G54" s="202" t="str">
        <f t="shared" si="124"/>
        <v/>
      </c>
      <c r="H54" s="442">
        <f t="shared" si="58"/>
        <v>0</v>
      </c>
      <c r="I54" s="443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4">
        <f t="shared" si="11"/>
        <v>0</v>
      </c>
      <c r="AY54" s="215">
        <f t="shared" si="12"/>
        <v>0</v>
      </c>
      <c r="AZ54" s="148" t="s">
        <v>402</v>
      </c>
      <c r="BA54" s="112"/>
      <c r="BB54" s="129"/>
      <c r="BC54" s="115"/>
      <c r="BD54" s="216">
        <f t="shared" si="13"/>
        <v>0</v>
      </c>
      <c r="BE54" s="218">
        <f t="shared" si="14"/>
        <v>0</v>
      </c>
      <c r="BF54" s="149" t="s">
        <v>403</v>
      </c>
      <c r="BG54" s="112"/>
      <c r="BH54" s="115"/>
      <c r="BI54" s="219">
        <f t="shared" si="15"/>
        <v>0</v>
      </c>
      <c r="BJ54" s="220">
        <f t="shared" si="16"/>
        <v>0</v>
      </c>
      <c r="DE54" s="117">
        <f t="shared" si="77"/>
        <v>3317.5191720000003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3317.5191720000003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13" t="s">
        <v>401</v>
      </c>
      <c r="B55" s="144"/>
      <c r="C55" s="200"/>
      <c r="D55" s="201"/>
      <c r="E55" s="432">
        <f t="shared" si="0"/>
        <v>0</v>
      </c>
      <c r="F55" s="433">
        <f t="shared" si="76"/>
        <v>0</v>
      </c>
      <c r="G55" s="202" t="str">
        <f t="shared" si="124"/>
        <v/>
      </c>
      <c r="H55" s="442">
        <f t="shared" si="58"/>
        <v>0</v>
      </c>
      <c r="I55" s="443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4">
        <f t="shared" si="11"/>
        <v>0</v>
      </c>
      <c r="AY55" s="215">
        <f t="shared" si="12"/>
        <v>0</v>
      </c>
      <c r="AZ55" s="148" t="s">
        <v>402</v>
      </c>
      <c r="BA55" s="112"/>
      <c r="BB55" s="129"/>
      <c r="BC55" s="115"/>
      <c r="BD55" s="216">
        <f t="shared" si="13"/>
        <v>0</v>
      </c>
      <c r="BE55" s="218">
        <f t="shared" si="14"/>
        <v>0</v>
      </c>
      <c r="BF55" s="149" t="s">
        <v>403</v>
      </c>
      <c r="BG55" s="112"/>
      <c r="BH55" s="115"/>
      <c r="BI55" s="219">
        <f t="shared" si="15"/>
        <v>0</v>
      </c>
      <c r="BJ55" s="220">
        <f t="shared" si="16"/>
        <v>0</v>
      </c>
      <c r="DE55" s="117">
        <f t="shared" si="77"/>
        <v>3417.0447471600005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3417.0447471600005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13" t="s">
        <v>401</v>
      </c>
      <c r="B56" s="144"/>
      <c r="C56" s="200"/>
      <c r="D56" s="201"/>
      <c r="E56" s="432">
        <f t="shared" si="0"/>
        <v>0</v>
      </c>
      <c r="F56" s="433">
        <f t="shared" si="76"/>
        <v>0</v>
      </c>
      <c r="G56" s="202" t="str">
        <f t="shared" si="124"/>
        <v/>
      </c>
      <c r="H56" s="442">
        <f t="shared" si="58"/>
        <v>0</v>
      </c>
      <c r="I56" s="443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4">
        <f t="shared" si="11"/>
        <v>0</v>
      </c>
      <c r="AY56" s="215">
        <f t="shared" si="12"/>
        <v>0</v>
      </c>
      <c r="AZ56" s="148" t="s">
        <v>402</v>
      </c>
      <c r="BA56" s="112"/>
      <c r="BB56" s="129"/>
      <c r="BC56" s="115"/>
      <c r="BD56" s="216">
        <f t="shared" si="13"/>
        <v>0</v>
      </c>
      <c r="BE56" s="218">
        <f t="shared" si="14"/>
        <v>0</v>
      </c>
      <c r="BF56" s="149" t="s">
        <v>403</v>
      </c>
      <c r="BG56" s="112"/>
      <c r="BH56" s="115"/>
      <c r="BI56" s="219">
        <f t="shared" si="15"/>
        <v>0</v>
      </c>
      <c r="BJ56" s="220">
        <f t="shared" si="16"/>
        <v>0</v>
      </c>
      <c r="DE56" s="117">
        <f t="shared" si="77"/>
        <v>3519.5560895748008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3519.5560895748008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13" t="s">
        <v>401</v>
      </c>
      <c r="B57" s="144"/>
      <c r="C57" s="200"/>
      <c r="D57" s="201"/>
      <c r="E57" s="432">
        <f t="shared" si="0"/>
        <v>0</v>
      </c>
      <c r="F57" s="433">
        <f t="shared" si="76"/>
        <v>0</v>
      </c>
      <c r="G57" s="202" t="str">
        <f t="shared" si="124"/>
        <v/>
      </c>
      <c r="H57" s="442">
        <f t="shared" si="58"/>
        <v>0</v>
      </c>
      <c r="I57" s="443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4">
        <f t="shared" si="11"/>
        <v>0</v>
      </c>
      <c r="AY57" s="215">
        <f t="shared" si="12"/>
        <v>0</v>
      </c>
      <c r="AZ57" s="148" t="s">
        <v>402</v>
      </c>
      <c r="BA57" s="112"/>
      <c r="BB57" s="129"/>
      <c r="BC57" s="115"/>
      <c r="BD57" s="216">
        <f t="shared" si="13"/>
        <v>0</v>
      </c>
      <c r="BE57" s="218">
        <f t="shared" si="14"/>
        <v>0</v>
      </c>
      <c r="BF57" s="149" t="s">
        <v>403</v>
      </c>
      <c r="BG57" s="112"/>
      <c r="BH57" s="115"/>
      <c r="BI57" s="219">
        <f t="shared" si="15"/>
        <v>0</v>
      </c>
      <c r="BJ57" s="220">
        <f t="shared" si="16"/>
        <v>0</v>
      </c>
      <c r="DE57" s="117">
        <f t="shared" si="77"/>
        <v>3625.1427722620451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3625.1427722620451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13" t="s">
        <v>401</v>
      </c>
      <c r="B58" s="144"/>
      <c r="C58" s="200"/>
      <c r="D58" s="201"/>
      <c r="E58" s="432">
        <f t="shared" si="0"/>
        <v>0</v>
      </c>
      <c r="F58" s="433">
        <f t="shared" si="76"/>
        <v>0</v>
      </c>
      <c r="G58" s="202" t="str">
        <f t="shared" si="124"/>
        <v/>
      </c>
      <c r="H58" s="442">
        <f t="shared" si="58"/>
        <v>0</v>
      </c>
      <c r="I58" s="443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4">
        <f t="shared" si="11"/>
        <v>0</v>
      </c>
      <c r="AY58" s="215">
        <f t="shared" si="12"/>
        <v>0</v>
      </c>
      <c r="AZ58" s="148" t="s">
        <v>402</v>
      </c>
      <c r="BA58" s="112"/>
      <c r="BB58" s="129"/>
      <c r="BC58" s="115"/>
      <c r="BD58" s="216">
        <f t="shared" si="13"/>
        <v>0</v>
      </c>
      <c r="BE58" s="218">
        <f t="shared" si="14"/>
        <v>0</v>
      </c>
      <c r="BF58" s="149" t="s">
        <v>403</v>
      </c>
      <c r="BG58" s="112"/>
      <c r="BH58" s="115"/>
      <c r="BI58" s="219">
        <f t="shared" si="15"/>
        <v>0</v>
      </c>
      <c r="BJ58" s="220">
        <f t="shared" si="16"/>
        <v>0</v>
      </c>
      <c r="DE58" s="117">
        <f t="shared" si="77"/>
        <v>3733.8970554299067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3733.8970554299067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13" t="s">
        <v>401</v>
      </c>
      <c r="B59" s="144"/>
      <c r="C59" s="200"/>
      <c r="D59" s="201"/>
      <c r="E59" s="432">
        <f t="shared" si="0"/>
        <v>0</v>
      </c>
      <c r="F59" s="433">
        <f t="shared" si="76"/>
        <v>0</v>
      </c>
      <c r="G59" s="202" t="str">
        <f t="shared" si="124"/>
        <v/>
      </c>
      <c r="H59" s="442">
        <f t="shared" si="58"/>
        <v>0</v>
      </c>
      <c r="I59" s="443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4">
        <f t="shared" si="11"/>
        <v>0</v>
      </c>
      <c r="AY59" s="215">
        <f t="shared" si="12"/>
        <v>0</v>
      </c>
      <c r="AZ59" s="148" t="s">
        <v>402</v>
      </c>
      <c r="BA59" s="112"/>
      <c r="BB59" s="129"/>
      <c r="BC59" s="115"/>
      <c r="BD59" s="216">
        <f t="shared" si="13"/>
        <v>0</v>
      </c>
      <c r="BE59" s="218">
        <f t="shared" si="14"/>
        <v>0</v>
      </c>
      <c r="BF59" s="149" t="s">
        <v>403</v>
      </c>
      <c r="BG59" s="112"/>
      <c r="BH59" s="115"/>
      <c r="BI59" s="219">
        <f t="shared" si="15"/>
        <v>0</v>
      </c>
      <c r="BJ59" s="220">
        <f t="shared" si="16"/>
        <v>0</v>
      </c>
      <c r="DE59" s="117">
        <f t="shared" si="77"/>
        <v>3845.9139670928039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3845.9139670928039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13" t="s">
        <v>401</v>
      </c>
      <c r="B60" s="144"/>
      <c r="C60" s="200"/>
      <c r="D60" s="201"/>
      <c r="E60" s="432">
        <f t="shared" si="0"/>
        <v>0</v>
      </c>
      <c r="F60" s="433">
        <f t="shared" si="76"/>
        <v>0</v>
      </c>
      <c r="G60" s="202" t="str">
        <f t="shared" si="124"/>
        <v/>
      </c>
      <c r="H60" s="442">
        <f t="shared" si="58"/>
        <v>0</v>
      </c>
      <c r="I60" s="443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4">
        <f t="shared" si="11"/>
        <v>0</v>
      </c>
      <c r="AY60" s="215">
        <f t="shared" si="12"/>
        <v>0</v>
      </c>
      <c r="AZ60" s="148" t="s">
        <v>402</v>
      </c>
      <c r="BA60" s="112"/>
      <c r="BB60" s="129"/>
      <c r="BC60" s="115"/>
      <c r="BD60" s="216">
        <f t="shared" si="13"/>
        <v>0</v>
      </c>
      <c r="BE60" s="218">
        <f t="shared" si="14"/>
        <v>0</v>
      </c>
      <c r="BF60" s="149" t="s">
        <v>403</v>
      </c>
      <c r="BG60" s="112"/>
      <c r="BH60" s="115"/>
      <c r="BI60" s="219">
        <f t="shared" si="15"/>
        <v>0</v>
      </c>
      <c r="BJ60" s="220">
        <f t="shared" si="16"/>
        <v>0</v>
      </c>
      <c r="DE60" s="117">
        <f t="shared" si="77"/>
        <v>3961.2913861055881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3961.2913861055881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13" t="s">
        <v>401</v>
      </c>
      <c r="B61" s="144"/>
      <c r="C61" s="200"/>
      <c r="D61" s="201"/>
      <c r="E61" s="432">
        <f t="shared" si="0"/>
        <v>0</v>
      </c>
      <c r="F61" s="433">
        <f t="shared" si="76"/>
        <v>0</v>
      </c>
      <c r="G61" s="202" t="str">
        <f t="shared" si="124"/>
        <v/>
      </c>
      <c r="H61" s="442">
        <f t="shared" si="58"/>
        <v>0</v>
      </c>
      <c r="I61" s="443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4">
        <f t="shared" si="11"/>
        <v>0</v>
      </c>
      <c r="AY61" s="215">
        <f t="shared" si="12"/>
        <v>0</v>
      </c>
      <c r="AZ61" s="148" t="s">
        <v>402</v>
      </c>
      <c r="BA61" s="112"/>
      <c r="BB61" s="129"/>
      <c r="BC61" s="115"/>
      <c r="BD61" s="216">
        <f t="shared" si="13"/>
        <v>0</v>
      </c>
      <c r="BE61" s="218">
        <f t="shared" si="14"/>
        <v>0</v>
      </c>
      <c r="BF61" s="149" t="s">
        <v>403</v>
      </c>
      <c r="BG61" s="112"/>
      <c r="BH61" s="115"/>
      <c r="BI61" s="219">
        <f t="shared" si="15"/>
        <v>0</v>
      </c>
      <c r="BJ61" s="220">
        <f t="shared" si="16"/>
        <v>0</v>
      </c>
      <c r="DE61" s="117">
        <f t="shared" si="77"/>
        <v>4080.1301276887557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4080.1301276887557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13" t="s">
        <v>401</v>
      </c>
      <c r="B62" s="144"/>
      <c r="C62" s="200"/>
      <c r="D62" s="201"/>
      <c r="E62" s="432">
        <f t="shared" si="0"/>
        <v>0</v>
      </c>
      <c r="F62" s="433">
        <f t="shared" si="76"/>
        <v>0</v>
      </c>
      <c r="G62" s="202" t="str">
        <f t="shared" si="124"/>
        <v/>
      </c>
      <c r="H62" s="442">
        <f t="shared" si="58"/>
        <v>0</v>
      </c>
      <c r="I62" s="443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4">
        <f t="shared" si="11"/>
        <v>0</v>
      </c>
      <c r="AY62" s="215">
        <f t="shared" si="12"/>
        <v>0</v>
      </c>
      <c r="AZ62" s="148" t="s">
        <v>402</v>
      </c>
      <c r="BA62" s="112"/>
      <c r="BB62" s="129"/>
      <c r="BC62" s="115"/>
      <c r="BD62" s="216">
        <f t="shared" si="13"/>
        <v>0</v>
      </c>
      <c r="BE62" s="218">
        <f t="shared" si="14"/>
        <v>0</v>
      </c>
      <c r="BF62" s="149" t="s">
        <v>403</v>
      </c>
      <c r="BG62" s="112"/>
      <c r="BH62" s="115"/>
      <c r="BI62" s="219">
        <f t="shared" si="15"/>
        <v>0</v>
      </c>
      <c r="BJ62" s="220">
        <f t="shared" si="16"/>
        <v>0</v>
      </c>
      <c r="DE62" s="117">
        <f t="shared" si="77"/>
        <v>4202.534031519418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4202.534031519418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13" t="s">
        <v>401</v>
      </c>
      <c r="B63" s="144"/>
      <c r="C63" s="200"/>
      <c r="D63" s="201"/>
      <c r="E63" s="432">
        <f t="shared" si="0"/>
        <v>0</v>
      </c>
      <c r="F63" s="433">
        <f t="shared" si="76"/>
        <v>0</v>
      </c>
      <c r="G63" s="202" t="str">
        <f t="shared" si="124"/>
        <v/>
      </c>
      <c r="H63" s="442">
        <f t="shared" si="58"/>
        <v>0</v>
      </c>
      <c r="I63" s="443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4">
        <f t="shared" si="11"/>
        <v>0</v>
      </c>
      <c r="AY63" s="215">
        <f t="shared" si="12"/>
        <v>0</v>
      </c>
      <c r="AZ63" s="148" t="s">
        <v>402</v>
      </c>
      <c r="BA63" s="112"/>
      <c r="BB63" s="129"/>
      <c r="BC63" s="115"/>
      <c r="BD63" s="216">
        <f t="shared" si="13"/>
        <v>0</v>
      </c>
      <c r="BE63" s="218">
        <f t="shared" si="14"/>
        <v>0</v>
      </c>
      <c r="BF63" s="149" t="s">
        <v>403</v>
      </c>
      <c r="BG63" s="112"/>
      <c r="BH63" s="115"/>
      <c r="BI63" s="219">
        <f t="shared" si="15"/>
        <v>0</v>
      </c>
      <c r="BJ63" s="220">
        <f t="shared" si="16"/>
        <v>0</v>
      </c>
      <c r="DE63" s="117">
        <f t="shared" si="77"/>
        <v>4328.610052465001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4328.610052465001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13" t="s">
        <v>401</v>
      </c>
      <c r="B64" s="144"/>
      <c r="C64" s="200"/>
      <c r="D64" s="201"/>
      <c r="E64" s="432">
        <f t="shared" si="0"/>
        <v>0</v>
      </c>
      <c r="F64" s="433">
        <f t="shared" si="76"/>
        <v>0</v>
      </c>
      <c r="G64" s="202" t="str">
        <f t="shared" si="124"/>
        <v/>
      </c>
      <c r="H64" s="442">
        <f t="shared" si="58"/>
        <v>0</v>
      </c>
      <c r="I64" s="443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4">
        <f t="shared" si="11"/>
        <v>0</v>
      </c>
      <c r="AY64" s="215">
        <f t="shared" si="12"/>
        <v>0</v>
      </c>
      <c r="AZ64" s="148" t="s">
        <v>402</v>
      </c>
      <c r="BA64" s="112"/>
      <c r="BB64" s="129"/>
      <c r="BC64" s="115"/>
      <c r="BD64" s="216">
        <f t="shared" si="13"/>
        <v>0</v>
      </c>
      <c r="BE64" s="218">
        <f t="shared" si="14"/>
        <v>0</v>
      </c>
      <c r="BF64" s="149" t="s">
        <v>403</v>
      </c>
      <c r="BG64" s="112"/>
      <c r="BH64" s="115"/>
      <c r="BI64" s="219">
        <f t="shared" si="15"/>
        <v>0</v>
      </c>
      <c r="BJ64" s="220">
        <f t="shared" si="16"/>
        <v>0</v>
      </c>
      <c r="DE64" s="117">
        <f t="shared" si="77"/>
        <v>4458.4683540389515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4458.4683540389515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13" t="s">
        <v>401</v>
      </c>
      <c r="B65" s="144"/>
      <c r="C65" s="200"/>
      <c r="D65" s="201"/>
      <c r="E65" s="432">
        <f t="shared" si="0"/>
        <v>0</v>
      </c>
      <c r="F65" s="433">
        <f t="shared" si="76"/>
        <v>0</v>
      </c>
      <c r="G65" s="202" t="str">
        <f t="shared" si="124"/>
        <v/>
      </c>
      <c r="H65" s="442">
        <f t="shared" si="58"/>
        <v>0</v>
      </c>
      <c r="I65" s="443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4">
        <f t="shared" si="11"/>
        <v>0</v>
      </c>
      <c r="AY65" s="215">
        <f t="shared" si="12"/>
        <v>0</v>
      </c>
      <c r="AZ65" s="148" t="s">
        <v>402</v>
      </c>
      <c r="BA65" s="112"/>
      <c r="BB65" s="129"/>
      <c r="BC65" s="115"/>
      <c r="BD65" s="216">
        <f t="shared" si="13"/>
        <v>0</v>
      </c>
      <c r="BE65" s="218">
        <f t="shared" si="14"/>
        <v>0</v>
      </c>
      <c r="BF65" s="149" t="s">
        <v>403</v>
      </c>
      <c r="BG65" s="112"/>
      <c r="BH65" s="115"/>
      <c r="BI65" s="219">
        <f t="shared" si="15"/>
        <v>0</v>
      </c>
      <c r="BJ65" s="220">
        <f t="shared" si="16"/>
        <v>0</v>
      </c>
      <c r="DE65" s="117">
        <f t="shared" si="77"/>
        <v>4592.2224046601204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4592.2224046601204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13" t="s">
        <v>401</v>
      </c>
      <c r="B66" s="144"/>
      <c r="C66" s="200"/>
      <c r="D66" s="201"/>
      <c r="E66" s="432">
        <f t="shared" si="0"/>
        <v>0</v>
      </c>
      <c r="F66" s="433">
        <f t="shared" si="76"/>
        <v>0</v>
      </c>
      <c r="G66" s="202" t="str">
        <f t="shared" si="124"/>
        <v/>
      </c>
      <c r="H66" s="442">
        <f t="shared" si="58"/>
        <v>0</v>
      </c>
      <c r="I66" s="443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4">
        <f t="shared" si="11"/>
        <v>0</v>
      </c>
      <c r="AY66" s="215">
        <f t="shared" si="12"/>
        <v>0</v>
      </c>
      <c r="AZ66" s="148" t="s">
        <v>402</v>
      </c>
      <c r="BA66" s="112"/>
      <c r="BB66" s="129"/>
      <c r="BC66" s="115"/>
      <c r="BD66" s="216">
        <f t="shared" si="13"/>
        <v>0</v>
      </c>
      <c r="BE66" s="218">
        <f t="shared" si="14"/>
        <v>0</v>
      </c>
      <c r="BF66" s="149" t="s">
        <v>403</v>
      </c>
      <c r="BG66" s="112"/>
      <c r="BH66" s="115"/>
      <c r="BI66" s="219">
        <f t="shared" si="15"/>
        <v>0</v>
      </c>
      <c r="BJ66" s="220">
        <f t="shared" si="16"/>
        <v>0</v>
      </c>
      <c r="DE66" s="117">
        <f t="shared" si="77"/>
        <v>4729.9890767999241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4729.9890767999241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13" t="s">
        <v>401</v>
      </c>
      <c r="B67" s="144"/>
      <c r="C67" s="200"/>
      <c r="D67" s="201"/>
      <c r="E67" s="432">
        <f t="shared" si="0"/>
        <v>0</v>
      </c>
      <c r="F67" s="433">
        <f t="shared" ref="F67:F72" si="125">IF(B67&gt;0,+B67*D67*(1+($N$53+0.002)*1.21)*-100,B67*D67*(1-($N$53+0.002)*1.21)*-100)</f>
        <v>0</v>
      </c>
      <c r="G67" s="202" t="str">
        <f t="shared" si="124"/>
        <v/>
      </c>
      <c r="H67" s="442">
        <f t="shared" si="58"/>
        <v>0</v>
      </c>
      <c r="I67" s="443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4">
        <f t="shared" si="11"/>
        <v>0</v>
      </c>
      <c r="AY67" s="215">
        <f t="shared" si="12"/>
        <v>0</v>
      </c>
      <c r="AZ67" s="148" t="s">
        <v>402</v>
      </c>
      <c r="BA67" s="112"/>
      <c r="BB67" s="129"/>
      <c r="BC67" s="115"/>
      <c r="BD67" s="216">
        <f t="shared" si="13"/>
        <v>0</v>
      </c>
      <c r="BE67" s="218">
        <f t="shared" si="14"/>
        <v>0</v>
      </c>
      <c r="BF67" s="149" t="s">
        <v>403</v>
      </c>
      <c r="BG67" s="112"/>
      <c r="BH67" s="115"/>
      <c r="BI67" s="219">
        <f t="shared" si="15"/>
        <v>0</v>
      </c>
      <c r="BJ67" s="220">
        <f t="shared" si="16"/>
        <v>0</v>
      </c>
      <c r="DE67" s="167">
        <f t="shared" si="77"/>
        <v>4871.8887491039222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4871.8887491039222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13" t="s">
        <v>401</v>
      </c>
      <c r="B68" s="144"/>
      <c r="C68" s="200"/>
      <c r="D68" s="201"/>
      <c r="E68" s="432">
        <f t="shared" si="0"/>
        <v>0</v>
      </c>
      <c r="F68" s="433">
        <f t="shared" si="125"/>
        <v>0</v>
      </c>
      <c r="G68" s="202" t="str">
        <f t="shared" si="124"/>
        <v/>
      </c>
      <c r="H68" s="442">
        <f>IFERROR(+G68*B68*-100,0)</f>
        <v>0</v>
      </c>
      <c r="I68" s="443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4">
        <f t="shared" si="11"/>
        <v>0</v>
      </c>
      <c r="AY68" s="215">
        <f t="shared" si="12"/>
        <v>0</v>
      </c>
      <c r="AZ68" s="148" t="s">
        <v>402</v>
      </c>
      <c r="BA68" s="112"/>
      <c r="BB68" s="129"/>
      <c r="BC68" s="115"/>
      <c r="BD68" s="216">
        <f t="shared" si="13"/>
        <v>0</v>
      </c>
      <c r="BE68" s="218">
        <f t="shared" si="14"/>
        <v>0</v>
      </c>
      <c r="BF68" s="149" t="s">
        <v>403</v>
      </c>
      <c r="BG68" s="112"/>
      <c r="BH68" s="115"/>
      <c r="BI68" s="219">
        <f t="shared" si="15"/>
        <v>0</v>
      </c>
      <c r="BJ68" s="220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13" t="s">
        <v>401</v>
      </c>
      <c r="B69" s="144"/>
      <c r="C69" s="200"/>
      <c r="D69" s="201"/>
      <c r="E69" s="432">
        <f t="shared" si="0"/>
        <v>0</v>
      </c>
      <c r="F69" s="433">
        <f t="shared" si="125"/>
        <v>0</v>
      </c>
      <c r="G69" s="202" t="str">
        <f t="shared" si="124"/>
        <v/>
      </c>
      <c r="H69" s="442">
        <f>IFERROR(+G69*B69*-100,0)</f>
        <v>0</v>
      </c>
      <c r="I69" s="443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4">
        <f t="shared" si="11"/>
        <v>0</v>
      </c>
      <c r="AY69" s="215">
        <f t="shared" si="12"/>
        <v>0</v>
      </c>
      <c r="AZ69" s="148" t="s">
        <v>402</v>
      </c>
      <c r="BA69" s="112"/>
      <c r="BB69" s="129"/>
      <c r="BC69" s="115"/>
      <c r="BD69" s="216">
        <f t="shared" si="13"/>
        <v>0</v>
      </c>
      <c r="BE69" s="218">
        <f t="shared" si="14"/>
        <v>0</v>
      </c>
      <c r="BF69" s="149" t="s">
        <v>403</v>
      </c>
      <c r="BG69" s="112"/>
      <c r="BH69" s="115"/>
      <c r="BI69" s="219">
        <f t="shared" si="15"/>
        <v>0</v>
      </c>
      <c r="BJ69" s="220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13" t="s">
        <v>401</v>
      </c>
      <c r="B70" s="144"/>
      <c r="C70" s="200"/>
      <c r="D70" s="201"/>
      <c r="E70" s="432">
        <f t="shared" si="0"/>
        <v>0</v>
      </c>
      <c r="F70" s="433">
        <f t="shared" si="125"/>
        <v>0</v>
      </c>
      <c r="G70" s="202" t="str">
        <f t="shared" si="124"/>
        <v/>
      </c>
      <c r="H70" s="442">
        <f>IFERROR(+G70*B70*-100,0)</f>
        <v>0</v>
      </c>
      <c r="I70" s="443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4">
        <f t="shared" si="11"/>
        <v>0</v>
      </c>
      <c r="AY70" s="215">
        <f t="shared" si="12"/>
        <v>0</v>
      </c>
      <c r="AZ70" s="148" t="s">
        <v>402</v>
      </c>
      <c r="BA70" s="112"/>
      <c r="BB70" s="129"/>
      <c r="BC70" s="115"/>
      <c r="BD70" s="216">
        <f t="shared" si="13"/>
        <v>0</v>
      </c>
      <c r="BE70" s="218">
        <f t="shared" si="14"/>
        <v>0</v>
      </c>
      <c r="BF70" s="149" t="s">
        <v>403</v>
      </c>
      <c r="BG70" s="112"/>
      <c r="BH70" s="115"/>
      <c r="BI70" s="219">
        <f t="shared" si="15"/>
        <v>0</v>
      </c>
      <c r="BJ70" s="220">
        <f t="shared" si="16"/>
        <v>0</v>
      </c>
      <c r="DE70" s="117">
        <f t="shared" ref="DE70:DE101" si="126">DE3</f>
        <v>1922.5506102192917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1922.5506102192917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13" t="s">
        <v>401</v>
      </c>
      <c r="B71" s="144"/>
      <c r="C71" s="200"/>
      <c r="D71" s="201"/>
      <c r="E71" s="432">
        <f t="shared" si="0"/>
        <v>0</v>
      </c>
      <c r="F71" s="433">
        <f t="shared" si="125"/>
        <v>0</v>
      </c>
      <c r="G71" s="202" t="str">
        <f t="shared" si="124"/>
        <v/>
      </c>
      <c r="H71" s="442">
        <f>IFERROR(+G71*B71*-100,0)</f>
        <v>0</v>
      </c>
      <c r="I71" s="443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4">
        <f t="shared" si="11"/>
        <v>0</v>
      </c>
      <c r="AY71" s="215">
        <f t="shared" si="12"/>
        <v>0</v>
      </c>
      <c r="AZ71" s="148" t="s">
        <v>402</v>
      </c>
      <c r="BA71" s="112"/>
      <c r="BB71" s="129"/>
      <c r="BC71" s="115"/>
      <c r="BD71" s="216">
        <f t="shared" si="13"/>
        <v>0</v>
      </c>
      <c r="BE71" s="218">
        <f t="shared" si="14"/>
        <v>0</v>
      </c>
      <c r="BF71" s="149" t="s">
        <v>403</v>
      </c>
      <c r="BG71" s="112"/>
      <c r="BH71" s="115"/>
      <c r="BI71" s="219">
        <f t="shared" si="15"/>
        <v>0</v>
      </c>
      <c r="BJ71" s="220">
        <f t="shared" si="16"/>
        <v>0</v>
      </c>
      <c r="DE71" s="117">
        <f t="shared" si="126"/>
        <v>1982.0109383704039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1982.0109383704039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13" t="s">
        <v>401</v>
      </c>
      <c r="B72" s="178"/>
      <c r="C72" s="207"/>
      <c r="D72" s="208"/>
      <c r="E72" s="434">
        <f t="shared" si="0"/>
        <v>0</v>
      </c>
      <c r="F72" s="435">
        <f t="shared" si="125"/>
        <v>0</v>
      </c>
      <c r="G72" s="206" t="str">
        <f t="shared" si="124"/>
        <v/>
      </c>
      <c r="H72" s="444">
        <f>IFERROR(+G72*B72*-100,0)</f>
        <v>0</v>
      </c>
      <c r="I72" s="445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4">
        <f t="shared" si="11"/>
        <v>0</v>
      </c>
      <c r="AY72" s="215">
        <f t="shared" si="12"/>
        <v>0</v>
      </c>
      <c r="AZ72" s="148" t="s">
        <v>402</v>
      </c>
      <c r="BA72" s="112"/>
      <c r="BB72" s="129"/>
      <c r="BC72" s="115"/>
      <c r="BD72" s="216">
        <f t="shared" si="13"/>
        <v>0</v>
      </c>
      <c r="BE72" s="218">
        <f t="shared" si="14"/>
        <v>0</v>
      </c>
      <c r="BF72" s="149" t="s">
        <v>403</v>
      </c>
      <c r="BG72" s="112"/>
      <c r="BH72" s="115"/>
      <c r="BI72" s="219">
        <f t="shared" si="15"/>
        <v>0</v>
      </c>
      <c r="BJ72" s="220">
        <f t="shared" si="16"/>
        <v>0</v>
      </c>
      <c r="DE72" s="117">
        <f t="shared" si="126"/>
        <v>2043.3102457426844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2043.3102457426844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841" t="s">
        <v>403</v>
      </c>
      <c r="B73" s="179"/>
      <c r="C73" s="180"/>
      <c r="D73" s="181"/>
      <c r="E73" s="436">
        <f>-C73*B73</f>
        <v>0</v>
      </c>
      <c r="F73" s="437">
        <f>IF(B73&gt;0,-C73*(1+($N$52+0.0008)*1.21)*B73,-C73*(1-($N$52+0.0008)*1.21)*B73)</f>
        <v>0</v>
      </c>
      <c r="G73" s="210">
        <f>B76</f>
        <v>3036</v>
      </c>
      <c r="H73" s="446">
        <f>-G73*B73</f>
        <v>0</v>
      </c>
      <c r="I73" s="447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4">
        <f t="shared" si="11"/>
        <v>0</v>
      </c>
      <c r="AY73" s="215">
        <f t="shared" si="12"/>
        <v>0</v>
      </c>
      <c r="AZ73" s="148" t="s">
        <v>402</v>
      </c>
      <c r="BA73" s="112"/>
      <c r="BB73" s="129"/>
      <c r="BC73" s="115"/>
      <c r="BD73" s="216">
        <f t="shared" si="13"/>
        <v>0</v>
      </c>
      <c r="BE73" s="218">
        <f t="shared" si="14"/>
        <v>0</v>
      </c>
      <c r="BF73" s="149" t="s">
        <v>403</v>
      </c>
      <c r="BG73" s="112"/>
      <c r="BH73" s="115"/>
      <c r="BI73" s="219">
        <f t="shared" si="15"/>
        <v>0</v>
      </c>
      <c r="BJ73" s="220">
        <f t="shared" si="16"/>
        <v>0</v>
      </c>
      <c r="DE73" s="117">
        <f t="shared" si="126"/>
        <v>2106.5054079821489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2106.5054079821489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842"/>
      <c r="B74" s="144"/>
      <c r="C74" s="125"/>
      <c r="D74" s="182"/>
      <c r="E74" s="438">
        <f>-C74*B74</f>
        <v>0</v>
      </c>
      <c r="F74" s="439">
        <f>IF(B74&gt;0,-C74*(1+($N$52+0.0008)*1.21)*B74,-C74*(1-($N$52+0.0008)*1.21)*B74)</f>
        <v>0</v>
      </c>
      <c r="G74" s="210">
        <f>G73</f>
        <v>3036</v>
      </c>
      <c r="H74" s="446">
        <f>-G74*B74</f>
        <v>0</v>
      </c>
      <c r="I74" s="447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4">
        <f t="shared" si="11"/>
        <v>0</v>
      </c>
      <c r="AY74" s="215">
        <f t="shared" si="12"/>
        <v>0</v>
      </c>
      <c r="AZ74" s="148" t="s">
        <v>402</v>
      </c>
      <c r="BA74" s="112"/>
      <c r="BB74" s="129"/>
      <c r="BC74" s="115"/>
      <c r="BD74" s="216">
        <f t="shared" si="13"/>
        <v>0</v>
      </c>
      <c r="BE74" s="218">
        <f t="shared" si="14"/>
        <v>0</v>
      </c>
      <c r="BF74" s="149" t="s">
        <v>403</v>
      </c>
      <c r="BG74" s="112"/>
      <c r="BH74" s="115"/>
      <c r="BI74" s="219">
        <f t="shared" si="15"/>
        <v>0</v>
      </c>
      <c r="BJ74" s="220">
        <f t="shared" si="16"/>
        <v>0</v>
      </c>
      <c r="DE74" s="117">
        <f t="shared" si="126"/>
        <v>2171.6550597754112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2171.6550597754112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843"/>
      <c r="B75" s="178"/>
      <c r="C75" s="183"/>
      <c r="D75" s="184"/>
      <c r="E75" s="440">
        <f>-C75*B75</f>
        <v>0</v>
      </c>
      <c r="F75" s="441">
        <f>IF(B75&gt;0,-C75*(1+($N$52+0.0008)*1.21)*B75,-C75*(1-($N$52+0.0008)*1.21)*B75)</f>
        <v>0</v>
      </c>
      <c r="G75" s="211">
        <f>G74</f>
        <v>3036</v>
      </c>
      <c r="H75" s="448">
        <f>-G75*B75</f>
        <v>0</v>
      </c>
      <c r="I75" s="449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4">
        <f t="shared" si="11"/>
        <v>0</v>
      </c>
      <c r="AY75" s="215">
        <f t="shared" si="12"/>
        <v>0</v>
      </c>
      <c r="AZ75" s="148" t="s">
        <v>402</v>
      </c>
      <c r="BA75" s="112"/>
      <c r="BB75" s="129"/>
      <c r="BC75" s="115"/>
      <c r="BD75" s="216">
        <f t="shared" si="13"/>
        <v>0</v>
      </c>
      <c r="BE75" s="218">
        <f t="shared" si="14"/>
        <v>0</v>
      </c>
      <c r="BF75" s="149" t="s">
        <v>403</v>
      </c>
      <c r="BG75" s="112"/>
      <c r="BH75" s="115"/>
      <c r="BI75" s="219">
        <f t="shared" si="15"/>
        <v>0</v>
      </c>
      <c r="BJ75" s="220">
        <f t="shared" si="16"/>
        <v>0</v>
      </c>
      <c r="DE75" s="117">
        <f t="shared" si="126"/>
        <v>2238.8196492530014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2238.8196492530014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10">
        <f>IFERROR(VLOOKUP("GGAL - 48hs",HomeBroker!$A$18:$F$106,6,0),0)</f>
        <v>3036</v>
      </c>
      <c r="C76" s="186"/>
      <c r="D76" s="187" t="s">
        <v>459</v>
      </c>
      <c r="E76" s="407">
        <f>SUM(E3:E75)</f>
        <v>-48400</v>
      </c>
      <c r="F76" s="408">
        <f>SUM(F3:F75)</f>
        <v>-48522.984399999994</v>
      </c>
      <c r="G76" s="188"/>
      <c r="H76" s="189"/>
      <c r="I76" s="409">
        <f>SUM(I3:I75)</f>
        <v>97.015600000013364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4">
        <f t="shared" si="11"/>
        <v>0</v>
      </c>
      <c r="AY76" s="215">
        <f t="shared" si="12"/>
        <v>0</v>
      </c>
      <c r="AZ76" s="148" t="s">
        <v>402</v>
      </c>
      <c r="BA76" s="112"/>
      <c r="BB76" s="129"/>
      <c r="BC76" s="115"/>
      <c r="BD76" s="216">
        <f t="shared" si="13"/>
        <v>0</v>
      </c>
      <c r="BE76" s="218">
        <f t="shared" si="14"/>
        <v>0</v>
      </c>
      <c r="BF76" s="149" t="s">
        <v>403</v>
      </c>
      <c r="BG76" s="112"/>
      <c r="BH76" s="115"/>
      <c r="BI76" s="219">
        <f t="shared" si="15"/>
        <v>0</v>
      </c>
      <c r="BJ76" s="220">
        <f t="shared" si="16"/>
        <v>0</v>
      </c>
      <c r="DE76" s="117">
        <f t="shared" si="126"/>
        <v>2308.0614940752594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2308.0614940752594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2379.4448392528448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2379.4448392528448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2453.0359167555102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2453.0359167555102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2528.9030069644436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2528.9030069644436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2607.1165020251997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2607.1165020251997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2687.7489711599997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2687.7489711599997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2770.8752279999999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2770.8752279999999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2856.5724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2856.5724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2944.92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2944.92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3036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3036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3127.08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3127.08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3220.8924000000002</v>
      </c>
      <c r="DF87" s="118">
        <f t="shared" si="127"/>
        <v>0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0</v>
      </c>
      <c r="EU87" s="72"/>
      <c r="EV87" s="117">
        <f t="shared" si="168"/>
        <v>3220.8924000000002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3317.5191720000003</v>
      </c>
      <c r="DF88" s="118">
        <f t="shared" si="127"/>
        <v>0</v>
      </c>
      <c r="DG88" s="118">
        <f t="shared" si="128"/>
        <v>0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0</v>
      </c>
      <c r="EU88" s="72"/>
      <c r="EV88" s="117">
        <f t="shared" si="168"/>
        <v>3317.5191720000003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3417.0447471600005</v>
      </c>
      <c r="DF89" s="118">
        <f t="shared" si="127"/>
        <v>0</v>
      </c>
      <c r="DG89" s="118">
        <f t="shared" si="128"/>
        <v>0</v>
      </c>
      <c r="DH89" s="118">
        <f t="shared" si="129"/>
        <v>0</v>
      </c>
      <c r="DI89" s="118">
        <f t="shared" si="130"/>
        <v>0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0</v>
      </c>
      <c r="EU89" s="72"/>
      <c r="EV89" s="117">
        <f t="shared" si="168"/>
        <v>3417.0447471600005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3519.5560895748008</v>
      </c>
      <c r="DF90" s="118">
        <f t="shared" si="127"/>
        <v>0</v>
      </c>
      <c r="DG90" s="118">
        <f t="shared" si="128"/>
        <v>0</v>
      </c>
      <c r="DH90" s="118">
        <f t="shared" si="129"/>
        <v>0</v>
      </c>
      <c r="DI90" s="118">
        <f t="shared" si="130"/>
        <v>0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0</v>
      </c>
      <c r="EU90" s="72"/>
      <c r="EV90" s="117">
        <f t="shared" si="168"/>
        <v>3519.5560895748008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3625.1427722620451</v>
      </c>
      <c r="DF91" s="118">
        <f t="shared" si="127"/>
        <v>0</v>
      </c>
      <c r="DG91" s="118">
        <f t="shared" si="128"/>
        <v>0</v>
      </c>
      <c r="DH91" s="118">
        <f t="shared" si="129"/>
        <v>0</v>
      </c>
      <c r="DI91" s="118">
        <f t="shared" si="130"/>
        <v>0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0</v>
      </c>
      <c r="EU91" s="72"/>
      <c r="EV91" s="117">
        <f t="shared" si="168"/>
        <v>3625.1427722620451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3733.8970554299067</v>
      </c>
      <c r="DF92" s="118">
        <f t="shared" si="127"/>
        <v>0</v>
      </c>
      <c r="DG92" s="118">
        <f t="shared" si="128"/>
        <v>0</v>
      </c>
      <c r="DH92" s="118">
        <f t="shared" si="129"/>
        <v>0</v>
      </c>
      <c r="DI92" s="118">
        <f t="shared" si="130"/>
        <v>0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0</v>
      </c>
      <c r="EU92" s="72"/>
      <c r="EV92" s="117">
        <f t="shared" si="168"/>
        <v>3733.8970554299067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3845.9139670928039</v>
      </c>
      <c r="DF93" s="118">
        <f t="shared" si="127"/>
        <v>0</v>
      </c>
      <c r="DG93" s="118">
        <f t="shared" si="128"/>
        <v>0</v>
      </c>
      <c r="DH93" s="118">
        <f t="shared" si="129"/>
        <v>0</v>
      </c>
      <c r="DI93" s="118">
        <f t="shared" si="130"/>
        <v>0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0</v>
      </c>
      <c r="EU93" s="72"/>
      <c r="EV93" s="117">
        <f t="shared" si="168"/>
        <v>3845.9139670928039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3961.2913861055881</v>
      </c>
      <c r="DF94" s="118">
        <f t="shared" si="127"/>
        <v>0</v>
      </c>
      <c r="DG94" s="118">
        <f t="shared" si="128"/>
        <v>0</v>
      </c>
      <c r="DH94" s="118">
        <f t="shared" si="129"/>
        <v>0</v>
      </c>
      <c r="DI94" s="118">
        <f t="shared" si="130"/>
        <v>0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0</v>
      </c>
      <c r="EU94" s="72"/>
      <c r="EV94" s="117">
        <f t="shared" si="168"/>
        <v>3961.2913861055881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4080.1301276887557</v>
      </c>
      <c r="DF95" s="118">
        <f t="shared" si="127"/>
        <v>0</v>
      </c>
      <c r="DG95" s="118">
        <f t="shared" si="128"/>
        <v>0</v>
      </c>
      <c r="DH95" s="118">
        <f t="shared" si="129"/>
        <v>0</v>
      </c>
      <c r="DI95" s="118">
        <f t="shared" si="130"/>
        <v>0</v>
      </c>
      <c r="DJ95" s="118">
        <f t="shared" si="131"/>
        <v>0</v>
      </c>
      <c r="DK95" s="118">
        <f t="shared" si="132"/>
        <v>0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0</v>
      </c>
      <c r="EU95" s="72"/>
      <c r="EV95" s="117">
        <f t="shared" si="168"/>
        <v>4080.1301276887557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4202.534031519418</v>
      </c>
      <c r="DF96" s="118">
        <f t="shared" si="127"/>
        <v>0</v>
      </c>
      <c r="DG96" s="118">
        <f t="shared" si="128"/>
        <v>0</v>
      </c>
      <c r="DH96" s="118">
        <f t="shared" si="129"/>
        <v>0</v>
      </c>
      <c r="DI96" s="118">
        <f t="shared" si="130"/>
        <v>0</v>
      </c>
      <c r="DJ96" s="118">
        <f t="shared" si="131"/>
        <v>0</v>
      </c>
      <c r="DK96" s="118">
        <f t="shared" si="132"/>
        <v>0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5574.8693427196486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5574.8693427196486</v>
      </c>
      <c r="EU96" s="72"/>
      <c r="EV96" s="117">
        <f t="shared" si="168"/>
        <v>4202.534031519418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4328.610052465001</v>
      </c>
      <c r="DF97" s="118">
        <f t="shared" si="127"/>
        <v>0</v>
      </c>
      <c r="DG97" s="118">
        <f t="shared" si="128"/>
        <v>0</v>
      </c>
      <c r="DH97" s="118">
        <f t="shared" si="129"/>
        <v>0</v>
      </c>
      <c r="DI97" s="118">
        <f t="shared" si="130"/>
        <v>0</v>
      </c>
      <c r="DJ97" s="118">
        <f t="shared" si="131"/>
        <v>0</v>
      </c>
      <c r="DK97" s="118">
        <f t="shared" si="132"/>
        <v>0</v>
      </c>
      <c r="DL97" s="118">
        <f t="shared" si="133"/>
        <v>0</v>
      </c>
      <c r="DM97" s="118">
        <f t="shared" si="134"/>
        <v>0</v>
      </c>
      <c r="DN97" s="118">
        <f t="shared" si="135"/>
        <v>0</v>
      </c>
      <c r="DO97" s="118">
        <f t="shared" si="136"/>
        <v>282942.11542300216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282942.11542300216</v>
      </c>
      <c r="EU97" s="72"/>
      <c r="EV97" s="117">
        <f t="shared" si="168"/>
        <v>4328.610052465001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4458.4683540389515</v>
      </c>
      <c r="DF98" s="118">
        <f t="shared" si="127"/>
        <v>0</v>
      </c>
      <c r="DG98" s="118">
        <f t="shared" si="128"/>
        <v>0</v>
      </c>
      <c r="DH98" s="118">
        <f t="shared" si="129"/>
        <v>0</v>
      </c>
      <c r="DI98" s="118">
        <f t="shared" si="130"/>
        <v>0</v>
      </c>
      <c r="DJ98" s="118">
        <f t="shared" si="131"/>
        <v>0</v>
      </c>
      <c r="DK98" s="118">
        <f t="shared" si="132"/>
        <v>0</v>
      </c>
      <c r="DL98" s="118">
        <f t="shared" si="133"/>
        <v>0</v>
      </c>
      <c r="DM98" s="118">
        <f t="shared" si="134"/>
        <v>0</v>
      </c>
      <c r="DN98" s="118">
        <f t="shared" si="135"/>
        <v>0</v>
      </c>
      <c r="DO98" s="118">
        <f t="shared" si="136"/>
        <v>568630.37888569327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568630.37888569327</v>
      </c>
      <c r="EU98" s="72"/>
      <c r="EV98" s="117">
        <f t="shared" si="168"/>
        <v>4458.4683540389515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4592.2224046601204</v>
      </c>
      <c r="DF99" s="118">
        <f t="shared" si="127"/>
        <v>0</v>
      </c>
      <c r="DG99" s="118">
        <f t="shared" si="128"/>
        <v>0</v>
      </c>
      <c r="DH99" s="118">
        <f t="shared" si="129"/>
        <v>0</v>
      </c>
      <c r="DI99" s="118">
        <f t="shared" si="130"/>
        <v>0</v>
      </c>
      <c r="DJ99" s="118">
        <f t="shared" si="131"/>
        <v>0</v>
      </c>
      <c r="DK99" s="118">
        <f t="shared" si="132"/>
        <v>0</v>
      </c>
      <c r="DL99" s="118">
        <f t="shared" si="133"/>
        <v>0</v>
      </c>
      <c r="DM99" s="118">
        <f t="shared" si="134"/>
        <v>0</v>
      </c>
      <c r="DN99" s="118">
        <f t="shared" si="135"/>
        <v>0</v>
      </c>
      <c r="DO99" s="118">
        <f t="shared" si="136"/>
        <v>862889.29025226494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862889.29025226494</v>
      </c>
      <c r="EU99" s="72"/>
      <c r="EV99" s="117">
        <f t="shared" si="168"/>
        <v>4592.2224046601204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4729.9890767999241</v>
      </c>
      <c r="DF100" s="118">
        <f t="shared" si="127"/>
        <v>0</v>
      </c>
      <c r="DG100" s="118">
        <f t="shared" si="128"/>
        <v>0</v>
      </c>
      <c r="DH100" s="118">
        <f t="shared" si="129"/>
        <v>0</v>
      </c>
      <c r="DI100" s="118">
        <f t="shared" si="130"/>
        <v>0</v>
      </c>
      <c r="DJ100" s="118">
        <f t="shared" si="131"/>
        <v>0</v>
      </c>
      <c r="DK100" s="118">
        <f t="shared" si="132"/>
        <v>0</v>
      </c>
      <c r="DL100" s="118">
        <f t="shared" si="133"/>
        <v>0</v>
      </c>
      <c r="DM100" s="118">
        <f t="shared" si="134"/>
        <v>0</v>
      </c>
      <c r="DN100" s="118">
        <f t="shared" si="135"/>
        <v>0</v>
      </c>
      <c r="DO100" s="118">
        <f t="shared" si="136"/>
        <v>1165975.968959833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1165975.968959833</v>
      </c>
      <c r="EU100" s="72"/>
      <c r="EV100" s="117">
        <f t="shared" si="168"/>
        <v>4729.9890767999241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4871.8887491039222</v>
      </c>
      <c r="DF101" s="118">
        <f t="shared" si="127"/>
        <v>0</v>
      </c>
      <c r="DG101" s="118">
        <f t="shared" si="128"/>
        <v>0</v>
      </c>
      <c r="DH101" s="118">
        <f t="shared" si="129"/>
        <v>0</v>
      </c>
      <c r="DI101" s="118">
        <f t="shared" si="130"/>
        <v>0</v>
      </c>
      <c r="DJ101" s="118">
        <f t="shared" si="131"/>
        <v>0</v>
      </c>
      <c r="DK101" s="118">
        <f t="shared" si="132"/>
        <v>0</v>
      </c>
      <c r="DL101" s="118">
        <f t="shared" si="133"/>
        <v>0</v>
      </c>
      <c r="DM101" s="118">
        <f t="shared" si="134"/>
        <v>0</v>
      </c>
      <c r="DN101" s="118">
        <f t="shared" si="135"/>
        <v>0</v>
      </c>
      <c r="DO101" s="118">
        <f t="shared" si="136"/>
        <v>1478155.248028629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1478155.248028629</v>
      </c>
      <c r="EU101" s="72"/>
      <c r="EV101" s="117">
        <f t="shared" si="168"/>
        <v>4871.8887491039222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1922.5506102192917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1922.5506102192917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1982.0109383704039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1982.0109383704039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2043.3102457426844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2043.3102457426844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2106.5054079821489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2106.5054079821489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2171.6550597754112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2171.6550597754112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2238.8196492530014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2238.8196492530014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2308.0614940752594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2308.0614940752594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2379.4448392528448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2379.4448392528448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2453.0359167555102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2453.0359167555102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2528.9030069644436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2528.9030069644436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2607.1165020251997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2607.1165020251997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2687.7489711599997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2687.7489711599997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2770.8752279999999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2770.8752279999999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2856.5724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2856.5724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2944.92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2944.92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3036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3036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3127.08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3127.08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3220.8924000000002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3220.8924000000002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3317.5191720000003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3317.5191720000003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3417.0447471600005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3417.0447471600005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3519.5560895748008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3519.5560895748008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3625.1427722620451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3625.1427722620451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3733.8970554299067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3733.8970554299067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3845.9139670928039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3845.9139670928039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3961.2913861055881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3961.2913861055881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4080.1301276887557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4080.1301276887557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4202.534031519418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4202.534031519418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4328.610052465001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4328.610052465001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4458.4683540389515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4458.4683540389515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4592.2224046601204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4592.2224046601204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4729.9890767999241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4729.9890767999241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4871.8887491039222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4871.8887491039222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2215" priority="461">
      <formula>AC3&gt;0</formula>
    </cfRule>
  </conditionalFormatting>
  <conditionalFormatting sqref="AD3 AD27:AD42">
    <cfRule type="expression" dxfId="2214" priority="462">
      <formula>AC3&lt;0</formula>
    </cfRule>
  </conditionalFormatting>
  <conditionalFormatting sqref="M3:N34">
    <cfRule type="cellIs" dxfId="2213" priority="463" operator="greaterThan">
      <formula>0</formula>
    </cfRule>
  </conditionalFormatting>
  <conditionalFormatting sqref="M3:N34">
    <cfRule type="cellIs" dxfId="2212" priority="464" operator="lessThan">
      <formula>0</formula>
    </cfRule>
  </conditionalFormatting>
  <conditionalFormatting sqref="B73:B74 B17:B18 B20:B30 AC3:AC17">
    <cfRule type="cellIs" dxfId="2211" priority="465" operator="greaterThan">
      <formula>0</formula>
    </cfRule>
  </conditionalFormatting>
  <conditionalFormatting sqref="B73:B74 B17:B18 B20:B30 AC3:AC17">
    <cfRule type="cellIs" dxfId="2210" priority="466" operator="lessThan">
      <formula>0</formula>
    </cfRule>
  </conditionalFormatting>
  <conditionalFormatting sqref="BA61:BA76">
    <cfRule type="cellIs" dxfId="2209" priority="467" operator="greaterThan">
      <formula>0</formula>
    </cfRule>
  </conditionalFormatting>
  <conditionalFormatting sqref="BA61:BA76">
    <cfRule type="cellIs" dxfId="2208" priority="468" operator="lessThan">
      <formula>0</formula>
    </cfRule>
  </conditionalFormatting>
  <conditionalFormatting sqref="BA6:BA8">
    <cfRule type="cellIs" dxfId="2207" priority="469" operator="greaterThan">
      <formula>0</formula>
    </cfRule>
  </conditionalFormatting>
  <conditionalFormatting sqref="BA6:BA8">
    <cfRule type="cellIs" dxfId="2206" priority="470" operator="lessThan">
      <formula>0</formula>
    </cfRule>
  </conditionalFormatting>
  <conditionalFormatting sqref="B43 B17:B18 B41 B20:B30 Q3 AC3:AC42">
    <cfRule type="cellIs" dxfId="2205" priority="471" operator="greaterThan">
      <formula>0</formula>
    </cfRule>
  </conditionalFormatting>
  <conditionalFormatting sqref="B43 B17:B18 B41 B20:B30 Q3 AC3:AC42">
    <cfRule type="cellIs" dxfId="2204" priority="472" operator="lessThan">
      <formula>0</formula>
    </cfRule>
  </conditionalFormatting>
  <conditionalFormatting sqref="B30">
    <cfRule type="cellIs" dxfId="2203" priority="473" operator="greaterThan">
      <formula>0</formula>
    </cfRule>
  </conditionalFormatting>
  <conditionalFormatting sqref="B30">
    <cfRule type="cellIs" dxfId="2202" priority="474" operator="lessThan">
      <formula>0</formula>
    </cfRule>
  </conditionalFormatting>
  <conditionalFormatting sqref="B75">
    <cfRule type="cellIs" dxfId="2201" priority="475" operator="greaterThan">
      <formula>0</formula>
    </cfRule>
  </conditionalFormatting>
  <conditionalFormatting sqref="B75">
    <cfRule type="cellIs" dxfId="2200" priority="476" operator="lessThan">
      <formula>0</formula>
    </cfRule>
  </conditionalFormatting>
  <conditionalFormatting sqref="BA9">
    <cfRule type="cellIs" dxfId="2199" priority="477" operator="greaterThan">
      <formula>0</formula>
    </cfRule>
  </conditionalFormatting>
  <conditionalFormatting sqref="BA9">
    <cfRule type="cellIs" dxfId="2198" priority="478" operator="lessThan">
      <formula>0</formula>
    </cfRule>
  </conditionalFormatting>
  <conditionalFormatting sqref="AU14:AU16">
    <cfRule type="cellIs" dxfId="2197" priority="479" operator="greaterThan">
      <formula>0</formula>
    </cfRule>
  </conditionalFormatting>
  <conditionalFormatting sqref="AU14:AU16">
    <cfRule type="cellIs" dxfId="2196" priority="480" operator="lessThan">
      <formula>0</formula>
    </cfRule>
  </conditionalFormatting>
  <conditionalFormatting sqref="AU28">
    <cfRule type="cellIs" dxfId="2195" priority="481" operator="greaterThan">
      <formula>0</formula>
    </cfRule>
  </conditionalFormatting>
  <conditionalFormatting sqref="AU28">
    <cfRule type="cellIs" dxfId="2194" priority="482" operator="lessThan">
      <formula>0</formula>
    </cfRule>
  </conditionalFormatting>
  <conditionalFormatting sqref="BA27">
    <cfRule type="cellIs" dxfId="2193" priority="483" operator="greaterThan">
      <formula>0</formula>
    </cfRule>
  </conditionalFormatting>
  <conditionalFormatting sqref="BA27">
    <cfRule type="cellIs" dxfId="2192" priority="484" operator="lessThan">
      <formula>0</formula>
    </cfRule>
  </conditionalFormatting>
  <conditionalFormatting sqref="BA22">
    <cfRule type="cellIs" dxfId="2191" priority="485" operator="greaterThan">
      <formula>0</formula>
    </cfRule>
  </conditionalFormatting>
  <conditionalFormatting sqref="BA22">
    <cfRule type="cellIs" dxfId="2190" priority="486" operator="lessThan">
      <formula>0</formula>
    </cfRule>
  </conditionalFormatting>
  <conditionalFormatting sqref="AU16:AU42">
    <cfRule type="cellIs" dxfId="2189" priority="487" operator="greaterThan">
      <formula>0</formula>
    </cfRule>
  </conditionalFormatting>
  <conditionalFormatting sqref="AU16:AU42">
    <cfRule type="cellIs" dxfId="2188" priority="488" operator="lessThan">
      <formula>0</formula>
    </cfRule>
  </conditionalFormatting>
  <conditionalFormatting sqref="AU24:AU27">
    <cfRule type="cellIs" dxfId="2187" priority="489" operator="greaterThan">
      <formula>0</formula>
    </cfRule>
  </conditionalFormatting>
  <conditionalFormatting sqref="AU24:AU27">
    <cfRule type="cellIs" dxfId="2186" priority="490" operator="lessThan">
      <formula>0</formula>
    </cfRule>
  </conditionalFormatting>
  <conditionalFormatting sqref="BA10:BA11 BA16:BA18 BA20:BA42">
    <cfRule type="cellIs" dxfId="2185" priority="491" operator="greaterThan">
      <formula>0</formula>
    </cfRule>
  </conditionalFormatting>
  <conditionalFormatting sqref="BA10:BA11 BA16:BA18 BA20:BA42">
    <cfRule type="cellIs" dxfId="2184" priority="492" operator="lessThan">
      <formula>0</formula>
    </cfRule>
  </conditionalFormatting>
  <conditionalFormatting sqref="BA12:BA15">
    <cfRule type="cellIs" dxfId="2183" priority="493" operator="greaterThan">
      <formula>0</formula>
    </cfRule>
  </conditionalFormatting>
  <conditionalFormatting sqref="BA12:BA15">
    <cfRule type="cellIs" dxfId="2182" priority="494" operator="lessThan">
      <formula>0</formula>
    </cfRule>
  </conditionalFormatting>
  <conditionalFormatting sqref="BA19">
    <cfRule type="cellIs" dxfId="2181" priority="495" operator="greaterThan">
      <formula>0</formula>
    </cfRule>
  </conditionalFormatting>
  <conditionalFormatting sqref="BA19">
    <cfRule type="cellIs" dxfId="2180" priority="496" operator="lessThan">
      <formula>0</formula>
    </cfRule>
  </conditionalFormatting>
  <conditionalFormatting sqref="AU29:AU36">
    <cfRule type="cellIs" dxfId="2179" priority="497" operator="greaterThan">
      <formula>0</formula>
    </cfRule>
  </conditionalFormatting>
  <conditionalFormatting sqref="AU29:AU36">
    <cfRule type="cellIs" dxfId="2178" priority="498" operator="lessThan">
      <formula>0</formula>
    </cfRule>
  </conditionalFormatting>
  <conditionalFormatting sqref="BA23:BA24">
    <cfRule type="cellIs" dxfId="2177" priority="499" operator="greaterThan">
      <formula>0</formula>
    </cfRule>
  </conditionalFormatting>
  <conditionalFormatting sqref="BA23:BA24">
    <cfRule type="cellIs" dxfId="2176" priority="500" operator="lessThan">
      <formula>0</formula>
    </cfRule>
  </conditionalFormatting>
  <conditionalFormatting sqref="BA25:BA26">
    <cfRule type="cellIs" dxfId="2175" priority="501" operator="greaterThan">
      <formula>0</formula>
    </cfRule>
  </conditionalFormatting>
  <conditionalFormatting sqref="BA25:BA26">
    <cfRule type="cellIs" dxfId="2174" priority="502" operator="lessThan">
      <formula>0</formula>
    </cfRule>
  </conditionalFormatting>
  <conditionalFormatting sqref="AU61:AU76">
    <cfRule type="cellIs" dxfId="2173" priority="503" operator="greaterThan">
      <formula>0</formula>
    </cfRule>
  </conditionalFormatting>
  <conditionalFormatting sqref="AU61:AU76">
    <cfRule type="cellIs" dxfId="2172" priority="504" operator="lessThan">
      <formula>0</formula>
    </cfRule>
  </conditionalFormatting>
  <conditionalFormatting sqref="AU50:AU53 AU55:AU68">
    <cfRule type="cellIs" dxfId="2171" priority="505" operator="greaterThan">
      <formula>0</formula>
    </cfRule>
  </conditionalFormatting>
  <conditionalFormatting sqref="AU50:AU53 AU55:AU68">
    <cfRule type="cellIs" dxfId="2170" priority="506" operator="lessThan">
      <formula>0</formula>
    </cfRule>
  </conditionalFormatting>
  <conditionalFormatting sqref="AU50">
    <cfRule type="cellIs" dxfId="2169" priority="507" operator="greaterThan">
      <formula>0</formula>
    </cfRule>
  </conditionalFormatting>
  <conditionalFormatting sqref="AU50">
    <cfRule type="cellIs" dxfId="2168" priority="508" operator="lessThan">
      <formula>0</formula>
    </cfRule>
  </conditionalFormatting>
  <conditionalFormatting sqref="AU70">
    <cfRule type="cellIs" dxfId="2167" priority="509" operator="greaterThan">
      <formula>0</formula>
    </cfRule>
  </conditionalFormatting>
  <conditionalFormatting sqref="AU70">
    <cfRule type="cellIs" dxfId="2166" priority="510" operator="lessThan">
      <formula>0</formula>
    </cfRule>
  </conditionalFormatting>
  <conditionalFormatting sqref="AU35:AU47 AU50">
    <cfRule type="cellIs" dxfId="2165" priority="511" operator="greaterThan">
      <formula>0</formula>
    </cfRule>
  </conditionalFormatting>
  <conditionalFormatting sqref="AU35:AU47 AU50">
    <cfRule type="cellIs" dxfId="2164" priority="512" operator="lessThan">
      <formula>0</formula>
    </cfRule>
  </conditionalFormatting>
  <conditionalFormatting sqref="AU43:AU47 AU50">
    <cfRule type="cellIs" dxfId="2163" priority="513" operator="greaterThan">
      <formula>0</formula>
    </cfRule>
  </conditionalFormatting>
  <conditionalFormatting sqref="AU43:AU47 AU50">
    <cfRule type="cellIs" dxfId="2162" priority="514" operator="lessThan">
      <formula>0</formula>
    </cfRule>
  </conditionalFormatting>
  <conditionalFormatting sqref="AU69">
    <cfRule type="cellIs" dxfId="2161" priority="515" operator="greaterThan">
      <formula>0</formula>
    </cfRule>
  </conditionalFormatting>
  <conditionalFormatting sqref="AU69">
    <cfRule type="cellIs" dxfId="2160" priority="516" operator="lessThan">
      <formula>0</formula>
    </cfRule>
  </conditionalFormatting>
  <conditionalFormatting sqref="AU59">
    <cfRule type="cellIs" dxfId="2159" priority="517" operator="greaterThan">
      <formula>0</formula>
    </cfRule>
  </conditionalFormatting>
  <conditionalFormatting sqref="AU59">
    <cfRule type="cellIs" dxfId="2158" priority="518" operator="lessThan">
      <formula>0</formula>
    </cfRule>
  </conditionalFormatting>
  <conditionalFormatting sqref="AU47:AU50">
    <cfRule type="cellIs" dxfId="2157" priority="519" operator="greaterThan">
      <formula>0</formula>
    </cfRule>
  </conditionalFormatting>
  <conditionalFormatting sqref="AU47:AU50">
    <cfRule type="cellIs" dxfId="2156" priority="520" operator="lessThan">
      <formula>0</formula>
    </cfRule>
  </conditionalFormatting>
  <conditionalFormatting sqref="AU59">
    <cfRule type="cellIs" dxfId="2155" priority="521" operator="greaterThan">
      <formula>0</formula>
    </cfRule>
  </conditionalFormatting>
  <conditionalFormatting sqref="AU59">
    <cfRule type="cellIs" dxfId="2154" priority="522" operator="lessThan">
      <formula>0</formula>
    </cfRule>
  </conditionalFormatting>
  <conditionalFormatting sqref="AU60">
    <cfRule type="cellIs" dxfId="2153" priority="523" operator="greaterThan">
      <formula>0</formula>
    </cfRule>
  </conditionalFormatting>
  <conditionalFormatting sqref="AU60">
    <cfRule type="cellIs" dxfId="2152" priority="524" operator="lessThan">
      <formula>0</formula>
    </cfRule>
  </conditionalFormatting>
  <conditionalFormatting sqref="AU61:AU63">
    <cfRule type="cellIs" dxfId="2151" priority="525" operator="greaterThan">
      <formula>0</formula>
    </cfRule>
  </conditionalFormatting>
  <conditionalFormatting sqref="AU61:AU63">
    <cfRule type="cellIs" dxfId="2150" priority="526" operator="lessThan">
      <formula>0</formula>
    </cfRule>
  </conditionalFormatting>
  <conditionalFormatting sqref="AU63">
    <cfRule type="cellIs" dxfId="2149" priority="527" operator="greaterThan">
      <formula>0</formula>
    </cfRule>
  </conditionalFormatting>
  <conditionalFormatting sqref="AU63">
    <cfRule type="cellIs" dxfId="2148" priority="528" operator="lessThan">
      <formula>0</formula>
    </cfRule>
  </conditionalFormatting>
  <conditionalFormatting sqref="AU64:AU65">
    <cfRule type="cellIs" dxfId="2147" priority="529" operator="greaterThan">
      <formula>0</formula>
    </cfRule>
  </conditionalFormatting>
  <conditionalFormatting sqref="AU64:AU65">
    <cfRule type="cellIs" dxfId="2146" priority="530" operator="lessThan">
      <formula>0</formula>
    </cfRule>
  </conditionalFormatting>
  <conditionalFormatting sqref="AU52:AU54">
    <cfRule type="cellIs" dxfId="2145" priority="531" operator="greaterThan">
      <formula>0</formula>
    </cfRule>
  </conditionalFormatting>
  <conditionalFormatting sqref="AU52:AU54">
    <cfRule type="cellIs" dxfId="2144" priority="532" operator="lessThan">
      <formula>0</formula>
    </cfRule>
  </conditionalFormatting>
  <conditionalFormatting sqref="AU65">
    <cfRule type="cellIs" dxfId="2143" priority="533" operator="greaterThan">
      <formula>0</formula>
    </cfRule>
  </conditionalFormatting>
  <conditionalFormatting sqref="AU65">
    <cfRule type="cellIs" dxfId="2142" priority="534" operator="lessThan">
      <formula>0</formula>
    </cfRule>
  </conditionalFormatting>
  <conditionalFormatting sqref="AU64">
    <cfRule type="cellIs" dxfId="2141" priority="535" operator="greaterThan">
      <formula>0</formula>
    </cfRule>
  </conditionalFormatting>
  <conditionalFormatting sqref="AU64">
    <cfRule type="cellIs" dxfId="2140" priority="536" operator="lessThan">
      <formula>0</formula>
    </cfRule>
  </conditionalFormatting>
  <conditionalFormatting sqref="AU54">
    <cfRule type="cellIs" dxfId="2139" priority="537" operator="greaterThan">
      <formula>0</formula>
    </cfRule>
  </conditionalFormatting>
  <conditionalFormatting sqref="AU54">
    <cfRule type="cellIs" dxfId="2138" priority="538" operator="lessThan">
      <formula>0</formula>
    </cfRule>
  </conditionalFormatting>
  <conditionalFormatting sqref="AU54">
    <cfRule type="cellIs" dxfId="2137" priority="539" operator="greaterThan">
      <formula>0</formula>
    </cfRule>
  </conditionalFormatting>
  <conditionalFormatting sqref="AU54">
    <cfRule type="cellIs" dxfId="2136" priority="540" operator="lessThan">
      <formula>0</formula>
    </cfRule>
  </conditionalFormatting>
  <conditionalFormatting sqref="AU55:AU68">
    <cfRule type="cellIs" dxfId="2135" priority="541" operator="greaterThan">
      <formula>0</formula>
    </cfRule>
  </conditionalFormatting>
  <conditionalFormatting sqref="AU55:AU68">
    <cfRule type="cellIs" dxfId="2134" priority="542" operator="lessThan">
      <formula>0</formula>
    </cfRule>
  </conditionalFormatting>
  <conditionalFormatting sqref="AU56:AU58">
    <cfRule type="cellIs" dxfId="2133" priority="543" operator="greaterThan">
      <formula>0</formula>
    </cfRule>
  </conditionalFormatting>
  <conditionalFormatting sqref="AU56:AU58">
    <cfRule type="cellIs" dxfId="2132" priority="544" operator="lessThan">
      <formula>0</formula>
    </cfRule>
  </conditionalFormatting>
  <conditionalFormatting sqref="AU58">
    <cfRule type="cellIs" dxfId="2131" priority="545" operator="greaterThan">
      <formula>0</formula>
    </cfRule>
  </conditionalFormatting>
  <conditionalFormatting sqref="AU58">
    <cfRule type="cellIs" dxfId="2130" priority="546" operator="lessThan">
      <formula>0</formula>
    </cfRule>
  </conditionalFormatting>
  <conditionalFormatting sqref="AU59:AU60">
    <cfRule type="cellIs" dxfId="2129" priority="547" operator="greaterThan">
      <formula>0</formula>
    </cfRule>
  </conditionalFormatting>
  <conditionalFormatting sqref="AU59:AU60">
    <cfRule type="cellIs" dxfId="2128" priority="548" operator="lessThan">
      <formula>0</formula>
    </cfRule>
  </conditionalFormatting>
  <conditionalFormatting sqref="BA28:BA29 BA34:BA36 BA38:BA68">
    <cfRule type="cellIs" dxfId="2127" priority="549" operator="greaterThan">
      <formula>0</formula>
    </cfRule>
  </conditionalFormatting>
  <conditionalFormatting sqref="BA28:BA29 BA34:BA36 BA38:BA68">
    <cfRule type="cellIs" dxfId="2126" priority="550" operator="lessThan">
      <formula>0</formula>
    </cfRule>
  </conditionalFormatting>
  <conditionalFormatting sqref="BA30:BA33">
    <cfRule type="cellIs" dxfId="2125" priority="551" operator="greaterThan">
      <formula>0</formula>
    </cfRule>
  </conditionalFormatting>
  <conditionalFormatting sqref="BA30:BA33">
    <cfRule type="cellIs" dxfId="2124" priority="552" operator="lessThan">
      <formula>0</formula>
    </cfRule>
  </conditionalFormatting>
  <conditionalFormatting sqref="BA57">
    <cfRule type="cellIs" dxfId="2123" priority="553" operator="greaterThan">
      <formula>0</formula>
    </cfRule>
  </conditionalFormatting>
  <conditionalFormatting sqref="BA57">
    <cfRule type="cellIs" dxfId="2122" priority="554" operator="lessThan">
      <formula>0</formula>
    </cfRule>
  </conditionalFormatting>
  <conditionalFormatting sqref="BA37">
    <cfRule type="cellIs" dxfId="2121" priority="555" operator="greaterThan">
      <formula>0</formula>
    </cfRule>
  </conditionalFormatting>
  <conditionalFormatting sqref="BA37">
    <cfRule type="cellIs" dxfId="2120" priority="556" operator="lessThan">
      <formula>0</formula>
    </cfRule>
  </conditionalFormatting>
  <conditionalFormatting sqref="AU5:AU14">
    <cfRule type="cellIs" dxfId="2119" priority="557" operator="greaterThan">
      <formula>0</formula>
    </cfRule>
  </conditionalFormatting>
  <conditionalFormatting sqref="AU5:AU14">
    <cfRule type="cellIs" dxfId="2118" priority="558" operator="lessThan">
      <formula>0</formula>
    </cfRule>
  </conditionalFormatting>
  <conditionalFormatting sqref="AU13">
    <cfRule type="cellIs" dxfId="2117" priority="559" operator="greaterThan">
      <formula>0</formula>
    </cfRule>
  </conditionalFormatting>
  <conditionalFormatting sqref="AU13">
    <cfRule type="cellIs" dxfId="2116" priority="560" operator="lessThan">
      <formula>0</formula>
    </cfRule>
  </conditionalFormatting>
  <conditionalFormatting sqref="B65:B72">
    <cfRule type="cellIs" dxfId="2115" priority="561" operator="greaterThan">
      <formula>0</formula>
    </cfRule>
  </conditionalFormatting>
  <conditionalFormatting sqref="B65:B72">
    <cfRule type="cellIs" dxfId="2114" priority="562" operator="lessThan">
      <formula>0</formula>
    </cfRule>
  </conditionalFormatting>
  <conditionalFormatting sqref="BG3:BG76">
    <cfRule type="cellIs" dxfId="2113" priority="563" operator="greaterThan">
      <formula>0</formula>
    </cfRule>
  </conditionalFormatting>
  <conditionalFormatting sqref="BG3:BG76">
    <cfRule type="cellIs" dxfId="2112" priority="564" operator="lessThan">
      <formula>0</formula>
    </cfRule>
  </conditionalFormatting>
  <conditionalFormatting sqref="AU21">
    <cfRule type="cellIs" dxfId="2111" priority="565" operator="greaterThan">
      <formula>0</formula>
    </cfRule>
  </conditionalFormatting>
  <conditionalFormatting sqref="AU21">
    <cfRule type="cellIs" dxfId="2110" priority="566" operator="lessThan">
      <formula>0</formula>
    </cfRule>
  </conditionalFormatting>
  <conditionalFormatting sqref="AU21">
    <cfRule type="cellIs" dxfId="2109" priority="567" operator="greaterThan">
      <formula>0</formula>
    </cfRule>
  </conditionalFormatting>
  <conditionalFormatting sqref="AU21">
    <cfRule type="cellIs" dxfId="2108" priority="568" operator="lessThan">
      <formula>0</formula>
    </cfRule>
  </conditionalFormatting>
  <conditionalFormatting sqref="AU14">
    <cfRule type="cellIs" dxfId="2107" priority="569" operator="greaterThan">
      <formula>0</formula>
    </cfRule>
  </conditionalFormatting>
  <conditionalFormatting sqref="AU14">
    <cfRule type="cellIs" dxfId="2106" priority="570" operator="lessThan">
      <formula>0</formula>
    </cfRule>
  </conditionalFormatting>
  <conditionalFormatting sqref="AU22">
    <cfRule type="cellIs" dxfId="2105" priority="571" operator="greaterThan">
      <formula>0</formula>
    </cfRule>
  </conditionalFormatting>
  <conditionalFormatting sqref="AU22">
    <cfRule type="cellIs" dxfId="2104" priority="572" operator="lessThan">
      <formula>0</formula>
    </cfRule>
  </conditionalFormatting>
  <conditionalFormatting sqref="AU22">
    <cfRule type="cellIs" dxfId="2103" priority="573" operator="greaterThan">
      <formula>0</formula>
    </cfRule>
  </conditionalFormatting>
  <conditionalFormatting sqref="AU22">
    <cfRule type="cellIs" dxfId="2102" priority="574" operator="lessThan">
      <formula>0</formula>
    </cfRule>
  </conditionalFormatting>
  <conditionalFormatting sqref="B64">
    <cfRule type="cellIs" dxfId="2101" priority="575" operator="greaterThan">
      <formula>0</formula>
    </cfRule>
  </conditionalFormatting>
  <conditionalFormatting sqref="B64">
    <cfRule type="cellIs" dxfId="2100" priority="576" operator="lessThan">
      <formula>0</formula>
    </cfRule>
  </conditionalFormatting>
  <conditionalFormatting sqref="B41 B43:B72 AC3:AC42">
    <cfRule type="cellIs" dxfId="2099" priority="577" operator="greaterThan">
      <formula>0</formula>
    </cfRule>
  </conditionalFormatting>
  <conditionalFormatting sqref="B41 B43:B72 AC3:AC42">
    <cfRule type="cellIs" dxfId="2098" priority="578" operator="lessThan">
      <formula>0</formula>
    </cfRule>
  </conditionalFormatting>
  <conditionalFormatting sqref="B41 B43:B72">
    <cfRule type="cellIs" dxfId="2097" priority="579" operator="greaterThan">
      <formula>0</formula>
    </cfRule>
  </conditionalFormatting>
  <conditionalFormatting sqref="B41 B43:B72">
    <cfRule type="cellIs" dxfId="2096" priority="580" operator="lessThan">
      <formula>0</formula>
    </cfRule>
  </conditionalFormatting>
  <conditionalFormatting sqref="B29">
    <cfRule type="cellIs" dxfId="2095" priority="581" operator="greaterThan">
      <formula>0</formula>
    </cfRule>
  </conditionalFormatting>
  <conditionalFormatting sqref="B29">
    <cfRule type="cellIs" dxfId="2094" priority="582" operator="lessThan">
      <formula>0</formula>
    </cfRule>
  </conditionalFormatting>
  <conditionalFormatting sqref="AU3">
    <cfRule type="cellIs" dxfId="2093" priority="583" operator="greaterThan">
      <formula>0</formula>
    </cfRule>
  </conditionalFormatting>
  <conditionalFormatting sqref="AU3">
    <cfRule type="cellIs" dxfId="2092" priority="584" operator="lessThan">
      <formula>0</formula>
    </cfRule>
  </conditionalFormatting>
  <conditionalFormatting sqref="AU4">
    <cfRule type="cellIs" dxfId="2091" priority="585" operator="greaterThan">
      <formula>0</formula>
    </cfRule>
  </conditionalFormatting>
  <conditionalFormatting sqref="AU4">
    <cfRule type="cellIs" dxfId="2090" priority="586" operator="lessThan">
      <formula>0</formula>
    </cfRule>
  </conditionalFormatting>
  <conditionalFormatting sqref="BA3">
    <cfRule type="cellIs" dxfId="2089" priority="587" operator="greaterThan">
      <formula>0</formula>
    </cfRule>
  </conditionalFormatting>
  <conditionalFormatting sqref="BA3">
    <cfRule type="cellIs" dxfId="2088" priority="588" operator="lessThan">
      <formula>0</formula>
    </cfRule>
  </conditionalFormatting>
  <conditionalFormatting sqref="Q3 AC3:AC42">
    <cfRule type="cellIs" dxfId="2087" priority="589" operator="greaterThan">
      <formula>0</formula>
    </cfRule>
  </conditionalFormatting>
  <conditionalFormatting sqref="Q3 AC3:AC42">
    <cfRule type="cellIs" dxfId="2086" priority="590" operator="lessThan">
      <formula>0</formula>
    </cfRule>
  </conditionalFormatting>
  <conditionalFormatting sqref="N37">
    <cfRule type="cellIs" dxfId="2085" priority="591" operator="lessThan">
      <formula>0</formula>
    </cfRule>
  </conditionalFormatting>
  <conditionalFormatting sqref="N37">
    <cfRule type="cellIs" dxfId="2084" priority="592" operator="greaterThan">
      <formula>0</formula>
    </cfRule>
  </conditionalFormatting>
  <conditionalFormatting sqref="I3:I37">
    <cfRule type="cellIs" dxfId="2083" priority="459" operator="lessThan">
      <formula>0</formula>
    </cfRule>
    <cfRule type="cellIs" dxfId="2082" priority="460" operator="greaterThan">
      <formula>0</formula>
    </cfRule>
  </conditionalFormatting>
  <conditionalFormatting sqref="I41:I72">
    <cfRule type="cellIs" dxfId="2081" priority="457" operator="lessThan">
      <formula>0</formula>
    </cfRule>
    <cfRule type="cellIs" dxfId="2080" priority="458" operator="greaterThan">
      <formula>0</formula>
    </cfRule>
  </conditionalFormatting>
  <conditionalFormatting sqref="I76">
    <cfRule type="cellIs" dxfId="2079" priority="455" operator="lessThan">
      <formula>0</formula>
    </cfRule>
    <cfRule type="cellIs" dxfId="2078" priority="456" operator="greaterThan">
      <formula>0</formula>
    </cfRule>
  </conditionalFormatting>
  <conditionalFormatting sqref="B5:B6">
    <cfRule type="cellIs" dxfId="2077" priority="451" operator="greaterThan">
      <formula>0</formula>
    </cfRule>
  </conditionalFormatting>
  <conditionalFormatting sqref="B5:B6">
    <cfRule type="cellIs" dxfId="2076" priority="452" operator="lessThan">
      <formula>0</formula>
    </cfRule>
  </conditionalFormatting>
  <conditionalFormatting sqref="B5:B6">
    <cfRule type="cellIs" dxfId="2075" priority="453" operator="greaterThan">
      <formula>0</formula>
    </cfRule>
  </conditionalFormatting>
  <conditionalFormatting sqref="B5:B6">
    <cfRule type="cellIs" dxfId="2074" priority="454" operator="lessThan">
      <formula>0</formula>
    </cfRule>
  </conditionalFormatting>
  <conditionalFormatting sqref="AB43">
    <cfRule type="cellIs" dxfId="2073" priority="446" operator="greaterThan">
      <formula>0</formula>
    </cfRule>
  </conditionalFormatting>
  <conditionalFormatting sqref="AB43">
    <cfRule type="cellIs" dxfId="2072" priority="447" operator="lessThan">
      <formula>0</formula>
    </cfRule>
  </conditionalFormatting>
  <conditionalFormatting sqref="N38">
    <cfRule type="cellIs" dxfId="2071" priority="445" operator="lessThan">
      <formula>0</formula>
    </cfRule>
  </conditionalFormatting>
  <conditionalFormatting sqref="N39">
    <cfRule type="cellIs" dxfId="2070" priority="444" operator="lessThan">
      <formula>0</formula>
    </cfRule>
  </conditionalFormatting>
  <conditionalFormatting sqref="AA3:AA42">
    <cfRule type="cellIs" dxfId="2069" priority="442" operator="equal">
      <formula>0</formula>
    </cfRule>
  </conditionalFormatting>
  <conditionalFormatting sqref="B42">
    <cfRule type="cellIs" dxfId="2068" priority="434" operator="greaterThan">
      <formula>0</formula>
    </cfRule>
  </conditionalFormatting>
  <conditionalFormatting sqref="B42">
    <cfRule type="cellIs" dxfId="2067" priority="435" operator="lessThan">
      <formula>0</formula>
    </cfRule>
  </conditionalFormatting>
  <conditionalFormatting sqref="B42">
    <cfRule type="cellIs" dxfId="2066" priority="436" operator="greaterThan">
      <formula>0</formula>
    </cfRule>
  </conditionalFormatting>
  <conditionalFormatting sqref="B42">
    <cfRule type="cellIs" dxfId="2065" priority="437" operator="lessThan">
      <formula>0</formula>
    </cfRule>
  </conditionalFormatting>
  <conditionalFormatting sqref="B42">
    <cfRule type="cellIs" dxfId="2064" priority="438" operator="greaterThan">
      <formula>0</formula>
    </cfRule>
  </conditionalFormatting>
  <conditionalFormatting sqref="B42">
    <cfRule type="cellIs" dxfId="2063" priority="439" operator="lessThan">
      <formula>0</formula>
    </cfRule>
  </conditionalFormatting>
  <conditionalFormatting sqref="P3:P42">
    <cfRule type="expression" dxfId="2062" priority="433">
      <formula>$L$18-$R3&lt;0</formula>
    </cfRule>
  </conditionalFormatting>
  <conditionalFormatting sqref="P3:P42">
    <cfRule type="expression" dxfId="2061" priority="431">
      <formula>$L$18-$R3&gt;0</formula>
    </cfRule>
  </conditionalFormatting>
  <conditionalFormatting sqref="BA5">
    <cfRule type="cellIs" dxfId="2060" priority="425" operator="greaterThan">
      <formula>0</formula>
    </cfRule>
  </conditionalFormatting>
  <conditionalFormatting sqref="BA5">
    <cfRule type="cellIs" dxfId="2059" priority="426" operator="lessThan">
      <formula>0</formula>
    </cfRule>
  </conditionalFormatting>
  <conditionalFormatting sqref="BA4">
    <cfRule type="cellIs" dxfId="2058" priority="423" operator="greaterThan">
      <formula>0</formula>
    </cfRule>
  </conditionalFormatting>
  <conditionalFormatting sqref="BA4">
    <cfRule type="cellIs" dxfId="2057" priority="424" operator="lessThan">
      <formula>0</formula>
    </cfRule>
  </conditionalFormatting>
  <conditionalFormatting sqref="AB3:AB42">
    <cfRule type="expression" dxfId="2056" priority="422">
      <formula>$L$18-$AD3&gt;0</formula>
    </cfRule>
  </conditionalFormatting>
  <conditionalFormatting sqref="AB3:AB42">
    <cfRule type="expression" dxfId="2055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054" priority="419" operator="equal">
      <formula>0</formula>
    </cfRule>
  </conditionalFormatting>
  <conditionalFormatting sqref="B14">
    <cfRule type="cellIs" dxfId="2053" priority="412" operator="greaterThan">
      <formula>0</formula>
    </cfRule>
  </conditionalFormatting>
  <conditionalFormatting sqref="B14">
    <cfRule type="cellIs" dxfId="2052" priority="413" operator="lessThan">
      <formula>0</formula>
    </cfRule>
  </conditionalFormatting>
  <conditionalFormatting sqref="B14">
    <cfRule type="cellIs" dxfId="2051" priority="414" operator="greaterThan">
      <formula>0</formula>
    </cfRule>
  </conditionalFormatting>
  <conditionalFormatting sqref="B14">
    <cfRule type="cellIs" dxfId="2050" priority="415" operator="lessThan">
      <formula>0</formula>
    </cfRule>
  </conditionalFormatting>
  <conditionalFormatting sqref="B13">
    <cfRule type="cellIs" dxfId="2049" priority="408" operator="greaterThan">
      <formula>0</formula>
    </cfRule>
  </conditionalFormatting>
  <conditionalFormatting sqref="B13">
    <cfRule type="cellIs" dxfId="2048" priority="409" operator="lessThan">
      <formula>0</formula>
    </cfRule>
  </conditionalFormatting>
  <conditionalFormatting sqref="B13">
    <cfRule type="cellIs" dxfId="2047" priority="410" operator="greaterThan">
      <formula>0</formula>
    </cfRule>
  </conditionalFormatting>
  <conditionalFormatting sqref="B13">
    <cfRule type="cellIs" dxfId="2046" priority="411" operator="lessThan">
      <formula>0</formula>
    </cfRule>
  </conditionalFormatting>
  <conditionalFormatting sqref="B17:B18">
    <cfRule type="cellIs" dxfId="2045" priority="404" operator="greaterThan">
      <formula>0</formula>
    </cfRule>
  </conditionalFormatting>
  <conditionalFormatting sqref="B17:B18">
    <cfRule type="cellIs" dxfId="2044" priority="405" operator="lessThan">
      <formula>0</formula>
    </cfRule>
  </conditionalFormatting>
  <conditionalFormatting sqref="B17:B18">
    <cfRule type="cellIs" dxfId="2043" priority="406" operator="greaterThan">
      <formula>0</formula>
    </cfRule>
  </conditionalFormatting>
  <conditionalFormatting sqref="B17:B18">
    <cfRule type="cellIs" dxfId="2042" priority="407" operator="lessThan">
      <formula>0</formula>
    </cfRule>
  </conditionalFormatting>
  <conditionalFormatting sqref="B13:B14">
    <cfRule type="cellIs" dxfId="2041" priority="400" operator="greaterThan">
      <formula>0</formula>
    </cfRule>
  </conditionalFormatting>
  <conditionalFormatting sqref="B13:B14">
    <cfRule type="cellIs" dxfId="2040" priority="401" operator="lessThan">
      <formula>0</formula>
    </cfRule>
  </conditionalFormatting>
  <conditionalFormatting sqref="B13:B14">
    <cfRule type="cellIs" dxfId="2039" priority="402" operator="greaterThan">
      <formula>0</formula>
    </cfRule>
  </conditionalFormatting>
  <conditionalFormatting sqref="B13:B14">
    <cfRule type="cellIs" dxfId="2038" priority="403" operator="lessThan">
      <formula>0</formula>
    </cfRule>
  </conditionalFormatting>
  <conditionalFormatting sqref="B5:B6">
    <cfRule type="cellIs" dxfId="2037" priority="396" operator="greaterThan">
      <formula>0</formula>
    </cfRule>
  </conditionalFormatting>
  <conditionalFormatting sqref="B5:B6">
    <cfRule type="cellIs" dxfId="2036" priority="397" operator="lessThan">
      <formula>0</formula>
    </cfRule>
  </conditionalFormatting>
  <conditionalFormatting sqref="B5:B6">
    <cfRule type="cellIs" dxfId="2035" priority="398" operator="greaterThan">
      <formula>0</formula>
    </cfRule>
  </conditionalFormatting>
  <conditionalFormatting sqref="B5:B6">
    <cfRule type="cellIs" dxfId="2034" priority="399" operator="lessThan">
      <formula>0</formula>
    </cfRule>
  </conditionalFormatting>
  <conditionalFormatting sqref="B12">
    <cfRule type="cellIs" dxfId="2033" priority="336" operator="greaterThan">
      <formula>0</formula>
    </cfRule>
  </conditionalFormatting>
  <conditionalFormatting sqref="B12">
    <cfRule type="cellIs" dxfId="2032" priority="337" operator="lessThan">
      <formula>0</formula>
    </cfRule>
  </conditionalFormatting>
  <conditionalFormatting sqref="B12">
    <cfRule type="cellIs" dxfId="2031" priority="338" operator="greaterThan">
      <formula>0</formula>
    </cfRule>
  </conditionalFormatting>
  <conditionalFormatting sqref="B12">
    <cfRule type="cellIs" dxfId="2030" priority="339" operator="lessThan">
      <formula>0</formula>
    </cfRule>
  </conditionalFormatting>
  <conditionalFormatting sqref="B15:B16">
    <cfRule type="cellIs" dxfId="2029" priority="392" operator="greaterThan">
      <formula>0</formula>
    </cfRule>
  </conditionalFormatting>
  <conditionalFormatting sqref="B15:B16">
    <cfRule type="cellIs" dxfId="2028" priority="393" operator="lessThan">
      <formula>0</formula>
    </cfRule>
  </conditionalFormatting>
  <conditionalFormatting sqref="B15:B16">
    <cfRule type="cellIs" dxfId="2027" priority="394" operator="greaterThan">
      <formula>0</formula>
    </cfRule>
  </conditionalFormatting>
  <conditionalFormatting sqref="B15:B16">
    <cfRule type="cellIs" dxfId="2026" priority="395" operator="lessThan">
      <formula>0</formula>
    </cfRule>
  </conditionalFormatting>
  <conditionalFormatting sqref="B16">
    <cfRule type="cellIs" dxfId="2025" priority="388" operator="greaterThan">
      <formula>0</formula>
    </cfRule>
  </conditionalFormatting>
  <conditionalFormatting sqref="B16">
    <cfRule type="cellIs" dxfId="2024" priority="389" operator="lessThan">
      <formula>0</formula>
    </cfRule>
  </conditionalFormatting>
  <conditionalFormatting sqref="B16">
    <cfRule type="cellIs" dxfId="2023" priority="390" operator="greaterThan">
      <formula>0</formula>
    </cfRule>
  </conditionalFormatting>
  <conditionalFormatting sqref="B16">
    <cfRule type="cellIs" dxfId="2022" priority="391" operator="lessThan">
      <formula>0</formula>
    </cfRule>
  </conditionalFormatting>
  <conditionalFormatting sqref="B16">
    <cfRule type="cellIs" dxfId="2021" priority="384" operator="greaterThan">
      <formula>0</formula>
    </cfRule>
  </conditionalFormatting>
  <conditionalFormatting sqref="B16">
    <cfRule type="cellIs" dxfId="2020" priority="385" operator="lessThan">
      <formula>0</formula>
    </cfRule>
  </conditionalFormatting>
  <conditionalFormatting sqref="B16">
    <cfRule type="cellIs" dxfId="2019" priority="386" operator="greaterThan">
      <formula>0</formula>
    </cfRule>
  </conditionalFormatting>
  <conditionalFormatting sqref="B16">
    <cfRule type="cellIs" dxfId="2018" priority="387" operator="lessThan">
      <formula>0</formula>
    </cfRule>
  </conditionalFormatting>
  <conditionalFormatting sqref="B15">
    <cfRule type="cellIs" dxfId="2017" priority="380" operator="greaterThan">
      <formula>0</formula>
    </cfRule>
  </conditionalFormatting>
  <conditionalFormatting sqref="B15">
    <cfRule type="cellIs" dxfId="2016" priority="381" operator="lessThan">
      <formula>0</formula>
    </cfRule>
  </conditionalFormatting>
  <conditionalFormatting sqref="B15">
    <cfRule type="cellIs" dxfId="2015" priority="382" operator="greaterThan">
      <formula>0</formula>
    </cfRule>
  </conditionalFormatting>
  <conditionalFormatting sqref="B15">
    <cfRule type="cellIs" dxfId="2014" priority="383" operator="lessThan">
      <formula>0</formula>
    </cfRule>
  </conditionalFormatting>
  <conditionalFormatting sqref="B15:B16">
    <cfRule type="cellIs" dxfId="2013" priority="376" operator="greaterThan">
      <formula>0</formula>
    </cfRule>
  </conditionalFormatting>
  <conditionalFormatting sqref="B15:B16">
    <cfRule type="cellIs" dxfId="2012" priority="377" operator="lessThan">
      <formula>0</formula>
    </cfRule>
  </conditionalFormatting>
  <conditionalFormatting sqref="B15:B16">
    <cfRule type="cellIs" dxfId="2011" priority="378" operator="greaterThan">
      <formula>0</formula>
    </cfRule>
  </conditionalFormatting>
  <conditionalFormatting sqref="B15:B16">
    <cfRule type="cellIs" dxfId="2010" priority="379" operator="lessThan">
      <formula>0</formula>
    </cfRule>
  </conditionalFormatting>
  <conditionalFormatting sqref="B15:B16">
    <cfRule type="cellIs" dxfId="2009" priority="372" operator="greaterThan">
      <formula>0</formula>
    </cfRule>
  </conditionalFormatting>
  <conditionalFormatting sqref="B15:B16">
    <cfRule type="cellIs" dxfId="2008" priority="373" operator="lessThan">
      <formula>0</formula>
    </cfRule>
  </conditionalFormatting>
  <conditionalFormatting sqref="B15:B16">
    <cfRule type="cellIs" dxfId="2007" priority="374" operator="greaterThan">
      <formula>0</formula>
    </cfRule>
  </conditionalFormatting>
  <conditionalFormatting sqref="B15:B16">
    <cfRule type="cellIs" dxfId="2006" priority="375" operator="lessThan">
      <formula>0</formula>
    </cfRule>
  </conditionalFormatting>
  <conditionalFormatting sqref="B11:B12">
    <cfRule type="cellIs" dxfId="2005" priority="368" operator="greaterThan">
      <formula>0</formula>
    </cfRule>
  </conditionalFormatting>
  <conditionalFormatting sqref="B11:B12">
    <cfRule type="cellIs" dxfId="2004" priority="369" operator="lessThan">
      <formula>0</formula>
    </cfRule>
  </conditionalFormatting>
  <conditionalFormatting sqref="B11:B12">
    <cfRule type="cellIs" dxfId="2003" priority="370" operator="greaterThan">
      <formula>0</formula>
    </cfRule>
  </conditionalFormatting>
  <conditionalFormatting sqref="B11:B12">
    <cfRule type="cellIs" dxfId="2002" priority="371" operator="lessThan">
      <formula>0</formula>
    </cfRule>
  </conditionalFormatting>
  <conditionalFormatting sqref="B11">
    <cfRule type="cellIs" dxfId="2001" priority="364" operator="greaterThan">
      <formula>0</formula>
    </cfRule>
  </conditionalFormatting>
  <conditionalFormatting sqref="B11">
    <cfRule type="cellIs" dxfId="2000" priority="365" operator="lessThan">
      <formula>0</formula>
    </cfRule>
  </conditionalFormatting>
  <conditionalFormatting sqref="B11">
    <cfRule type="cellIs" dxfId="1999" priority="366" operator="greaterThan">
      <formula>0</formula>
    </cfRule>
  </conditionalFormatting>
  <conditionalFormatting sqref="B11">
    <cfRule type="cellIs" dxfId="1998" priority="367" operator="lessThan">
      <formula>0</formula>
    </cfRule>
  </conditionalFormatting>
  <conditionalFormatting sqref="B12">
    <cfRule type="cellIs" dxfId="1997" priority="360" operator="greaterThan">
      <formula>0</formula>
    </cfRule>
  </conditionalFormatting>
  <conditionalFormatting sqref="B12">
    <cfRule type="cellIs" dxfId="1996" priority="361" operator="lessThan">
      <formula>0</formula>
    </cfRule>
  </conditionalFormatting>
  <conditionalFormatting sqref="B12">
    <cfRule type="cellIs" dxfId="1995" priority="362" operator="greaterThan">
      <formula>0</formula>
    </cfRule>
  </conditionalFormatting>
  <conditionalFormatting sqref="B12">
    <cfRule type="cellIs" dxfId="1994" priority="363" operator="lessThan">
      <formula>0</formula>
    </cfRule>
  </conditionalFormatting>
  <conditionalFormatting sqref="B5:B6">
    <cfRule type="cellIs" dxfId="1993" priority="356" operator="greaterThan">
      <formula>0</formula>
    </cfRule>
  </conditionalFormatting>
  <conditionalFormatting sqref="B5:B6">
    <cfRule type="cellIs" dxfId="1992" priority="357" operator="lessThan">
      <formula>0</formula>
    </cfRule>
  </conditionalFormatting>
  <conditionalFormatting sqref="B5:B6">
    <cfRule type="cellIs" dxfId="1991" priority="358" operator="greaterThan">
      <formula>0</formula>
    </cfRule>
  </conditionalFormatting>
  <conditionalFormatting sqref="B5:B6">
    <cfRule type="cellIs" dxfId="1990" priority="359" operator="lessThan">
      <formula>0</formula>
    </cfRule>
  </conditionalFormatting>
  <conditionalFormatting sqref="B5:B6">
    <cfRule type="cellIs" dxfId="1989" priority="352" operator="greaterThan">
      <formula>0</formula>
    </cfRule>
  </conditionalFormatting>
  <conditionalFormatting sqref="B5:B6">
    <cfRule type="cellIs" dxfId="1988" priority="353" operator="lessThan">
      <formula>0</formula>
    </cfRule>
  </conditionalFormatting>
  <conditionalFormatting sqref="B5:B6">
    <cfRule type="cellIs" dxfId="1987" priority="354" operator="greaterThan">
      <formula>0</formula>
    </cfRule>
  </conditionalFormatting>
  <conditionalFormatting sqref="B5:B6">
    <cfRule type="cellIs" dxfId="1986" priority="355" operator="lessThan">
      <formula>0</formula>
    </cfRule>
  </conditionalFormatting>
  <conditionalFormatting sqref="B5:B6">
    <cfRule type="cellIs" dxfId="1985" priority="348" operator="greaterThan">
      <formula>0</formula>
    </cfRule>
  </conditionalFormatting>
  <conditionalFormatting sqref="B5:B6">
    <cfRule type="cellIs" dxfId="1984" priority="349" operator="lessThan">
      <formula>0</formula>
    </cfRule>
  </conditionalFormatting>
  <conditionalFormatting sqref="B5:B6">
    <cfRule type="cellIs" dxfId="1983" priority="350" operator="greaterThan">
      <formula>0</formula>
    </cfRule>
  </conditionalFormatting>
  <conditionalFormatting sqref="B5:B6">
    <cfRule type="cellIs" dxfId="1982" priority="351" operator="lessThan">
      <formula>0</formula>
    </cfRule>
  </conditionalFormatting>
  <conditionalFormatting sqref="B11:B12">
    <cfRule type="cellIs" dxfId="1981" priority="344" operator="greaterThan">
      <formula>0</formula>
    </cfRule>
  </conditionalFormatting>
  <conditionalFormatting sqref="B11:B12">
    <cfRule type="cellIs" dxfId="1980" priority="345" operator="lessThan">
      <formula>0</formula>
    </cfRule>
  </conditionalFormatting>
  <conditionalFormatting sqref="B11:B12">
    <cfRule type="cellIs" dxfId="1979" priority="346" operator="greaterThan">
      <formula>0</formula>
    </cfRule>
  </conditionalFormatting>
  <conditionalFormatting sqref="B11:B12">
    <cfRule type="cellIs" dxfId="1978" priority="347" operator="lessThan">
      <formula>0</formula>
    </cfRule>
  </conditionalFormatting>
  <conditionalFormatting sqref="B12">
    <cfRule type="cellIs" dxfId="1977" priority="340" operator="greaterThan">
      <formula>0</formula>
    </cfRule>
  </conditionalFormatting>
  <conditionalFormatting sqref="B12">
    <cfRule type="cellIs" dxfId="1976" priority="341" operator="lessThan">
      <formula>0</formula>
    </cfRule>
  </conditionalFormatting>
  <conditionalFormatting sqref="B12">
    <cfRule type="cellIs" dxfId="1975" priority="342" operator="greaterThan">
      <formula>0</formula>
    </cfRule>
  </conditionalFormatting>
  <conditionalFormatting sqref="B12">
    <cfRule type="cellIs" dxfId="1974" priority="343" operator="lessThan">
      <formula>0</formula>
    </cfRule>
  </conditionalFormatting>
  <conditionalFormatting sqref="B11">
    <cfRule type="cellIs" dxfId="1973" priority="332" operator="greaterThan">
      <formula>0</formula>
    </cfRule>
  </conditionalFormatting>
  <conditionalFormatting sqref="B11">
    <cfRule type="cellIs" dxfId="1972" priority="333" operator="lessThan">
      <formula>0</formula>
    </cfRule>
  </conditionalFormatting>
  <conditionalFormatting sqref="B11">
    <cfRule type="cellIs" dxfId="1971" priority="334" operator="greaterThan">
      <formula>0</formula>
    </cfRule>
  </conditionalFormatting>
  <conditionalFormatting sqref="B11">
    <cfRule type="cellIs" dxfId="1970" priority="335" operator="lessThan">
      <formula>0</formula>
    </cfRule>
  </conditionalFormatting>
  <conditionalFormatting sqref="B11:B12">
    <cfRule type="cellIs" dxfId="1969" priority="328" operator="greaterThan">
      <formula>0</formula>
    </cfRule>
  </conditionalFormatting>
  <conditionalFormatting sqref="B11:B12">
    <cfRule type="cellIs" dxfId="1968" priority="329" operator="lessThan">
      <formula>0</formula>
    </cfRule>
  </conditionalFormatting>
  <conditionalFormatting sqref="B11:B12">
    <cfRule type="cellIs" dxfId="1967" priority="330" operator="greaterThan">
      <formula>0</formula>
    </cfRule>
  </conditionalFormatting>
  <conditionalFormatting sqref="B11:B12">
    <cfRule type="cellIs" dxfId="1966" priority="331" operator="lessThan">
      <formula>0</formula>
    </cfRule>
  </conditionalFormatting>
  <conditionalFormatting sqref="B11:B12">
    <cfRule type="cellIs" dxfId="1965" priority="324" operator="greaterThan">
      <formula>0</formula>
    </cfRule>
  </conditionalFormatting>
  <conditionalFormatting sqref="B11:B12">
    <cfRule type="cellIs" dxfId="1964" priority="325" operator="lessThan">
      <formula>0</formula>
    </cfRule>
  </conditionalFormatting>
  <conditionalFormatting sqref="B11:B12">
    <cfRule type="cellIs" dxfId="1963" priority="326" operator="greaterThan">
      <formula>0</formula>
    </cfRule>
  </conditionalFormatting>
  <conditionalFormatting sqref="B11:B12">
    <cfRule type="cellIs" dxfId="1962" priority="327" operator="lessThan">
      <formula>0</formula>
    </cfRule>
  </conditionalFormatting>
  <conditionalFormatting sqref="B40">
    <cfRule type="cellIs" dxfId="1961" priority="318" operator="greaterThan">
      <formula>0</formula>
    </cfRule>
  </conditionalFormatting>
  <conditionalFormatting sqref="B40">
    <cfRule type="cellIs" dxfId="1960" priority="319" operator="lessThan">
      <formula>0</formula>
    </cfRule>
  </conditionalFormatting>
  <conditionalFormatting sqref="B40">
    <cfRule type="cellIs" dxfId="1959" priority="320" operator="greaterThan">
      <formula>0</formula>
    </cfRule>
  </conditionalFormatting>
  <conditionalFormatting sqref="B40">
    <cfRule type="cellIs" dxfId="1958" priority="321" operator="lessThan">
      <formula>0</formula>
    </cfRule>
  </conditionalFormatting>
  <conditionalFormatting sqref="B40">
    <cfRule type="cellIs" dxfId="1957" priority="322" operator="greaterThan">
      <formula>0</formula>
    </cfRule>
  </conditionalFormatting>
  <conditionalFormatting sqref="B40">
    <cfRule type="cellIs" dxfId="1956" priority="323" operator="lessThan">
      <formula>0</formula>
    </cfRule>
  </conditionalFormatting>
  <conditionalFormatting sqref="I38:I40">
    <cfRule type="cellIs" dxfId="1955" priority="316" operator="lessThan">
      <formula>0</formula>
    </cfRule>
    <cfRule type="cellIs" dxfId="1954" priority="317" operator="greaterThan">
      <formula>0</formula>
    </cfRule>
  </conditionalFormatting>
  <conditionalFormatting sqref="B38">
    <cfRule type="cellIs" dxfId="1953" priority="310" operator="greaterThan">
      <formula>0</formula>
    </cfRule>
  </conditionalFormatting>
  <conditionalFormatting sqref="B38">
    <cfRule type="cellIs" dxfId="1952" priority="311" operator="lessThan">
      <formula>0</formula>
    </cfRule>
  </conditionalFormatting>
  <conditionalFormatting sqref="B38">
    <cfRule type="cellIs" dxfId="1951" priority="312" operator="greaterThan">
      <formula>0</formula>
    </cfRule>
  </conditionalFormatting>
  <conditionalFormatting sqref="B38">
    <cfRule type="cellIs" dxfId="1950" priority="313" operator="lessThan">
      <formula>0</formula>
    </cfRule>
  </conditionalFormatting>
  <conditionalFormatting sqref="B38">
    <cfRule type="cellIs" dxfId="1949" priority="314" operator="greaterThan">
      <formula>0</formula>
    </cfRule>
  </conditionalFormatting>
  <conditionalFormatting sqref="B38">
    <cfRule type="cellIs" dxfId="1948" priority="315" operator="lessThan">
      <formula>0</formula>
    </cfRule>
  </conditionalFormatting>
  <conditionalFormatting sqref="B39">
    <cfRule type="cellIs" dxfId="1947" priority="304" operator="greaterThan">
      <formula>0</formula>
    </cfRule>
  </conditionalFormatting>
  <conditionalFormatting sqref="B39">
    <cfRule type="cellIs" dxfId="1946" priority="305" operator="lessThan">
      <formula>0</formula>
    </cfRule>
  </conditionalFormatting>
  <conditionalFormatting sqref="B39">
    <cfRule type="cellIs" dxfId="1945" priority="306" operator="greaterThan">
      <formula>0</formula>
    </cfRule>
  </conditionalFormatting>
  <conditionalFormatting sqref="B39">
    <cfRule type="cellIs" dxfId="1944" priority="307" operator="lessThan">
      <formula>0</formula>
    </cfRule>
  </conditionalFormatting>
  <conditionalFormatting sqref="B39">
    <cfRule type="cellIs" dxfId="1943" priority="308" operator="greaterThan">
      <formula>0</formula>
    </cfRule>
  </conditionalFormatting>
  <conditionalFormatting sqref="B39">
    <cfRule type="cellIs" dxfId="1942" priority="309" operator="lessThan">
      <formula>0</formula>
    </cfRule>
  </conditionalFormatting>
  <conditionalFormatting sqref="B31:B34 B37">
    <cfRule type="cellIs" dxfId="1941" priority="300" operator="greaterThan">
      <formula>0</formula>
    </cfRule>
  </conditionalFormatting>
  <conditionalFormatting sqref="B31:B34 B37">
    <cfRule type="cellIs" dxfId="1940" priority="301" operator="lessThan">
      <formula>0</formula>
    </cfRule>
  </conditionalFormatting>
  <conditionalFormatting sqref="B31:B34 B37">
    <cfRule type="cellIs" dxfId="1939" priority="302" operator="greaterThan">
      <formula>0</formula>
    </cfRule>
  </conditionalFormatting>
  <conditionalFormatting sqref="B31:B34 B37">
    <cfRule type="cellIs" dxfId="1938" priority="303" operator="lessThan">
      <formula>0</formula>
    </cfRule>
  </conditionalFormatting>
  <conditionalFormatting sqref="B35:B36">
    <cfRule type="cellIs" dxfId="1937" priority="292" operator="greaterThan">
      <formula>0</formula>
    </cfRule>
  </conditionalFormatting>
  <conditionalFormatting sqref="B35:B36">
    <cfRule type="cellIs" dxfId="1936" priority="293" operator="lessThan">
      <formula>0</formula>
    </cfRule>
  </conditionalFormatting>
  <conditionalFormatting sqref="B35:B36">
    <cfRule type="cellIs" dxfId="1935" priority="294" operator="greaterThan">
      <formula>0</formula>
    </cfRule>
  </conditionalFormatting>
  <conditionalFormatting sqref="B35:B36">
    <cfRule type="cellIs" dxfId="1934" priority="295" operator="lessThan">
      <formula>0</formula>
    </cfRule>
  </conditionalFormatting>
  <conditionalFormatting sqref="B36">
    <cfRule type="cellIs" dxfId="1933" priority="296" operator="greaterThan">
      <formula>0</formula>
    </cfRule>
  </conditionalFormatting>
  <conditionalFormatting sqref="B36">
    <cfRule type="cellIs" dxfId="1932" priority="297" operator="lessThan">
      <formula>0</formula>
    </cfRule>
  </conditionalFormatting>
  <conditionalFormatting sqref="B35">
    <cfRule type="cellIs" dxfId="1931" priority="298" operator="greaterThan">
      <formula>0</formula>
    </cfRule>
  </conditionalFormatting>
  <conditionalFormatting sqref="B35">
    <cfRule type="cellIs" dxfId="1930" priority="299" operator="lessThan">
      <formula>0</formula>
    </cfRule>
  </conditionalFormatting>
  <conditionalFormatting sqref="B4">
    <cfRule type="cellIs" dxfId="1929" priority="282" operator="greaterThan">
      <formula>0</formula>
    </cfRule>
  </conditionalFormatting>
  <conditionalFormatting sqref="B4">
    <cfRule type="cellIs" dxfId="1928" priority="283" operator="lessThan">
      <formula>0</formula>
    </cfRule>
  </conditionalFormatting>
  <conditionalFormatting sqref="B4">
    <cfRule type="cellIs" dxfId="1927" priority="284" operator="greaterThan">
      <formula>0</formula>
    </cfRule>
  </conditionalFormatting>
  <conditionalFormatting sqref="B4">
    <cfRule type="cellIs" dxfId="1926" priority="285" operator="lessThan">
      <formula>0</formula>
    </cfRule>
  </conditionalFormatting>
  <conditionalFormatting sqref="B4">
    <cfRule type="cellIs" dxfId="1925" priority="278" operator="greaterThan">
      <formula>0</formula>
    </cfRule>
  </conditionalFormatting>
  <conditionalFormatting sqref="B4">
    <cfRule type="cellIs" dxfId="1924" priority="279" operator="lessThan">
      <formula>0</formula>
    </cfRule>
  </conditionalFormatting>
  <conditionalFormatting sqref="B4">
    <cfRule type="cellIs" dxfId="1923" priority="280" operator="greaterThan">
      <formula>0</formula>
    </cfRule>
  </conditionalFormatting>
  <conditionalFormatting sqref="B4">
    <cfRule type="cellIs" dxfId="1922" priority="281" operator="lessThan">
      <formula>0</formula>
    </cfRule>
  </conditionalFormatting>
  <conditionalFormatting sqref="B4">
    <cfRule type="cellIs" dxfId="1921" priority="274" operator="greaterThan">
      <formula>0</formula>
    </cfRule>
  </conditionalFormatting>
  <conditionalFormatting sqref="B4">
    <cfRule type="cellIs" dxfId="1920" priority="275" operator="lessThan">
      <formula>0</formula>
    </cfRule>
  </conditionalFormatting>
  <conditionalFormatting sqref="B4">
    <cfRule type="cellIs" dxfId="1919" priority="276" operator="greaterThan">
      <formula>0</formula>
    </cfRule>
  </conditionalFormatting>
  <conditionalFormatting sqref="B4">
    <cfRule type="cellIs" dxfId="1918" priority="277" operator="lessThan">
      <formula>0</formula>
    </cfRule>
  </conditionalFormatting>
  <conditionalFormatting sqref="B4">
    <cfRule type="cellIs" dxfId="1917" priority="270" operator="greaterThan">
      <formula>0</formula>
    </cfRule>
  </conditionalFormatting>
  <conditionalFormatting sqref="B4">
    <cfRule type="cellIs" dxfId="1916" priority="271" operator="lessThan">
      <formula>0</formula>
    </cfRule>
  </conditionalFormatting>
  <conditionalFormatting sqref="B4">
    <cfRule type="cellIs" dxfId="1915" priority="272" operator="greaterThan">
      <formula>0</formula>
    </cfRule>
  </conditionalFormatting>
  <conditionalFormatting sqref="B4">
    <cfRule type="cellIs" dxfId="1914" priority="273" operator="lessThan">
      <formula>0</formula>
    </cfRule>
  </conditionalFormatting>
  <conditionalFormatting sqref="B4">
    <cfRule type="cellIs" dxfId="1913" priority="266" operator="greaterThan">
      <formula>0</formula>
    </cfRule>
  </conditionalFormatting>
  <conditionalFormatting sqref="B4">
    <cfRule type="cellIs" dxfId="1912" priority="267" operator="lessThan">
      <formula>0</formula>
    </cfRule>
  </conditionalFormatting>
  <conditionalFormatting sqref="B4">
    <cfRule type="cellIs" dxfId="1911" priority="268" operator="greaterThan">
      <formula>0</formula>
    </cfRule>
  </conditionalFormatting>
  <conditionalFormatting sqref="B4">
    <cfRule type="cellIs" dxfId="1910" priority="269" operator="lessThan">
      <formula>0</formula>
    </cfRule>
  </conditionalFormatting>
  <conditionalFormatting sqref="B4">
    <cfRule type="cellIs" dxfId="1909" priority="262" operator="greaterThan">
      <formula>0</formula>
    </cfRule>
  </conditionalFormatting>
  <conditionalFormatting sqref="B4">
    <cfRule type="cellIs" dxfId="1908" priority="263" operator="lessThan">
      <formula>0</formula>
    </cfRule>
  </conditionalFormatting>
  <conditionalFormatting sqref="B4">
    <cfRule type="cellIs" dxfId="1907" priority="264" operator="greaterThan">
      <formula>0</formula>
    </cfRule>
  </conditionalFormatting>
  <conditionalFormatting sqref="B4">
    <cfRule type="cellIs" dxfId="1906" priority="265" operator="lessThan">
      <formula>0</formula>
    </cfRule>
  </conditionalFormatting>
  <conditionalFormatting sqref="B4">
    <cfRule type="cellIs" dxfId="1905" priority="258" operator="greaterThan">
      <formula>0</formula>
    </cfRule>
  </conditionalFormatting>
  <conditionalFormatting sqref="B4">
    <cfRule type="cellIs" dxfId="1904" priority="259" operator="lessThan">
      <formula>0</formula>
    </cfRule>
  </conditionalFormatting>
  <conditionalFormatting sqref="B4">
    <cfRule type="cellIs" dxfId="1903" priority="260" operator="greaterThan">
      <formula>0</formula>
    </cfRule>
  </conditionalFormatting>
  <conditionalFormatting sqref="B4">
    <cfRule type="cellIs" dxfId="1902" priority="261" operator="lessThan">
      <formula>0</formula>
    </cfRule>
  </conditionalFormatting>
  <conditionalFormatting sqref="B4">
    <cfRule type="cellIs" dxfId="1901" priority="254" operator="greaterThan">
      <formula>0</formula>
    </cfRule>
  </conditionalFormatting>
  <conditionalFormatting sqref="B4">
    <cfRule type="cellIs" dxfId="1900" priority="255" operator="lessThan">
      <formula>0</formula>
    </cfRule>
  </conditionalFormatting>
  <conditionalFormatting sqref="B4">
    <cfRule type="cellIs" dxfId="1899" priority="256" operator="greaterThan">
      <formula>0</formula>
    </cfRule>
  </conditionalFormatting>
  <conditionalFormatting sqref="B4">
    <cfRule type="cellIs" dxfId="1898" priority="257" operator="lessThan">
      <formula>0</formula>
    </cfRule>
  </conditionalFormatting>
  <conditionalFormatting sqref="B4">
    <cfRule type="cellIs" dxfId="1897" priority="250" operator="greaterThan">
      <formula>0</formula>
    </cfRule>
  </conditionalFormatting>
  <conditionalFormatting sqref="B4">
    <cfRule type="cellIs" dxfId="1896" priority="251" operator="lessThan">
      <formula>0</formula>
    </cfRule>
  </conditionalFormatting>
  <conditionalFormatting sqref="B4">
    <cfRule type="cellIs" dxfId="1895" priority="252" operator="greaterThan">
      <formula>0</formula>
    </cfRule>
  </conditionalFormatting>
  <conditionalFormatting sqref="B4">
    <cfRule type="cellIs" dxfId="1894" priority="253" operator="lessThan">
      <formula>0</formula>
    </cfRule>
  </conditionalFormatting>
  <conditionalFormatting sqref="B8">
    <cfRule type="cellIs" dxfId="1893" priority="246" operator="greaterThan">
      <formula>0</formula>
    </cfRule>
  </conditionalFormatting>
  <conditionalFormatting sqref="B8">
    <cfRule type="cellIs" dxfId="1892" priority="247" operator="lessThan">
      <formula>0</formula>
    </cfRule>
  </conditionalFormatting>
  <conditionalFormatting sqref="B8">
    <cfRule type="cellIs" dxfId="1891" priority="248" operator="greaterThan">
      <formula>0</formula>
    </cfRule>
  </conditionalFormatting>
  <conditionalFormatting sqref="B8">
    <cfRule type="cellIs" dxfId="1890" priority="249" operator="lessThan">
      <formula>0</formula>
    </cfRule>
  </conditionalFormatting>
  <conditionalFormatting sqref="B8">
    <cfRule type="cellIs" dxfId="1889" priority="242" operator="greaterThan">
      <formula>0</formula>
    </cfRule>
  </conditionalFormatting>
  <conditionalFormatting sqref="B8">
    <cfRule type="cellIs" dxfId="1888" priority="243" operator="lessThan">
      <formula>0</formula>
    </cfRule>
  </conditionalFormatting>
  <conditionalFormatting sqref="B8">
    <cfRule type="cellIs" dxfId="1887" priority="244" operator="greaterThan">
      <formula>0</formula>
    </cfRule>
  </conditionalFormatting>
  <conditionalFormatting sqref="B8">
    <cfRule type="cellIs" dxfId="1886" priority="245" operator="lessThan">
      <formula>0</formula>
    </cfRule>
  </conditionalFormatting>
  <conditionalFormatting sqref="B6:B7">
    <cfRule type="cellIs" dxfId="1885" priority="198" operator="greaterThan">
      <formula>0</formula>
    </cfRule>
  </conditionalFormatting>
  <conditionalFormatting sqref="B6:B7">
    <cfRule type="cellIs" dxfId="1884" priority="199" operator="lessThan">
      <formula>0</formula>
    </cfRule>
  </conditionalFormatting>
  <conditionalFormatting sqref="B6:B7">
    <cfRule type="cellIs" dxfId="1883" priority="200" operator="greaterThan">
      <formula>0</formula>
    </cfRule>
  </conditionalFormatting>
  <conditionalFormatting sqref="B6:B7">
    <cfRule type="cellIs" dxfId="1882" priority="201" operator="lessThan">
      <formula>0</formula>
    </cfRule>
  </conditionalFormatting>
  <conditionalFormatting sqref="B9:B10">
    <cfRule type="cellIs" dxfId="1881" priority="238" operator="greaterThan">
      <formula>0</formula>
    </cfRule>
  </conditionalFormatting>
  <conditionalFormatting sqref="B9:B10">
    <cfRule type="cellIs" dxfId="1880" priority="239" operator="lessThan">
      <formula>0</formula>
    </cfRule>
  </conditionalFormatting>
  <conditionalFormatting sqref="B9:B10">
    <cfRule type="cellIs" dxfId="1879" priority="240" operator="greaterThan">
      <formula>0</formula>
    </cfRule>
  </conditionalFormatting>
  <conditionalFormatting sqref="B9:B10">
    <cfRule type="cellIs" dxfId="1878" priority="241" operator="lessThan">
      <formula>0</formula>
    </cfRule>
  </conditionalFormatting>
  <conditionalFormatting sqref="B10">
    <cfRule type="cellIs" dxfId="1877" priority="234" operator="greaterThan">
      <formula>0</formula>
    </cfRule>
  </conditionalFormatting>
  <conditionalFormatting sqref="B10">
    <cfRule type="cellIs" dxfId="1876" priority="235" operator="lessThan">
      <formula>0</formula>
    </cfRule>
  </conditionalFormatting>
  <conditionalFormatting sqref="B10">
    <cfRule type="cellIs" dxfId="1875" priority="236" operator="greaterThan">
      <formula>0</formula>
    </cfRule>
  </conditionalFormatting>
  <conditionalFormatting sqref="B10">
    <cfRule type="cellIs" dxfId="1874" priority="237" operator="lessThan">
      <formula>0</formula>
    </cfRule>
  </conditionalFormatting>
  <conditionalFormatting sqref="B10">
    <cfRule type="cellIs" dxfId="1873" priority="230" operator="greaterThan">
      <formula>0</formula>
    </cfRule>
  </conditionalFormatting>
  <conditionalFormatting sqref="B10">
    <cfRule type="cellIs" dxfId="1872" priority="231" operator="lessThan">
      <formula>0</formula>
    </cfRule>
  </conditionalFormatting>
  <conditionalFormatting sqref="B10">
    <cfRule type="cellIs" dxfId="1871" priority="232" operator="greaterThan">
      <formula>0</formula>
    </cfRule>
  </conditionalFormatting>
  <conditionalFormatting sqref="B10">
    <cfRule type="cellIs" dxfId="1870" priority="233" operator="lessThan">
      <formula>0</formula>
    </cfRule>
  </conditionalFormatting>
  <conditionalFormatting sqref="B9">
    <cfRule type="cellIs" dxfId="1869" priority="226" operator="greaterThan">
      <formula>0</formula>
    </cfRule>
  </conditionalFormatting>
  <conditionalFormatting sqref="B9">
    <cfRule type="cellIs" dxfId="1868" priority="227" operator="lessThan">
      <formula>0</formula>
    </cfRule>
  </conditionalFormatting>
  <conditionalFormatting sqref="B9">
    <cfRule type="cellIs" dxfId="1867" priority="228" operator="greaterThan">
      <formula>0</formula>
    </cfRule>
  </conditionalFormatting>
  <conditionalFormatting sqref="B9">
    <cfRule type="cellIs" dxfId="1866" priority="229" operator="lessThan">
      <formula>0</formula>
    </cfRule>
  </conditionalFormatting>
  <conditionalFormatting sqref="B9:B10">
    <cfRule type="cellIs" dxfId="1865" priority="222" operator="greaterThan">
      <formula>0</formula>
    </cfRule>
  </conditionalFormatting>
  <conditionalFormatting sqref="B9:B10">
    <cfRule type="cellIs" dxfId="1864" priority="223" operator="lessThan">
      <formula>0</formula>
    </cfRule>
  </conditionalFormatting>
  <conditionalFormatting sqref="B9:B10">
    <cfRule type="cellIs" dxfId="1863" priority="224" operator="greaterThan">
      <formula>0</formula>
    </cfRule>
  </conditionalFormatting>
  <conditionalFormatting sqref="B9:B10">
    <cfRule type="cellIs" dxfId="1862" priority="225" operator="lessThan">
      <formula>0</formula>
    </cfRule>
  </conditionalFormatting>
  <conditionalFormatting sqref="B9:B10">
    <cfRule type="cellIs" dxfId="1861" priority="218" operator="greaterThan">
      <formula>0</formula>
    </cfRule>
  </conditionalFormatting>
  <conditionalFormatting sqref="B9:B10">
    <cfRule type="cellIs" dxfId="1860" priority="219" operator="lessThan">
      <formula>0</formula>
    </cfRule>
  </conditionalFormatting>
  <conditionalFormatting sqref="B9:B10">
    <cfRule type="cellIs" dxfId="1859" priority="220" operator="greaterThan">
      <formula>0</formula>
    </cfRule>
  </conditionalFormatting>
  <conditionalFormatting sqref="B9:B10">
    <cfRule type="cellIs" dxfId="1858" priority="221" operator="lessThan">
      <formula>0</formula>
    </cfRule>
  </conditionalFormatting>
  <conditionalFormatting sqref="B6:B7">
    <cfRule type="cellIs" dxfId="1857" priority="214" operator="greaterThan">
      <formula>0</formula>
    </cfRule>
  </conditionalFormatting>
  <conditionalFormatting sqref="B6:B7">
    <cfRule type="cellIs" dxfId="1856" priority="215" operator="lessThan">
      <formula>0</formula>
    </cfRule>
  </conditionalFormatting>
  <conditionalFormatting sqref="B6:B7">
    <cfRule type="cellIs" dxfId="1855" priority="216" operator="greaterThan">
      <formula>0</formula>
    </cfRule>
  </conditionalFormatting>
  <conditionalFormatting sqref="B6:B7">
    <cfRule type="cellIs" dxfId="1854" priority="217" operator="lessThan">
      <formula>0</formula>
    </cfRule>
  </conditionalFormatting>
  <conditionalFormatting sqref="B6:B7">
    <cfRule type="cellIs" dxfId="1853" priority="210" operator="greaterThan">
      <formula>0</formula>
    </cfRule>
  </conditionalFormatting>
  <conditionalFormatting sqref="B6:B7">
    <cfRule type="cellIs" dxfId="1852" priority="211" operator="lessThan">
      <formula>0</formula>
    </cfRule>
  </conditionalFormatting>
  <conditionalFormatting sqref="B6:B7">
    <cfRule type="cellIs" dxfId="1851" priority="212" operator="greaterThan">
      <formula>0</formula>
    </cfRule>
  </conditionalFormatting>
  <conditionalFormatting sqref="B6:B7">
    <cfRule type="cellIs" dxfId="1850" priority="213" operator="lessThan">
      <formula>0</formula>
    </cfRule>
  </conditionalFormatting>
  <conditionalFormatting sqref="B6:B7">
    <cfRule type="cellIs" dxfId="1849" priority="206" operator="greaterThan">
      <formula>0</formula>
    </cfRule>
  </conditionalFormatting>
  <conditionalFormatting sqref="B6:B7">
    <cfRule type="cellIs" dxfId="1848" priority="207" operator="lessThan">
      <formula>0</formula>
    </cfRule>
  </conditionalFormatting>
  <conditionalFormatting sqref="B6:B7">
    <cfRule type="cellIs" dxfId="1847" priority="208" operator="greaterThan">
      <formula>0</formula>
    </cfRule>
  </conditionalFormatting>
  <conditionalFormatting sqref="B6:B7">
    <cfRule type="cellIs" dxfId="1846" priority="209" operator="lessThan">
      <formula>0</formula>
    </cfRule>
  </conditionalFormatting>
  <conditionalFormatting sqref="B6:B7">
    <cfRule type="cellIs" dxfId="1845" priority="202" operator="greaterThan">
      <formula>0</formula>
    </cfRule>
  </conditionalFormatting>
  <conditionalFormatting sqref="B6:B7">
    <cfRule type="cellIs" dxfId="1844" priority="203" operator="lessThan">
      <formula>0</formula>
    </cfRule>
  </conditionalFormatting>
  <conditionalFormatting sqref="B6:B7">
    <cfRule type="cellIs" dxfId="1843" priority="204" operator="greaterThan">
      <formula>0</formula>
    </cfRule>
  </conditionalFormatting>
  <conditionalFormatting sqref="B6:B7">
    <cfRule type="cellIs" dxfId="1842" priority="205" operator="lessThan">
      <formula>0</formula>
    </cfRule>
  </conditionalFormatting>
  <conditionalFormatting sqref="B6:B7">
    <cfRule type="cellIs" dxfId="1841" priority="194" operator="greaterThan">
      <formula>0</formula>
    </cfRule>
  </conditionalFormatting>
  <conditionalFormatting sqref="B6:B7">
    <cfRule type="cellIs" dxfId="1840" priority="195" operator="lessThan">
      <formula>0</formula>
    </cfRule>
  </conditionalFormatting>
  <conditionalFormatting sqref="B6:B7">
    <cfRule type="cellIs" dxfId="1839" priority="196" operator="greaterThan">
      <formula>0</formula>
    </cfRule>
  </conditionalFormatting>
  <conditionalFormatting sqref="B6:B7">
    <cfRule type="cellIs" dxfId="1838" priority="197" operator="lessThan">
      <formula>0</formula>
    </cfRule>
  </conditionalFormatting>
  <conditionalFormatting sqref="B6:B7">
    <cfRule type="cellIs" dxfId="1837" priority="190" operator="greaterThan">
      <formula>0</formula>
    </cfRule>
  </conditionalFormatting>
  <conditionalFormatting sqref="B6:B7">
    <cfRule type="cellIs" dxfId="1836" priority="191" operator="lessThan">
      <formula>0</formula>
    </cfRule>
  </conditionalFormatting>
  <conditionalFormatting sqref="B6:B7">
    <cfRule type="cellIs" dxfId="1835" priority="192" operator="greaterThan">
      <formula>0</formula>
    </cfRule>
  </conditionalFormatting>
  <conditionalFormatting sqref="B6:B7">
    <cfRule type="cellIs" dxfId="1834" priority="193" operator="lessThan">
      <formula>0</formula>
    </cfRule>
  </conditionalFormatting>
  <conditionalFormatting sqref="B19">
    <cfRule type="cellIs" dxfId="1833" priority="184" operator="greaterThan">
      <formula>0</formula>
    </cfRule>
  </conditionalFormatting>
  <conditionalFormatting sqref="B19">
    <cfRule type="cellIs" dxfId="1832" priority="185" operator="lessThan">
      <formula>0</formula>
    </cfRule>
  </conditionalFormatting>
  <conditionalFormatting sqref="B19">
    <cfRule type="cellIs" dxfId="1831" priority="186" operator="greaterThan">
      <formula>0</formula>
    </cfRule>
  </conditionalFormatting>
  <conditionalFormatting sqref="B19">
    <cfRule type="cellIs" dxfId="1830" priority="187" operator="lessThan">
      <formula>0</formula>
    </cfRule>
  </conditionalFormatting>
  <conditionalFormatting sqref="B19">
    <cfRule type="cellIs" dxfId="1829" priority="180" operator="greaterThan">
      <formula>0</formula>
    </cfRule>
  </conditionalFormatting>
  <conditionalFormatting sqref="B19">
    <cfRule type="cellIs" dxfId="1828" priority="181" operator="lessThan">
      <formula>0</formula>
    </cfRule>
  </conditionalFormatting>
  <conditionalFormatting sqref="B19">
    <cfRule type="cellIs" dxfId="1827" priority="182" operator="greaterThan">
      <formula>0</formula>
    </cfRule>
  </conditionalFormatting>
  <conditionalFormatting sqref="B19">
    <cfRule type="cellIs" dxfId="1826" priority="183" operator="lessThan">
      <formula>0</formula>
    </cfRule>
  </conditionalFormatting>
  <conditionalFormatting sqref="B3">
    <cfRule type="cellIs" dxfId="1825" priority="176" operator="greaterThan">
      <formula>0</formula>
    </cfRule>
  </conditionalFormatting>
  <conditionalFormatting sqref="B3">
    <cfRule type="cellIs" dxfId="1824" priority="177" operator="lessThan">
      <formula>0</formula>
    </cfRule>
  </conditionalFormatting>
  <conditionalFormatting sqref="B3">
    <cfRule type="cellIs" dxfId="1823" priority="178" operator="greaterThan">
      <formula>0</formula>
    </cfRule>
  </conditionalFormatting>
  <conditionalFormatting sqref="B3">
    <cfRule type="cellIs" dxfId="1822" priority="179" operator="lessThan">
      <formula>0</formula>
    </cfRule>
  </conditionalFormatting>
  <conditionalFormatting sqref="B3">
    <cfRule type="cellIs" dxfId="1821" priority="172" operator="greaterThan">
      <formula>0</formula>
    </cfRule>
  </conditionalFormatting>
  <conditionalFormatting sqref="B3">
    <cfRule type="cellIs" dxfId="1820" priority="173" operator="lessThan">
      <formula>0</formula>
    </cfRule>
  </conditionalFormatting>
  <conditionalFormatting sqref="B3">
    <cfRule type="cellIs" dxfId="1819" priority="174" operator="greaterThan">
      <formula>0</formula>
    </cfRule>
  </conditionalFormatting>
  <conditionalFormatting sqref="B3">
    <cfRule type="cellIs" dxfId="1818" priority="175" operator="lessThan">
      <formula>0</formula>
    </cfRule>
  </conditionalFormatting>
  <conditionalFormatting sqref="B3">
    <cfRule type="cellIs" dxfId="1817" priority="168" operator="greaterThan">
      <formula>0</formula>
    </cfRule>
  </conditionalFormatting>
  <conditionalFormatting sqref="B3">
    <cfRule type="cellIs" dxfId="1816" priority="169" operator="lessThan">
      <formula>0</formula>
    </cfRule>
  </conditionalFormatting>
  <conditionalFormatting sqref="B3">
    <cfRule type="cellIs" dxfId="1815" priority="170" operator="greaterThan">
      <formula>0</formula>
    </cfRule>
  </conditionalFormatting>
  <conditionalFormatting sqref="B3">
    <cfRule type="cellIs" dxfId="1814" priority="171" operator="lessThan">
      <formula>0</formula>
    </cfRule>
  </conditionalFormatting>
  <conditionalFormatting sqref="B3">
    <cfRule type="cellIs" dxfId="1813" priority="164" operator="greaterThan">
      <formula>0</formula>
    </cfRule>
  </conditionalFormatting>
  <conditionalFormatting sqref="B3">
    <cfRule type="cellIs" dxfId="1812" priority="165" operator="lessThan">
      <formula>0</formula>
    </cfRule>
  </conditionalFormatting>
  <conditionalFormatting sqref="B3">
    <cfRule type="cellIs" dxfId="1811" priority="166" operator="greaterThan">
      <formula>0</formula>
    </cfRule>
  </conditionalFormatting>
  <conditionalFormatting sqref="B3">
    <cfRule type="cellIs" dxfId="1810" priority="167" operator="lessThan">
      <formula>0</formula>
    </cfRule>
  </conditionalFormatting>
  <conditionalFormatting sqref="B7">
    <cfRule type="cellIs" dxfId="1809" priority="160" operator="greaterThan">
      <formula>0</formula>
    </cfRule>
  </conditionalFormatting>
  <conditionalFormatting sqref="B7">
    <cfRule type="cellIs" dxfId="1808" priority="161" operator="lessThan">
      <formula>0</formula>
    </cfRule>
  </conditionalFormatting>
  <conditionalFormatting sqref="B7">
    <cfRule type="cellIs" dxfId="1807" priority="162" operator="greaterThan">
      <formula>0</formula>
    </cfRule>
  </conditionalFormatting>
  <conditionalFormatting sqref="B7">
    <cfRule type="cellIs" dxfId="1806" priority="163" operator="lessThan">
      <formula>0</formula>
    </cfRule>
  </conditionalFormatting>
  <conditionalFormatting sqref="B7">
    <cfRule type="cellIs" dxfId="1805" priority="156" operator="greaterThan">
      <formula>0</formula>
    </cfRule>
  </conditionalFormatting>
  <conditionalFormatting sqref="B7">
    <cfRule type="cellIs" dxfId="1804" priority="157" operator="lessThan">
      <formula>0</formula>
    </cfRule>
  </conditionalFormatting>
  <conditionalFormatting sqref="B7">
    <cfRule type="cellIs" dxfId="1803" priority="158" operator="greaterThan">
      <formula>0</formula>
    </cfRule>
  </conditionalFormatting>
  <conditionalFormatting sqref="B7">
    <cfRule type="cellIs" dxfId="1802" priority="159" operator="lessThan">
      <formula>0</formula>
    </cfRule>
  </conditionalFormatting>
  <conditionalFormatting sqref="B7">
    <cfRule type="cellIs" dxfId="1801" priority="152" operator="greaterThan">
      <formula>0</formula>
    </cfRule>
  </conditionalFormatting>
  <conditionalFormatting sqref="B7">
    <cfRule type="cellIs" dxfId="1800" priority="153" operator="lessThan">
      <formula>0</formula>
    </cfRule>
  </conditionalFormatting>
  <conditionalFormatting sqref="B7">
    <cfRule type="cellIs" dxfId="1799" priority="154" operator="greaterThan">
      <formula>0</formula>
    </cfRule>
  </conditionalFormatting>
  <conditionalFormatting sqref="B7">
    <cfRule type="cellIs" dxfId="1798" priority="155" operator="lessThan">
      <formula>0</formula>
    </cfRule>
  </conditionalFormatting>
  <conditionalFormatting sqref="B7">
    <cfRule type="cellIs" dxfId="1797" priority="148" operator="greaterThan">
      <formula>0</formula>
    </cfRule>
  </conditionalFormatting>
  <conditionalFormatting sqref="B7">
    <cfRule type="cellIs" dxfId="1796" priority="149" operator="lessThan">
      <formula>0</formula>
    </cfRule>
  </conditionalFormatting>
  <conditionalFormatting sqref="B7">
    <cfRule type="cellIs" dxfId="1795" priority="150" operator="greaterThan">
      <formula>0</formula>
    </cfRule>
  </conditionalFormatting>
  <conditionalFormatting sqref="B7">
    <cfRule type="cellIs" dxfId="1794" priority="151" operator="lessThan">
      <formula>0</formula>
    </cfRule>
  </conditionalFormatting>
  <conditionalFormatting sqref="B7">
    <cfRule type="cellIs" dxfId="1793" priority="144" operator="greaterThan">
      <formula>0</formula>
    </cfRule>
  </conditionalFormatting>
  <conditionalFormatting sqref="B7">
    <cfRule type="cellIs" dxfId="1792" priority="145" operator="lessThan">
      <formula>0</formula>
    </cfRule>
  </conditionalFormatting>
  <conditionalFormatting sqref="B7">
    <cfRule type="cellIs" dxfId="1791" priority="146" operator="greaterThan">
      <formula>0</formula>
    </cfRule>
  </conditionalFormatting>
  <conditionalFormatting sqref="B7">
    <cfRule type="cellIs" dxfId="1790" priority="147" operator="lessThan">
      <formula>0</formula>
    </cfRule>
  </conditionalFormatting>
  <conditionalFormatting sqref="B7">
    <cfRule type="cellIs" dxfId="1789" priority="140" operator="greaterThan">
      <formula>0</formula>
    </cfRule>
  </conditionalFormatting>
  <conditionalFormatting sqref="B7">
    <cfRule type="cellIs" dxfId="1788" priority="141" operator="lessThan">
      <formula>0</formula>
    </cfRule>
  </conditionalFormatting>
  <conditionalFormatting sqref="B7">
    <cfRule type="cellIs" dxfId="1787" priority="142" operator="greaterThan">
      <formula>0</formula>
    </cfRule>
  </conditionalFormatting>
  <conditionalFormatting sqref="B7">
    <cfRule type="cellIs" dxfId="1786" priority="143" operator="lessThan">
      <formula>0</formula>
    </cfRule>
  </conditionalFormatting>
  <conditionalFormatting sqref="B7">
    <cfRule type="cellIs" dxfId="1785" priority="136" operator="greaterThan">
      <formula>0</formula>
    </cfRule>
  </conditionalFormatting>
  <conditionalFormatting sqref="B7">
    <cfRule type="cellIs" dxfId="1784" priority="137" operator="lessThan">
      <formula>0</formula>
    </cfRule>
  </conditionalFormatting>
  <conditionalFormatting sqref="B7">
    <cfRule type="cellIs" dxfId="1783" priority="138" operator="greaterThan">
      <formula>0</formula>
    </cfRule>
  </conditionalFormatting>
  <conditionalFormatting sqref="B7">
    <cfRule type="cellIs" dxfId="1782" priority="139" operator="lessThan">
      <formula>0</formula>
    </cfRule>
  </conditionalFormatting>
  <conditionalFormatting sqref="B7">
    <cfRule type="cellIs" dxfId="1781" priority="132" operator="greaterThan">
      <formula>0</formula>
    </cfRule>
  </conditionalFormatting>
  <conditionalFormatting sqref="B7">
    <cfRule type="cellIs" dxfId="1780" priority="133" operator="lessThan">
      <formula>0</formula>
    </cfRule>
  </conditionalFormatting>
  <conditionalFormatting sqref="B7">
    <cfRule type="cellIs" dxfId="1779" priority="134" operator="greaterThan">
      <formula>0</formula>
    </cfRule>
  </conditionalFormatting>
  <conditionalFormatting sqref="B7">
    <cfRule type="cellIs" dxfId="1778" priority="135" operator="lessThan">
      <formula>0</formula>
    </cfRule>
  </conditionalFormatting>
  <conditionalFormatting sqref="B7">
    <cfRule type="cellIs" dxfId="1777" priority="128" operator="greaterThan">
      <formula>0</formula>
    </cfRule>
  </conditionalFormatting>
  <conditionalFormatting sqref="B7">
    <cfRule type="cellIs" dxfId="1776" priority="129" operator="lessThan">
      <formula>0</formula>
    </cfRule>
  </conditionalFormatting>
  <conditionalFormatting sqref="B7">
    <cfRule type="cellIs" dxfId="1775" priority="130" operator="greaterThan">
      <formula>0</formula>
    </cfRule>
  </conditionalFormatting>
  <conditionalFormatting sqref="B7">
    <cfRule type="cellIs" dxfId="1774" priority="131" operator="lessThan">
      <formula>0</formula>
    </cfRule>
  </conditionalFormatting>
  <conditionalFormatting sqref="AE3:AE6">
    <cfRule type="cellIs" dxfId="1773" priority="127" operator="lessThan">
      <formula>0.01</formula>
    </cfRule>
  </conditionalFormatting>
  <conditionalFormatting sqref="S3">
    <cfRule type="cellIs" dxfId="1772" priority="126" operator="lessThan">
      <formula>0.01</formula>
    </cfRule>
  </conditionalFormatting>
  <conditionalFormatting sqref="AO3:AO42">
    <cfRule type="expression" dxfId="1771" priority="125">
      <formula>$L$18-$R3&lt;0</formula>
    </cfRule>
  </conditionalFormatting>
  <conditionalFormatting sqref="AO3:AO42">
    <cfRule type="expression" dxfId="1770" priority="124">
      <formula>$L$18-$R3&gt;0</formula>
    </cfRule>
  </conditionalFormatting>
  <conditionalFormatting sqref="Q3">
    <cfRule type="cellIs" dxfId="1769" priority="119" operator="equal">
      <formula>0</formula>
    </cfRule>
  </conditionalFormatting>
  <conditionalFormatting sqref="AC3:AC42">
    <cfRule type="cellIs" dxfId="1768" priority="118" operator="equal">
      <formula>0</formula>
    </cfRule>
  </conditionalFormatting>
  <conditionalFormatting sqref="Y3:Y42">
    <cfRule type="cellIs" dxfId="1767" priority="115" operator="equal">
      <formula>0</formula>
    </cfRule>
  </conditionalFormatting>
  <conditionalFormatting sqref="Z3:Z42">
    <cfRule type="cellIs" dxfId="1766" priority="114" operator="equal">
      <formula>0</formula>
    </cfRule>
  </conditionalFormatting>
  <conditionalFormatting sqref="AH3:AI42">
    <cfRule type="cellIs" dxfId="1765" priority="109" operator="equal">
      <formula>0</formula>
    </cfRule>
  </conditionalFormatting>
  <conditionalFormatting sqref="AK3:AK42">
    <cfRule type="cellIs" dxfId="1764" priority="108" operator="equal">
      <formula>0</formula>
    </cfRule>
  </conditionalFormatting>
  <conditionalFormatting sqref="AL3:AL42">
    <cfRule type="cellIs" dxfId="1763" priority="107" operator="equal">
      <formula>0</formula>
    </cfRule>
  </conditionalFormatting>
  <conditionalFormatting sqref="AD23:AD26">
    <cfRule type="expression" dxfId="1762" priority="105">
      <formula>AC23&gt;0</formula>
    </cfRule>
  </conditionalFormatting>
  <conditionalFormatting sqref="AD23:AD26">
    <cfRule type="expression" dxfId="1761" priority="106">
      <formula>AC23&lt;0</formula>
    </cfRule>
  </conditionalFormatting>
  <conditionalFormatting sqref="AE7:AE8">
    <cfRule type="cellIs" dxfId="1760" priority="104" operator="lessThan">
      <formula>0.01</formula>
    </cfRule>
  </conditionalFormatting>
  <conditionalFormatting sqref="AE9:AE42">
    <cfRule type="cellIs" dxfId="1759" priority="70" operator="lessThan">
      <formula>0.01</formula>
    </cfRule>
  </conditionalFormatting>
  <conditionalFormatting sqref="R3">
    <cfRule type="expression" dxfId="1758" priority="68">
      <formula>Q3&gt;0</formula>
    </cfRule>
  </conditionalFormatting>
  <conditionalFormatting sqref="R3">
    <cfRule type="expression" dxfId="1757" priority="69">
      <formula>Q3&lt;0</formula>
    </cfRule>
  </conditionalFormatting>
  <conditionalFormatting sqref="N36">
    <cfRule type="cellIs" dxfId="1756" priority="67" operator="lessThan">
      <formula>0</formula>
    </cfRule>
  </conditionalFormatting>
  <conditionalFormatting sqref="AD3:AD12">
    <cfRule type="expression" dxfId="1755" priority="63">
      <formula>AC3&gt;0</formula>
    </cfRule>
  </conditionalFormatting>
  <conditionalFormatting sqref="AD3:AD12">
    <cfRule type="expression" dxfId="1754" priority="64">
      <formula>AC3&lt;0</formula>
    </cfRule>
  </conditionalFormatting>
  <conditionalFormatting sqref="Q4:Q42">
    <cfRule type="cellIs" dxfId="1753" priority="54" operator="greaterThan">
      <formula>0</formula>
    </cfRule>
  </conditionalFormatting>
  <conditionalFormatting sqref="Q4:Q42">
    <cfRule type="cellIs" dxfId="1752" priority="55" operator="lessThan">
      <formula>0</formula>
    </cfRule>
  </conditionalFormatting>
  <conditionalFormatting sqref="Q4:Q42">
    <cfRule type="cellIs" dxfId="1751" priority="56" operator="greaterThan">
      <formula>0</formula>
    </cfRule>
  </conditionalFormatting>
  <conditionalFormatting sqref="Q4:Q42">
    <cfRule type="cellIs" dxfId="1750" priority="57" operator="lessThan">
      <formula>0</formula>
    </cfRule>
  </conditionalFormatting>
  <conditionalFormatting sqref="S4:S42">
    <cfRule type="cellIs" dxfId="1749" priority="47" operator="lessThan">
      <formula>0.01</formula>
    </cfRule>
  </conditionalFormatting>
  <conditionalFormatting sqref="Q4:Q42">
    <cfRule type="cellIs" dxfId="1748" priority="46" operator="equal">
      <formula>0</formula>
    </cfRule>
  </conditionalFormatting>
  <conditionalFormatting sqref="R3:R42">
    <cfRule type="expression" dxfId="1747" priority="42">
      <formula>Q3&gt;0</formula>
    </cfRule>
  </conditionalFormatting>
  <conditionalFormatting sqref="R3:R42">
    <cfRule type="expression" dxfId="1746" priority="43">
      <formula>Q3&lt;0</formula>
    </cfRule>
  </conditionalFormatting>
  <conditionalFormatting sqref="AM3">
    <cfRule type="cellIs" dxfId="1745" priority="39" operator="equal">
      <formula>0</formula>
    </cfRule>
  </conditionalFormatting>
  <conditionalFormatting sqref="AM4:AM42">
    <cfRule type="cellIs" dxfId="1744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743" priority="21" operator="equal">
      <formula>0</formula>
    </cfRule>
  </conditionalFormatting>
  <conditionalFormatting sqref="X3:X42">
    <cfRule type="cellIs" dxfId="1742" priority="17" operator="equal">
      <formula>0</formula>
    </cfRule>
  </conditionalFormatting>
  <conditionalFormatting sqref="R13">
    <cfRule type="expression" dxfId="1741" priority="9">
      <formula>Q13&gt;0</formula>
    </cfRule>
  </conditionalFormatting>
  <conditionalFormatting sqref="R13">
    <cfRule type="expression" dxfId="1740" priority="10">
      <formula>Q13&lt;0</formula>
    </cfRule>
  </conditionalFormatting>
  <conditionalFormatting sqref="R13">
    <cfRule type="expression" dxfId="1739" priority="7">
      <formula>Q13&gt;0</formula>
    </cfRule>
  </conditionalFormatting>
  <conditionalFormatting sqref="R13">
    <cfRule type="expression" dxfId="1738" priority="8">
      <formula>Q13&lt;0</formula>
    </cfRule>
  </conditionalFormatting>
  <conditionalFormatting sqref="AD13:AD22">
    <cfRule type="expression" dxfId="1737" priority="5">
      <formula>AC13&gt;0</formula>
    </cfRule>
  </conditionalFormatting>
  <conditionalFormatting sqref="AD13:AD22">
    <cfRule type="expression" dxfId="1736" priority="6">
      <formula>AC13&lt;0</formula>
    </cfRule>
  </conditionalFormatting>
  <conditionalFormatting sqref="AD13">
    <cfRule type="expression" dxfId="1735" priority="3">
      <formula>AC13&gt;0</formula>
    </cfRule>
  </conditionalFormatting>
  <conditionalFormatting sqref="AD13">
    <cfRule type="expression" dxfId="1734" priority="4">
      <formula>AC13&lt;0</formula>
    </cfRule>
  </conditionalFormatting>
  <conditionalFormatting sqref="AD13">
    <cfRule type="expression" dxfId="1733" priority="1">
      <formula>AC13&gt;0</formula>
    </cfRule>
  </conditionalFormatting>
  <conditionalFormatting sqref="AD13">
    <cfRule type="expression" dxfId="1732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43" sqref="E14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606</v>
      </c>
      <c r="B3" s="20"/>
      <c r="C3" s="19"/>
      <c r="D3" s="20"/>
      <c r="E3" s="383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607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608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609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610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611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612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613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00" t="s">
        <v>614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654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655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656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657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658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659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660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00" t="s">
        <v>661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41" t="s">
        <v>664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665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666</v>
      </c>
      <c r="B24" s="20"/>
      <c r="C24" s="19"/>
      <c r="D24" s="20"/>
      <c r="E24" s="19" t="s">
        <v>596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667</v>
      </c>
      <c r="B25" s="20"/>
      <c r="C25" s="19"/>
      <c r="D25" s="20"/>
      <c r="E25" s="19" t="s">
        <v>597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668</v>
      </c>
      <c r="B26" s="20"/>
      <c r="C26" s="19"/>
      <c r="D26" s="20"/>
      <c r="E26" s="19" t="s">
        <v>598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669</v>
      </c>
      <c r="B27" s="20"/>
      <c r="C27" s="19"/>
      <c r="D27" s="20"/>
      <c r="E27" s="19" t="s">
        <v>599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670</v>
      </c>
      <c r="B28" s="20"/>
      <c r="C28" s="19"/>
      <c r="D28" s="20"/>
      <c r="E28" s="19" t="s">
        <v>600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671</v>
      </c>
      <c r="B29" s="20"/>
      <c r="C29" s="19"/>
      <c r="D29" s="20"/>
      <c r="E29" s="19" t="s">
        <v>601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672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00" t="s">
        <v>673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590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591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592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593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594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595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615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616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617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618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619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620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621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622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623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624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625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626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627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628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629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630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631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632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633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634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635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636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637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638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639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640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641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642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643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644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645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646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650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647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648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2024-04-19T20:02:27Z</dcterms:modified>
</cp:coreProperties>
</file>