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9FE6A59B-C29B-4842-9520-C525FD57C581}" xr6:coauthVersionLast="47" xr6:coauthVersionMax="47" xr10:uidLastSave="{00000000-0000-0000-0000-000000000000}"/>
  <bookViews>
    <workbookView xWindow="5820" yWindow="198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38" l="1"/>
  <c r="A23" i="38"/>
  <c r="A25" i="38"/>
  <c r="A22" i="38"/>
  <c r="A15" i="38"/>
  <c r="A17" i="38"/>
  <c r="A14" i="38"/>
  <c r="A19" i="38"/>
  <c r="A20" i="38"/>
  <c r="A21" i="38"/>
  <c r="A18" i="38"/>
  <c r="A16" i="38"/>
  <c r="A13" i="38"/>
  <c r="A12" i="38"/>
  <c r="O12" i="38" s="1"/>
  <c r="A11" i="38"/>
  <c r="A10" i="38"/>
  <c r="AA80" i="38"/>
  <c r="AA81" i="38"/>
  <c r="AA49" i="38"/>
  <c r="B26" i="38"/>
  <c r="C26" i="38"/>
  <c r="D26" i="38"/>
  <c r="E26" i="38"/>
  <c r="F26" i="38"/>
  <c r="G26" i="38"/>
  <c r="H26" i="38"/>
  <c r="I26" i="38"/>
  <c r="J26" i="38"/>
  <c r="K26" i="38"/>
  <c r="L26" i="38"/>
  <c r="M26" i="38"/>
  <c r="N26" i="38"/>
  <c r="O26" i="38"/>
  <c r="B27" i="38"/>
  <c r="C27" i="38"/>
  <c r="D27" i="38"/>
  <c r="E27" i="38"/>
  <c r="F27" i="38"/>
  <c r="G27" i="38"/>
  <c r="H27" i="38"/>
  <c r="I27" i="38"/>
  <c r="J27" i="38"/>
  <c r="K27" i="38"/>
  <c r="L27" i="38"/>
  <c r="M27" i="38"/>
  <c r="N27" i="38"/>
  <c r="O27" i="38"/>
  <c r="B28" i="38"/>
  <c r="C28" i="38"/>
  <c r="D28" i="38"/>
  <c r="E28" i="38"/>
  <c r="F28" i="38"/>
  <c r="G28" i="38"/>
  <c r="H28" i="38"/>
  <c r="I28" i="38"/>
  <c r="J28" i="38"/>
  <c r="K28" i="38"/>
  <c r="L28" i="38"/>
  <c r="M28" i="38"/>
  <c r="N28" i="38"/>
  <c r="O28" i="38"/>
  <c r="B29" i="38"/>
  <c r="C29" i="38"/>
  <c r="D29" i="38"/>
  <c r="E29" i="38"/>
  <c r="F29" i="38"/>
  <c r="G29" i="38"/>
  <c r="H29" i="38"/>
  <c r="I29" i="38"/>
  <c r="J29" i="38"/>
  <c r="K29" i="38"/>
  <c r="L29" i="38"/>
  <c r="M29" i="38"/>
  <c r="N29" i="38"/>
  <c r="O29" i="38"/>
  <c r="A2" i="3"/>
  <c r="A3" i="3"/>
  <c r="AA128" i="38"/>
  <c r="N8" i="38"/>
  <c r="AA48" i="38"/>
  <c r="Z26" i="38"/>
  <c r="AA26" i="38" s="1"/>
  <c r="Z27" i="38"/>
  <c r="AA27" i="38" s="1"/>
  <c r="Z28" i="38"/>
  <c r="AA28" i="38" s="1"/>
  <c r="Z29" i="38"/>
  <c r="AA29" i="38" s="1"/>
  <c r="W88" i="38"/>
  <c r="AA139" i="38"/>
  <c r="AA133" i="38"/>
  <c r="AA127" i="38"/>
  <c r="AA121" i="38"/>
  <c r="AA115" i="38"/>
  <c r="AA109" i="38"/>
  <c r="AA103" i="38"/>
  <c r="AA97" i="38"/>
  <c r="AA91" i="38"/>
  <c r="AA85" i="38"/>
  <c r="AA79" i="38"/>
  <c r="AA73" i="38"/>
  <c r="AA67" i="38"/>
  <c r="AA61" i="38"/>
  <c r="AA55" i="38"/>
  <c r="Y58"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8"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4" i="38"/>
  <c r="Y62" i="38"/>
  <c r="Y60" i="38"/>
  <c r="Y56" i="38"/>
  <c r="Y54" i="38"/>
  <c r="Y52" i="38"/>
  <c r="Y50" i="38"/>
  <c r="Y48" i="38"/>
  <c r="Y46" i="38"/>
  <c r="AA50" i="38"/>
  <c r="AA141" i="38"/>
  <c r="AA140" i="38"/>
  <c r="AA138" i="38"/>
  <c r="AA135" i="38"/>
  <c r="AA134" i="38"/>
  <c r="AA132" i="38"/>
  <c r="AA129"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78" i="38"/>
  <c r="AA75" i="38"/>
  <c r="AA74" i="38"/>
  <c r="AA72" i="38"/>
  <c r="AA69" i="38"/>
  <c r="AA68" i="38"/>
  <c r="AA66" i="38"/>
  <c r="AA63" i="38"/>
  <c r="AA62" i="38"/>
  <c r="AA60" i="38"/>
  <c r="AA57" i="38"/>
  <c r="AA56" i="38"/>
  <c r="AA54" i="38"/>
  <c r="AA51" i="38"/>
  <c r="W62" i="38"/>
  <c r="W65" i="38"/>
  <c r="W64" i="38"/>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Y45" i="38"/>
  <c r="Y44" i="38"/>
  <c r="AA42" i="38"/>
  <c r="AA44" i="38"/>
  <c r="AE1" i="38"/>
  <c r="Q48" i="46" s="1"/>
  <c r="M12" i="38"/>
  <c r="I8" i="38"/>
  <c r="E8" i="38"/>
  <c r="AJ14" i="46"/>
  <c r="AJ13" i="46"/>
  <c r="AJ12" i="46"/>
  <c r="AJ11" i="46"/>
  <c r="AJ10" i="46"/>
  <c r="A13" i="3" s="1"/>
  <c r="AJ9" i="46"/>
  <c r="A12" i="3" s="1"/>
  <c r="AJ8" i="46"/>
  <c r="A11" i="3" s="1"/>
  <c r="AJ7" i="46"/>
  <c r="AJ6" i="46"/>
  <c r="A9" i="3" s="1"/>
  <c r="AJ5" i="46"/>
  <c r="A8" i="3" s="1"/>
  <c r="AJ4" i="46"/>
  <c r="AJ3" i="46"/>
  <c r="X4" i="46"/>
  <c r="X5" i="46"/>
  <c r="X6" i="46"/>
  <c r="X7" i="46"/>
  <c r="A4" i="3" s="1"/>
  <c r="X8" i="46"/>
  <c r="A5" i="3" s="1"/>
  <c r="X9" i="46"/>
  <c r="A6" i="3" s="1"/>
  <c r="X10" i="46"/>
  <c r="A7" i="3" s="1"/>
  <c r="X11" i="46"/>
  <c r="X12" i="46"/>
  <c r="X13" i="46"/>
  <c r="X14" i="46"/>
  <c r="X3" i="46"/>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I12" i="38" l="1"/>
  <c r="J12" i="38"/>
  <c r="B12" i="38"/>
  <c r="D12" i="38"/>
  <c r="E12" i="38"/>
  <c r="F12" i="38"/>
  <c r="B22" i="38"/>
  <c r="C12" i="38"/>
  <c r="G12" i="38"/>
  <c r="K12" i="38"/>
  <c r="H12" i="38"/>
  <c r="L12" i="38"/>
  <c r="N12" i="38"/>
  <c r="J24" i="38"/>
  <c r="L24" i="38"/>
  <c r="F24" i="38"/>
  <c r="B24" i="38"/>
  <c r="G24" i="38"/>
  <c r="I24" i="38"/>
  <c r="E24" i="38"/>
  <c r="C24" i="38"/>
  <c r="N24" i="38"/>
  <c r="H24" i="38"/>
  <c r="D24" i="38"/>
  <c r="M24" i="38"/>
  <c r="C20" i="38"/>
  <c r="K20" i="38"/>
  <c r="F6" i="38"/>
  <c r="G9" i="38"/>
  <c r="N6" i="38"/>
  <c r="J6" i="38"/>
  <c r="L2" i="38"/>
  <c r="O2" i="38"/>
  <c r="D2" i="38"/>
  <c r="N22" i="38"/>
  <c r="J22" i="38"/>
  <c r="K24" i="38"/>
  <c r="O24" i="38"/>
  <c r="F22" i="38"/>
  <c r="C22" i="38"/>
  <c r="Z22" i="38" s="1"/>
  <c r="G22" i="38"/>
  <c r="K22" i="38"/>
  <c r="O22" i="38"/>
  <c r="D22" i="38"/>
  <c r="H22" i="38"/>
  <c r="L22" i="38"/>
  <c r="E22" i="38"/>
  <c r="I22" i="38"/>
  <c r="M22" i="38"/>
  <c r="E20" i="38"/>
  <c r="M20" i="38"/>
  <c r="L20" i="38"/>
  <c r="G20" i="38"/>
  <c r="O20" i="38"/>
  <c r="I20" i="38"/>
  <c r="B20" i="38"/>
  <c r="F20" i="38"/>
  <c r="J20" i="38"/>
  <c r="N20" i="38"/>
  <c r="D20" i="38"/>
  <c r="H20" i="38"/>
  <c r="O16" i="38"/>
  <c r="B16" i="38"/>
  <c r="N15" i="38"/>
  <c r="J16" i="38"/>
  <c r="D16" i="38"/>
  <c r="L16" i="38"/>
  <c r="F16" i="38"/>
  <c r="N16" i="38"/>
  <c r="H16" i="38"/>
  <c r="E16" i="38"/>
  <c r="I16" i="38"/>
  <c r="M16" i="38"/>
  <c r="C16" i="38"/>
  <c r="G16" i="38"/>
  <c r="K16" i="38"/>
  <c r="N13" i="38"/>
  <c r="M11" i="38"/>
  <c r="I11" i="38"/>
  <c r="E11" i="38"/>
  <c r="L11" i="38"/>
  <c r="H11" i="38"/>
  <c r="D11" i="38"/>
  <c r="N11" i="38"/>
  <c r="J11" i="38"/>
  <c r="F11" i="38"/>
  <c r="B11" i="38"/>
  <c r="O11" i="38"/>
  <c r="K11" i="38"/>
  <c r="G11" i="38"/>
  <c r="C11" i="38"/>
  <c r="I10" i="38"/>
  <c r="C8" i="38"/>
  <c r="K8" i="38"/>
  <c r="M8" i="38"/>
  <c r="G8" i="38"/>
  <c r="O8" i="38"/>
  <c r="D8" i="38"/>
  <c r="H8" i="38"/>
  <c r="L8" i="38"/>
  <c r="F8" i="38"/>
  <c r="J8" i="38"/>
  <c r="L9" i="38"/>
  <c r="O7" i="38"/>
  <c r="K7" i="38"/>
  <c r="G7" i="38"/>
  <c r="C7" i="38"/>
  <c r="N7" i="38"/>
  <c r="J7" i="38"/>
  <c r="F7" i="38"/>
  <c r="L7" i="38"/>
  <c r="H7" i="38"/>
  <c r="D7" i="38"/>
  <c r="M7" i="38"/>
  <c r="I7" i="38"/>
  <c r="E7" i="38"/>
  <c r="C6" i="38"/>
  <c r="G6" i="38"/>
  <c r="K6" i="38"/>
  <c r="O6" i="38"/>
  <c r="D6" i="38"/>
  <c r="H6" i="38"/>
  <c r="L6" i="38"/>
  <c r="E6" i="38"/>
  <c r="I6" i="38"/>
  <c r="M6" i="38"/>
  <c r="E2" i="38"/>
  <c r="I2" i="38"/>
  <c r="M2" i="38"/>
  <c r="F2" i="38"/>
  <c r="J2" i="38"/>
  <c r="N2" i="38"/>
  <c r="C2" i="38"/>
  <c r="G2" i="38"/>
  <c r="K2" i="38"/>
  <c r="Z64" i="38"/>
  <c r="Z88" i="38"/>
  <c r="Z112" i="38"/>
  <c r="Z136" i="38"/>
  <c r="Z106" i="38"/>
  <c r="Z70" i="38"/>
  <c r="Z94" i="38"/>
  <c r="Z118" i="38"/>
  <c r="Z58" i="38"/>
  <c r="Z52" i="38"/>
  <c r="Z82" i="38"/>
  <c r="Z130" i="38"/>
  <c r="Z76" i="38"/>
  <c r="Z100" i="38"/>
  <c r="Z124" i="38"/>
  <c r="Z46" i="38"/>
  <c r="H10" i="38"/>
  <c r="D10" i="38"/>
  <c r="L10" i="38"/>
  <c r="E10" i="38"/>
  <c r="M10" i="38"/>
  <c r="K13" i="38"/>
  <c r="D13" i="38"/>
  <c r="H13" i="38"/>
  <c r="L13" i="38"/>
  <c r="E13" i="38"/>
  <c r="I13" i="38"/>
  <c r="M13" i="38"/>
  <c r="C13" i="38"/>
  <c r="G13" i="38"/>
  <c r="O13" i="38"/>
  <c r="B13" i="38"/>
  <c r="F13" i="38"/>
  <c r="J13" i="38"/>
  <c r="B10" i="38"/>
  <c r="F10" i="38"/>
  <c r="J10" i="38"/>
  <c r="N10" i="38"/>
  <c r="C10" i="38"/>
  <c r="Z10" i="38" s="1"/>
  <c r="G10" i="38"/>
  <c r="K10" i="38"/>
  <c r="O10" i="38"/>
  <c r="B15" i="38"/>
  <c r="Z44" i="38"/>
  <c r="Z42" i="38"/>
  <c r="Z1" i="38"/>
  <c r="Z43" i="38"/>
  <c r="Z45" i="38"/>
  <c r="A10" i="3"/>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N9" i="38" l="1"/>
  <c r="K9" i="38"/>
  <c r="D9" i="38"/>
  <c r="D15" i="38"/>
  <c r="O15" i="38"/>
  <c r="H15" i="38"/>
  <c r="E15" i="38"/>
  <c r="F15" i="38"/>
  <c r="C15" i="38"/>
  <c r="L15" i="38"/>
  <c r="I15" i="38"/>
  <c r="J15" i="38"/>
  <c r="K15" i="38"/>
  <c r="G15" i="38"/>
  <c r="M15" i="38"/>
  <c r="E9" i="38"/>
  <c r="H9" i="38"/>
  <c r="O9" i="38"/>
  <c r="I9" i="38"/>
  <c r="F9" i="38"/>
  <c r="C9" i="38"/>
  <c r="M9" i="38"/>
  <c r="J9" i="38"/>
  <c r="H2" i="38"/>
  <c r="Y11" i="38"/>
  <c r="Y12" i="38" s="1"/>
  <c r="Z12" i="38" s="1"/>
  <c r="C4" i="38"/>
  <c r="N4" i="38"/>
  <c r="J4" i="38"/>
  <c r="F4" i="38"/>
  <c r="M4" i="38"/>
  <c r="I4" i="38"/>
  <c r="E4" i="38"/>
  <c r="L4" i="38"/>
  <c r="H4" i="38"/>
  <c r="D4" i="38"/>
  <c r="O4" i="38"/>
  <c r="K4" i="38"/>
  <c r="G4" i="38"/>
  <c r="M17" i="38"/>
  <c r="I17" i="38"/>
  <c r="E17" i="38"/>
  <c r="L17" i="38"/>
  <c r="H17" i="38"/>
  <c r="D17" i="38"/>
  <c r="N17" i="38"/>
  <c r="B17" i="38"/>
  <c r="O17" i="38"/>
  <c r="K17" i="38"/>
  <c r="G17" i="38"/>
  <c r="C17" i="38"/>
  <c r="J17" i="38"/>
  <c r="F17" i="38"/>
  <c r="N14" i="38"/>
  <c r="J14" i="38"/>
  <c r="F14" i="38"/>
  <c r="B14" i="38"/>
  <c r="M14" i="38"/>
  <c r="E14" i="38"/>
  <c r="O14" i="38"/>
  <c r="K14" i="38"/>
  <c r="G14" i="38"/>
  <c r="C14" i="38"/>
  <c r="Z14" i="38" s="1"/>
  <c r="N19" i="38" s="1"/>
  <c r="I14" i="38"/>
  <c r="L14" i="38"/>
  <c r="H14" i="38"/>
  <c r="D14" i="38"/>
  <c r="M19" i="46"/>
  <c r="M16" i="46"/>
  <c r="M22" i="46"/>
  <c r="M13" i="46"/>
  <c r="M25" i="46"/>
  <c r="Q36" i="46"/>
  <c r="K19" i="38" l="1"/>
  <c r="L19" i="38"/>
  <c r="B19" i="38"/>
  <c r="O19" i="38"/>
  <c r="E19" i="38"/>
  <c r="F19" i="38"/>
  <c r="C19" i="38"/>
  <c r="D19" i="38"/>
  <c r="I19" i="38"/>
  <c r="J19" i="38"/>
  <c r="G19" i="38"/>
  <c r="H19" i="38"/>
  <c r="M19" i="38"/>
  <c r="Y15" i="38"/>
  <c r="Y16" i="38" s="1"/>
  <c r="Z16" i="38" s="1"/>
  <c r="Y17" i="38" s="1"/>
  <c r="Z17" i="38" s="1"/>
  <c r="F5" i="38"/>
  <c r="K5" i="38"/>
  <c r="J5" i="38"/>
  <c r="N5" i="38"/>
  <c r="O5" i="38"/>
  <c r="M5" i="38"/>
  <c r="H5" i="38"/>
  <c r="L5" i="38"/>
  <c r="E5" i="38"/>
  <c r="C5" i="38"/>
  <c r="D5" i="38"/>
  <c r="I5" i="38"/>
  <c r="G5" i="38"/>
  <c r="L3" i="38"/>
  <c r="N3" i="38"/>
  <c r="E3" i="38"/>
  <c r="M3" i="38"/>
  <c r="D3" i="38"/>
  <c r="I3" i="38"/>
  <c r="H3" i="38"/>
  <c r="C3" i="38"/>
  <c r="G3" i="38"/>
  <c r="O3" i="38"/>
  <c r="J3" i="38"/>
  <c r="F3" i="38"/>
  <c r="K3" i="38"/>
  <c r="Z11" i="38"/>
  <c r="Y13" i="38"/>
  <c r="Z13" i="38" s="1"/>
  <c r="AA12" i="38" s="1"/>
  <c r="O21" i="38"/>
  <c r="K21" i="38"/>
  <c r="G21" i="38"/>
  <c r="C21" i="38"/>
  <c r="N21" i="38"/>
  <c r="J21" i="38"/>
  <c r="F21" i="38"/>
  <c r="B21" i="38"/>
  <c r="L21" i="38"/>
  <c r="M21" i="38"/>
  <c r="I21" i="38"/>
  <c r="E21" i="38"/>
  <c r="H21" i="38"/>
  <c r="D21" i="38"/>
  <c r="L18" i="38"/>
  <c r="H18" i="38"/>
  <c r="D18" i="38"/>
  <c r="O18" i="38"/>
  <c r="K18" i="38"/>
  <c r="C18" i="38"/>
  <c r="Z18" i="38" s="1"/>
  <c r="M18" i="38"/>
  <c r="I18" i="38"/>
  <c r="E18" i="38"/>
  <c r="G18" i="38"/>
  <c r="N18" i="38"/>
  <c r="J18" i="38"/>
  <c r="F18" i="38"/>
  <c r="B18" i="38"/>
  <c r="GL3" i="46"/>
  <c r="EU3" i="46"/>
  <c r="Y19" i="38" l="1"/>
  <c r="Z19" i="38" s="1"/>
  <c r="AA10" i="38"/>
  <c r="Z15" i="38"/>
  <c r="Q46" i="46"/>
  <c r="Q47" i="46" s="1"/>
  <c r="Y43" i="38"/>
  <c r="Y42" i="38"/>
  <c r="Y20" i="38" l="1"/>
  <c r="Z20" i="38" s="1"/>
  <c r="Y21" i="38" s="1"/>
  <c r="Z21" i="38" s="1"/>
  <c r="N23" i="38"/>
  <c r="K23" i="38"/>
  <c r="H23" i="38"/>
  <c r="F23" i="38"/>
  <c r="O23" i="38"/>
  <c r="L23" i="38"/>
  <c r="B23" i="38"/>
  <c r="D23" i="38"/>
  <c r="Y23" i="38" s="1"/>
  <c r="E23" i="38"/>
  <c r="M23" i="38"/>
  <c r="J23" i="38"/>
  <c r="G23" i="38"/>
  <c r="C23" i="38"/>
  <c r="I23" i="38"/>
  <c r="AL5" i="46"/>
  <c r="AA4" i="46"/>
  <c r="Z3" i="46"/>
  <c r="AO10" i="46"/>
  <c r="AO11" i="46"/>
  <c r="AB7" i="46"/>
  <c r="AN14" i="46"/>
  <c r="AA10" i="46"/>
  <c r="AB8" i="46"/>
  <c r="AN3" i="46"/>
  <c r="AD10" i="46"/>
  <c r="AO7" i="46"/>
  <c r="AN10" i="46"/>
  <c r="Z11" i="46"/>
  <c r="AO3" i="46"/>
  <c r="AK12" i="46"/>
  <c r="Z8" i="46"/>
  <c r="AA5" i="46"/>
  <c r="AM5" i="46"/>
  <c r="Y11" i="46"/>
  <c r="Y14" i="46"/>
  <c r="AK14" i="46"/>
  <c r="AP6" i="46"/>
  <c r="AA14" i="46"/>
  <c r="AL7" i="46"/>
  <c r="AK5" i="46"/>
  <c r="AP12" i="46"/>
  <c r="AA8" i="46"/>
  <c r="AA3" i="46"/>
  <c r="AB5" i="46"/>
  <c r="AM9" i="46"/>
  <c r="Y6" i="46"/>
  <c r="AK11" i="46"/>
  <c r="AD7" i="46"/>
  <c r="AA9" i="46"/>
  <c r="Y4" i="46"/>
  <c r="AP3" i="46"/>
  <c r="Y12" i="46"/>
  <c r="AC11" i="46"/>
  <c r="AB9" i="46"/>
  <c r="AL14" i="46"/>
  <c r="AO12" i="46"/>
  <c r="AK9" i="46"/>
  <c r="AD13" i="46"/>
  <c r="Y7" i="46"/>
  <c r="AL6" i="46"/>
  <c r="Z9" i="46"/>
  <c r="AN4" i="46"/>
  <c r="AA7" i="46"/>
  <c r="AL4" i="46"/>
  <c r="AL12" i="46"/>
  <c r="AM14" i="46"/>
  <c r="AE14" i="46" s="1"/>
  <c r="AN11" i="46"/>
  <c r="Y10" i="46"/>
  <c r="AN9" i="46"/>
  <c r="AP14" i="46"/>
  <c r="AL11" i="46"/>
  <c r="AD4" i="46"/>
  <c r="AM8" i="46"/>
  <c r="AC13" i="46"/>
  <c r="Z6" i="46"/>
  <c r="AL3" i="46"/>
  <c r="AN13" i="46"/>
  <c r="Z5" i="46"/>
  <c r="AM3" i="46"/>
  <c r="AE3" i="46" s="1"/>
  <c r="AM10" i="46"/>
  <c r="AE10" i="46" s="1"/>
  <c r="AM11" i="46"/>
  <c r="AE11" i="46" s="1"/>
  <c r="Z7" i="46"/>
  <c r="AC8" i="46"/>
  <c r="AP8" i="46"/>
  <c r="AO9" i="46"/>
  <c r="AK10" i="46"/>
  <c r="AN12" i="46"/>
  <c r="Z13" i="46"/>
  <c r="AD6" i="46"/>
  <c r="AC14" i="46"/>
  <c r="AA6" i="46"/>
  <c r="Z12" i="46"/>
  <c r="AD14" i="46"/>
  <c r="AC10" i="46"/>
  <c r="AC12" i="46"/>
  <c r="AA13" i="46"/>
  <c r="AL9" i="46"/>
  <c r="AM12" i="46"/>
  <c r="AM13" i="46"/>
  <c r="AE13" i="46" s="1"/>
  <c r="AD5" i="46"/>
  <c r="AM7" i="46"/>
  <c r="AE7" i="46" s="1"/>
  <c r="Z4" i="46"/>
  <c r="AM4" i="46"/>
  <c r="AE4" i="46" s="1"/>
  <c r="Z10" i="46"/>
  <c r="AC7" i="46"/>
  <c r="AB6" i="46"/>
  <c r="AP13" i="46"/>
  <c r="AL13" i="46"/>
  <c r="AD12" i="46"/>
  <c r="Y13" i="46"/>
  <c r="AD11" i="46"/>
  <c r="AK13" i="46"/>
  <c r="AB4" i="46"/>
  <c r="AB11" i="46"/>
  <c r="AO4" i="46"/>
  <c r="AO13" i="46"/>
  <c r="AP7" i="46"/>
  <c r="AO8" i="46"/>
  <c r="AN5" i="46"/>
  <c r="AP11" i="46"/>
  <c r="AD9" i="46"/>
  <c r="AD8" i="46"/>
  <c r="AN8" i="46"/>
  <c r="Y9" i="46"/>
  <c r="AC6" i="46"/>
  <c r="AD3" i="46"/>
  <c r="AN6" i="46"/>
  <c r="AN7" i="46"/>
  <c r="AK6" i="46"/>
  <c r="AB3" i="46"/>
  <c r="Y5" i="46"/>
  <c r="AL8" i="46"/>
  <c r="AC4" i="46"/>
  <c r="AK4" i="46"/>
  <c r="AO5" i="46"/>
  <c r="AC9" i="46"/>
  <c r="AK8" i="46"/>
  <c r="AB14" i="46"/>
  <c r="AK7" i="46"/>
  <c r="AP9" i="46"/>
  <c r="AA12" i="46"/>
  <c r="AP5" i="46"/>
  <c r="Y8" i="46"/>
  <c r="AB13" i="46"/>
  <c r="AC5" i="46"/>
  <c r="AA11" i="46"/>
  <c r="Z14" i="46"/>
  <c r="AL10" i="46"/>
  <c r="AC3" i="46"/>
  <c r="AO6" i="46"/>
  <c r="AP4" i="46"/>
  <c r="AP10" i="46"/>
  <c r="Y3" i="46"/>
  <c r="AB12" i="46"/>
  <c r="AO14" i="46"/>
  <c r="AM6" i="46"/>
  <c r="AE6" i="46" s="1"/>
  <c r="AB10" i="46"/>
  <c r="AK3" i="46"/>
  <c r="J25" i="38"/>
  <c r="H25" i="38"/>
  <c r="B25" i="38"/>
  <c r="E25" i="38"/>
  <c r="D25" i="38"/>
  <c r="K25" i="38"/>
  <c r="I25" i="38"/>
  <c r="O25" i="38"/>
  <c r="G25" i="38"/>
  <c r="L25" i="38"/>
  <c r="C25" i="38"/>
  <c r="M25" i="38"/>
  <c r="F25" i="38"/>
  <c r="N25" i="38"/>
  <c r="AA14" i="38"/>
  <c r="B76" i="46"/>
  <c r="AB34" i="46"/>
  <c r="Z39" i="46"/>
  <c r="Z23" i="46"/>
  <c r="AE12" i="46"/>
  <c r="Z15" i="46"/>
  <c r="AM39" i="46"/>
  <c r="AE39" i="46" s="1"/>
  <c r="AM23" i="46"/>
  <c r="AE23" i="46" s="1"/>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M35" i="46"/>
  <c r="AE35" i="46" s="1"/>
  <c r="AM19" i="46"/>
  <c r="AE19" i="46" s="1"/>
  <c r="Z42" i="46"/>
  <c r="Z26" i="46"/>
  <c r="Z35" i="46"/>
  <c r="AM30" i="46"/>
  <c r="AE30" i="46" s="1"/>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AE5" i="46"/>
  <c r="Z32" i="46"/>
  <c r="Z16" i="46"/>
  <c r="AB39" i="46"/>
  <c r="AB23" i="46"/>
  <c r="AL22" i="46"/>
  <c r="AM36" i="46"/>
  <c r="AE36" i="46" s="1"/>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E9" i="46"/>
  <c r="AN21" i="46"/>
  <c r="AD40" i="46"/>
  <c r="AL19" i="46"/>
  <c r="AB16" i="46"/>
  <c r="AN29" i="46"/>
  <c r="AP34" i="46"/>
  <c r="AP18" i="46"/>
  <c r="AD29" i="46"/>
  <c r="AM41" i="46"/>
  <c r="AE41" i="46" s="1"/>
  <c r="Z20" i="46"/>
  <c r="AL30" i="46"/>
  <c r="AD35" i="46"/>
  <c r="Y42" i="46"/>
  <c r="AD41" i="46"/>
  <c r="AM25" i="46"/>
  <c r="AE25" i="46" s="1"/>
  <c r="AO36" i="46"/>
  <c r="AP42" i="46"/>
  <c r="AD21" i="46"/>
  <c r="AB27" i="46"/>
  <c r="AP30" i="46"/>
  <c r="Z23" i="38" l="1"/>
  <c r="AA22" i="38" s="1"/>
  <c r="Y24" i="38"/>
  <c r="Z24" i="38" s="1"/>
  <c r="Y25" i="38" s="1"/>
  <c r="Z25" i="38" s="1"/>
  <c r="AA24" i="38" s="1"/>
  <c r="AA18" i="38"/>
  <c r="AA16"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20"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AH36" i="46"/>
  <c r="AH28" i="46"/>
  <c r="AH21" i="46"/>
  <c r="AH34" i="46"/>
  <c r="AH31" i="46"/>
  <c r="AH19" i="46"/>
  <c r="V32" i="46"/>
  <c r="AH42" i="46"/>
  <c r="V33" i="46"/>
  <c r="V24" i="46"/>
  <c r="V40" i="46"/>
  <c r="AH33" i="46"/>
  <c r="AH24" i="46"/>
  <c r="V26" i="46"/>
  <c r="AT8" i="46"/>
  <c r="AS8" i="46" s="1"/>
  <c r="AH11" i="46"/>
  <c r="AH32" i="46"/>
  <c r="AH17" i="46"/>
  <c r="AH22" i="46"/>
  <c r="AH25" i="46"/>
  <c r="O19" i="46"/>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19" i="46"/>
  <c r="DH19" i="46"/>
  <c r="EY19" i="46"/>
  <c r="N17" i="46"/>
  <c r="DH17" i="46"/>
  <c r="EY17" i="46"/>
  <c r="O16" i="46"/>
  <c r="I76" i="46" l="1"/>
  <c r="Q37" i="46" s="1"/>
  <c r="ES18" i="46"/>
  <c r="EY16" i="46"/>
  <c r="O15" i="46"/>
  <c r="DH16" i="46"/>
  <c r="N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N20" i="46"/>
  <c r="O21" i="46"/>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N21" i="46"/>
  <c r="DH21" i="46"/>
  <c r="O22" i="46"/>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DH15" i="46"/>
  <c r="N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N22" i="46"/>
  <c r="O23" i="46"/>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N14" i="46"/>
  <c r="O13" i="46"/>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N13" i="46"/>
  <c r="EY13" i="46"/>
  <c r="DH13" i="46"/>
  <c r="O12" i="46"/>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N23" i="46"/>
  <c r="DH23" i="46"/>
  <c r="O24" i="46"/>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N24"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N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N7" i="46"/>
  <c r="DH7" i="46"/>
  <c r="EY7" i="46"/>
  <c r="O6" i="46"/>
  <c r="DH29" i="46"/>
  <c r="EY29" i="46"/>
  <c r="O30" i="46"/>
  <c r="N29"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alcChain>
</file>

<file path=xl/sharedStrings.xml><?xml version="1.0" encoding="utf-8"?>
<sst xmlns="http://schemas.openxmlformats.org/spreadsheetml/2006/main" count="1414" uniqueCount="632">
  <si>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</si>
  <si>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</si>
  <si>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</si>
  <si>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</si>
  <si>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</si>
  <si>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</si>
  <si>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</si>
  <si>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</si>
  <si>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</si>
  <si>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</si>
  <si>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</si>
  <si>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</si>
  <si>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</si>
  <si>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</si>
  <si>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</si>
  <si>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</si>
  <si>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</si>
  <si>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</si>
  <si>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</si>
  <si>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</si>
  <si>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</si>
  <si>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</si>
  <si>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</si>
  <si>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</si>
  <si>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</si>
  <si>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</si>
  <si>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</si>
  <si>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</si>
  <si>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</si>
  <si>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</si>
  <si>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</si>
  <si>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</si>
  <si>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</si>
  <si>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</si>
  <si>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</si>
  <si>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</si>
  <si>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</si>
  <si>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</si>
  <si>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</si>
  <si>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</si>
  <si>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</si>
  <si>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</si>
  <si>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</si>
  <si>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</si>
  <si>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</si>
  <si>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</si>
  <si>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</si>
  <si>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</si>
  <si>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</si>
  <si>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</si>
  <si>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</si>
  <si>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</si>
  <si>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</si>
  <si>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</si>
  <si>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</si>
  <si>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</si>
  <si>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</si>
  <si>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</si>
  <si>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</si>
  <si>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</si>
  <si>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</si>
  <si>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</si>
  <si>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</si>
  <si>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</si>
  <si>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</si>
  <si>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</si>
  <si>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</si>
  <si>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</si>
  <si>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</si>
  <si>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</si>
  <si>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</si>
  <si>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</si>
  <si>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</si>
  <si>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</si>
  <si>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</si>
  <si>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</si>
  <si>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</si>
  <si>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</si>
  <si>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</si>
  <si>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</si>
  <si>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</si>
  <si>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</si>
  <si>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</si>
  <si>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</si>
  <si>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</si>
  <si>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</si>
  <si>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</si>
  <si>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</si>
  <si>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</si>
  <si>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</si>
  <si>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</si>
  <si>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</si>
  <si>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</si>
  <si>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</si>
  <si>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</si>
  <si>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</si>
  <si>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</si>
  <si>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</si>
  <si>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</si>
  <si>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</si>
  <si>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</si>
  <si>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</si>
  <si>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</si>
  <si>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</si>
  <si>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</si>
  <si>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</si>
  <si>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</si>
  <si>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</si>
  <si>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</si>
  <si>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</si>
  <si>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</si>
  <si>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</si>
  <si>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</si>
  <si>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</si>
  <si>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</si>
  <si>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</si>
  <si>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</si>
  <si>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</si>
  <si>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</si>
  <si>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</si>
  <si>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</si>
  <si>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</si>
  <si>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</si>
  <si>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</si>
  <si>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</si>
  <si>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</si>
  <si>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</si>
  <si>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</si>
  <si>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</si>
  <si>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</si>
  <si>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</si>
  <si>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</si>
  <si>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</si>
  <si>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</si>
  <si>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</si>
  <si>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</si>
  <si>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</si>
  <si>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</si>
  <si>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</si>
  <si>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</si>
  <si>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</si>
  <si>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</si>
  <si>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</si>
  <si>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</si>
  <si>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</si>
  <si>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</si>
  <si>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</si>
  <si>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</si>
  <si>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</si>
  <si>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</si>
  <si>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</si>
  <si>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</si>
  <si>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</si>
  <si>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</si>
  <si>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</si>
  <si>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</si>
  <si>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</si>
  <si>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</si>
  <si>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</si>
  <si>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</si>
  <si>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</si>
  <si>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</si>
  <si>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</si>
  <si>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</si>
  <si>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</si>
  <si>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</si>
  <si>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</si>
  <si>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</si>
  <si>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</si>
  <si>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</si>
  <si>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</si>
  <si>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</si>
  <si>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</si>
  <si>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</si>
  <si>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</si>
  <si>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</si>
  <si>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</si>
  <si>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</si>
  <si>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</si>
  <si>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</si>
  <si>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</si>
  <si>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</si>
  <si>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</si>
  <si>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</si>
  <si>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</si>
  <si>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</si>
  <si>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</si>
  <si>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</si>
  <si>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</si>
  <si>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</si>
  <si>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</si>
  <si>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</si>
  <si>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</si>
  <si>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</si>
  <si>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</si>
  <si>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</si>
  <si>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</si>
  <si>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</si>
  <si>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</si>
  <si>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</si>
  <si>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</si>
  <si>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</si>
  <si>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</si>
  <si>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</si>
  <si>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</si>
  <si>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</si>
  <si>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</si>
  <si>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</si>
  <si>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</si>
  <si>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</si>
  <si>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</si>
  <si>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</si>
  <si>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</si>
  <si>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</si>
  <si>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</si>
  <si>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</si>
  <si>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</si>
  <si>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</si>
  <si>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</si>
  <si>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</si>
  <si>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</si>
  <si>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</si>
  <si>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</si>
  <si>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</si>
  <si>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</si>
  <si>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</si>
  <si>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</si>
  <si>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</si>
  <si>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</si>
  <si>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</si>
  <si>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</si>
  <si>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</si>
  <si>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</si>
  <si>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</si>
  <si>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</si>
  <si>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</si>
  <si>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</si>
  <si>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</si>
  <si>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</si>
  <si>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</si>
  <si>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</si>
  <si>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</si>
  <si>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</si>
  <si>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</si>
  <si>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</si>
  <si>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</si>
  <si>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</si>
  <si>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</si>
  <si>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</si>
  <si>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</si>
  <si>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</si>
  <si>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</si>
  <si>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</si>
  <si>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</si>
  <si>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</si>
  <si>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</si>
  <si>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</si>
  <si>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</si>
  <si>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</si>
  <si>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</si>
  <si>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</si>
  <si>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</si>
  <si>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</si>
  <si>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</si>
  <si>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</si>
  <si>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</si>
  <si>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</si>
  <si>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</si>
  <si>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</si>
  <si>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</si>
  <si>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</si>
  <si>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</si>
  <si>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</si>
  <si>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</si>
  <si>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</si>
  <si>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</si>
  <si>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</si>
  <si>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</si>
  <si>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</si>
  <si>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</si>
  <si>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</si>
  <si>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</si>
  <si>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</si>
  <si>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</si>
  <si>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</si>
  <si>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</si>
  <si>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</si>
  <si>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</si>
  <si>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</si>
  <si>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</si>
  <si>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</si>
  <si>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</si>
  <si>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</si>
  <si>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</si>
  <si>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</si>
  <si>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</si>
  <si>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</si>
  <si>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</si>
  <si>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</si>
  <si>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</si>
  <si>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</si>
  <si>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</si>
  <si>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</si>
  <si>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</si>
  <si>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</si>
  <si>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</si>
  <si>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</si>
  <si>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</si>
  <si>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</si>
  <si>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</si>
  <si>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</si>
  <si>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</si>
  <si>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</si>
  <si>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</si>
  <si>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</si>
  <si>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</si>
  <si>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</si>
  <si>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</si>
  <si>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</si>
  <si>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</si>
  <si>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</si>
  <si>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</si>
  <si>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</si>
  <si>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</si>
  <si>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</si>
  <si>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</si>
  <si>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</si>
  <si>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</si>
  <si>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</si>
  <si>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</si>
  <si>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</si>
  <si>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</si>
  <si>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</si>
  <si>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</si>
  <si>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</si>
  <si>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</si>
  <si>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</si>
  <si>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</si>
  <si>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</si>
  <si>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</si>
  <si>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</si>
  <si>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</si>
  <si>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</si>
  <si>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</si>
  <si>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</si>
  <si>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</si>
  <si>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</si>
  <si>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</si>
  <si>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</si>
  <si>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</si>
  <si>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</si>
  <si>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</si>
  <si>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</si>
  <si>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</si>
  <si>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</si>
  <si>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</si>
  <si>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</si>
  <si>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</si>
  <si>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</si>
  <si>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</si>
  <si>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</si>
  <si>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</si>
  <si>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</si>
  <si>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</si>
  <si>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</si>
  <si>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</si>
  <si>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</si>
  <si>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</si>
  <si>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</si>
  <si>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</si>
  <si>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</si>
  <si>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</si>
  <si>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</si>
  <si>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</si>
  <si>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</si>
  <si>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</si>
  <si>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</si>
  <si>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</si>
  <si>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</si>
  <si>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</si>
  <si>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</si>
  <si>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</si>
  <si>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</si>
  <si>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</si>
  <si>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</si>
  <si>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</si>
  <si>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</si>
  <si>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</si>
  <si>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</si>
  <si>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</si>
  <si>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</si>
  <si>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</si>
  <si>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</si>
  <si>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</si>
  <si>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</si>
  <si>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</si>
  <si>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</si>
  <si>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</si>
  <si>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</si>
  <si>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</si>
  <si>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</si>
  <si>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</si>
  <si>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</si>
  <si>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</si>
  <si>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</si>
  <si>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</si>
  <si>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</si>
  <si>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</si>
  <si>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</si>
  <si>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</si>
  <si>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</si>
  <si>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</si>
  <si>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</si>
  <si>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</si>
  <si>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</si>
  <si>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</si>
  <si>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</si>
  <si>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</si>
  <si>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</si>
  <si>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</si>
  <si>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</si>
  <si>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</si>
  <si>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</si>
  <si>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</si>
  <si>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</si>
  <si>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</si>
  <si>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</si>
  <si>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</si>
  <si>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</si>
  <si>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</si>
  <si>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</si>
  <si>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</si>
  <si>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</si>
  <si>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</si>
  <si>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</si>
  <si>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</si>
  <si>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</si>
  <si>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</si>
  <si>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</si>
  <si>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</si>
  <si>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</si>
  <si>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</si>
  <si>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</si>
  <si>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</si>
  <si>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</si>
  <si>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</si>
  <si>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</si>
  <si>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</si>
  <si>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</si>
  <si>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</si>
  <si>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</si>
  <si>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</si>
  <si>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</si>
  <si>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</si>
  <si>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</si>
  <si>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</si>
  <si>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</si>
  <si>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</si>
  <si>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</si>
  <si>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</si>
  <si>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</si>
  <si>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</si>
  <si>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</si>
  <si>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</si>
  <si>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</si>
  <si>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</si>
  <si>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</si>
  <si>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</si>
  <si>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</si>
  <si>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</si>
  <si>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</si>
  <si>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</si>
  <si>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</si>
  <si>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</si>
  <si>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</si>
  <si>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</si>
  <si>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</si>
  <si>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</si>
  <si>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</si>
  <si>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</si>
  <si>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</si>
  <si>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</si>
  <si>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</si>
  <si>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</si>
  <si>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</si>
  <si>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</si>
  <si>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</si>
  <si>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</si>
  <si>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</si>
  <si>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</si>
  <si>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</si>
  <si>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</si>
  <si>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</si>
  <si>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</si>
  <si>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</si>
  <si>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</si>
  <si>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</si>
  <si>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</si>
  <si>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</si>
  <si>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</si>
  <si>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</si>
  <si>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</si>
  <si>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</si>
  <si>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</si>
  <si>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</si>
  <si>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</si>
  <si>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</si>
  <si>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</si>
  <si>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</si>
  <si>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</si>
  <si>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</si>
  <si>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</si>
  <si>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</si>
  <si>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</si>
  <si>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</si>
  <si>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</si>
  <si>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</si>
  <si>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</si>
  <si>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</si>
  <si>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</si>
  <si>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</si>
  <si>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</si>
  <si>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</si>
  <si>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</si>
  <si>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</si>
  <si>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</si>
  <si>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</si>
  <si>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</si>
  <si>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</si>
  <si>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</si>
  <si>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</si>
  <si>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</si>
  <si>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</si>
  <si>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</si>
  <si>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</si>
  <si>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</si>
  <si>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</si>
  <si>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</si>
  <si>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</si>
  <si>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</si>
  <si>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</si>
  <si>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</si>
  <si>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</si>
  <si>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</si>
  <si>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</si>
  <si>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</si>
  <si>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</si>
  <si>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</si>
  <si>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</si>
  <si>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</si>
  <si>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</si>
  <si>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</si>
  <si>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</si>
  <si>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</si>
  <si>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</si>
  <si>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</si>
  <si>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</si>
  <si>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</si>
  <si>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</si>
  <si>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</si>
  <si>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</si>
  <si>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</si>
  <si>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</si>
  <si>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</si>
  <si>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</si>
  <si>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</si>
  <si>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</si>
  <si>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</si>
  <si>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</si>
  <si>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DI</t>
  </si>
  <si>
    <t>GFGC18515D</t>
  </si>
  <si>
    <t>GFGC19315D</t>
  </si>
  <si>
    <t>GFGC20915D</t>
  </si>
  <si>
    <t>GFGV90152D</t>
  </si>
  <si>
    <t>GFGV94152D</t>
  </si>
  <si>
    <t>GFGV1033DI</t>
  </si>
  <si>
    <t>GFGV10915D</t>
  </si>
  <si>
    <t>GFGC2020DI</t>
  </si>
  <si>
    <t>GFGV990.DI</t>
  </si>
  <si>
    <t>GFGV1150DI</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</si>
  <si>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</si>
  <si>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</si>
  <si>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</si>
  <si>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</si>
  <si>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</si>
  <si>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</si>
  <si>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</si>
  <si>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</si>
  <si>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</si>
  <si>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</si>
  <si>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</si>
  <si>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</si>
  <si>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</si>
  <si>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</si>
  <si>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</si>
  <si>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</si>
  <si>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</si>
  <si>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</si>
  <si>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</si>
  <si>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</si>
  <si>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</si>
  <si>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</si>
  <si>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</si>
  <si>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</si>
  <si>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</si>
  <si>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</si>
  <si>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</si>
  <si>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</si>
  <si>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</si>
  <si>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</si>
  <si>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</si>
  <si>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</si>
  <si>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</si>
  <si>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</si>
  <si>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</si>
  <si>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</si>
  <si>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</si>
  <si>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</si>
  <si>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</si>
  <si>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</si>
  <si>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</si>
  <si>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</si>
  <si>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</si>
  <si>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 xml:space="preserve"> </t>
  </si>
  <si>
    <t>S18E4 - spot</t>
  </si>
  <si>
    <t>S18E4 - 48hs</t>
  </si>
  <si>
    <t>SE4C - spot</t>
  </si>
  <si>
    <t>SE4C - 48hs</t>
  </si>
  <si>
    <t>SE4D - spot</t>
  </si>
  <si>
    <t>SE4D - 48hs</t>
  </si>
  <si>
    <t>GFGC1640DI</t>
  </si>
  <si>
    <t>GFGC17715D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</si>
</sst>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17">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u/>
      <sz val="8"/>
      <color theme="1" tint="0.249977111117893"/>
      <name val="Calibri"/>
      <family val="2"/>
      <scheme val="minor"/>
    </font>
    <font>
      <sz val="8"/>
      <color theme="4" tint="-0.249977111117893"/>
      <name val="Arial"/>
      <family val="2"/>
    </font>
    <font>
      <sz val="7"/>
      <color rgb="FF12782D"/>
      <name val="Arial"/>
      <family val="2"/>
    </font>
    <font>
      <sz val="7"/>
      <color theme="4" tint="-0.249977111117893"/>
      <name val="Arial"/>
      <family val="2"/>
    </font>
    <font>
      <sz val="7"/>
      <color theme="9" tint="-0.499984740745262"/>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4">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bottom style="thin">
        <color theme="1" tint="0.34998626667073579"/>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0" tint="-0.499984740745262"/>
      </left>
      <right/>
      <top style="thin">
        <color indexed="64"/>
      </top>
      <bottom style="thin">
        <color theme="1"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1" tint="4.9989318521683403E-2"/>
      </left>
      <right style="thin">
        <color theme="3" tint="4.9989318521683403E-2"/>
      </right>
      <top/>
      <bottom style="thin">
        <color theme="1" tint="0.249977111117893"/>
      </bottom>
      <diagonal/>
    </border>
    <border>
      <left style="thin">
        <color theme="3" tint="4.9989318521683403E-2"/>
      </left>
      <right/>
      <top/>
      <bottom style="thin">
        <color theme="1" tint="0.249977111117893"/>
      </bottom>
      <diagonal/>
    </border>
    <border>
      <left style="thin">
        <color theme="3" tint="4.9989318521683403E-2"/>
      </left>
      <right style="thin">
        <color theme="3" tint="0.14999847407452621"/>
      </right>
      <top/>
      <bottom style="thin">
        <color theme="1" tint="0.249977111117893"/>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1" tint="0.249977111117893"/>
      </bottom>
      <diagonal/>
    </border>
    <border>
      <left style="thin">
        <color theme="1" tint="4.9989318521683403E-2"/>
      </left>
      <right style="thin">
        <color indexed="64"/>
      </right>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249977111117893"/>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751">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5" fillId="0" borderId="5" xfId="0" applyFont="1" applyBorder="1" applyAlignment="1">
      <alignment horizontal="center"/>
    </xf>
    <xf numFmtId="0" fontId="45"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6" fillId="16" borderId="8" xfId="15" applyNumberFormat="1" applyFont="1" applyFill="1" applyBorder="1" applyAlignment="1">
      <alignment horizontal="center" vertical="center"/>
    </xf>
    <xf numFmtId="0" fontId="47" fillId="16" borderId="8" xfId="15" applyFont="1" applyFill="1" applyBorder="1" applyAlignment="1">
      <alignment horizontal="center" vertical="center"/>
    </xf>
    <xf numFmtId="0" fontId="48" fillId="19" borderId="13" xfId="0" applyFont="1" applyFill="1" applyBorder="1" applyAlignment="1">
      <alignment vertical="center"/>
    </xf>
    <xf numFmtId="0" fontId="49" fillId="19" borderId="14" xfId="0" applyFont="1" applyFill="1" applyBorder="1" applyAlignment="1">
      <alignment horizontal="center" vertical="center"/>
    </xf>
    <xf numFmtId="1" fontId="49" fillId="19" borderId="14" xfId="0" applyNumberFormat="1" applyFont="1" applyFill="1" applyBorder="1" applyAlignment="1">
      <alignment horizontal="center" vertical="center"/>
    </xf>
    <xf numFmtId="0" fontId="49" fillId="19" borderId="14" xfId="0" applyFont="1" applyFill="1" applyBorder="1" applyAlignment="1">
      <alignment vertical="center"/>
    </xf>
    <xf numFmtId="164" fontId="49" fillId="19" borderId="14" xfId="0" applyNumberFormat="1" applyFont="1" applyFill="1" applyBorder="1" applyAlignment="1">
      <alignment vertical="center"/>
    </xf>
    <xf numFmtId="2" fontId="49" fillId="19" borderId="14" xfId="0" applyNumberFormat="1" applyFont="1" applyFill="1" applyBorder="1" applyAlignment="1">
      <alignment vertical="center"/>
    </xf>
    <xf numFmtId="0" fontId="50" fillId="19" borderId="15" xfId="0" applyFont="1" applyFill="1" applyBorder="1" applyAlignment="1">
      <alignment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horizontal="center"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3" fillId="19" borderId="2" xfId="0" applyFont="1" applyFill="1" applyBorder="1" applyAlignment="1">
      <alignment vertical="center"/>
    </xf>
    <xf numFmtId="0" fontId="48" fillId="19" borderId="2" xfId="0" applyFont="1" applyFill="1" applyBorder="1" applyAlignment="1">
      <alignment horizontal="center" vertical="center"/>
    </xf>
    <xf numFmtId="0" fontId="51" fillId="19" borderId="2" xfId="0" applyFont="1" applyFill="1" applyBorder="1" applyAlignment="1">
      <alignment horizontal="center" vertical="center"/>
    </xf>
    <xf numFmtId="1" fontId="51" fillId="19" borderId="2" xfId="0" applyNumberFormat="1" applyFont="1" applyFill="1" applyBorder="1" applyAlignment="1">
      <alignment horizontal="center" vertical="center"/>
    </xf>
    <xf numFmtId="2" fontId="51" fillId="19" borderId="2" xfId="0" applyNumberFormat="1" applyFont="1" applyFill="1" applyBorder="1" applyAlignment="1">
      <alignment horizontal="right" vertical="center"/>
    </xf>
    <xf numFmtId="0" fontId="50" fillId="0" borderId="0" xfId="0" applyFont="1" applyAlignment="1">
      <alignment vertical="center"/>
    </xf>
    <xf numFmtId="0" fontId="54" fillId="20" borderId="13" xfId="0" applyFont="1" applyFill="1" applyBorder="1" applyAlignment="1">
      <alignment horizontal="center" vertical="center"/>
    </xf>
    <xf numFmtId="0" fontId="55" fillId="20" borderId="16" xfId="0" applyFont="1" applyFill="1" applyBorder="1" applyAlignment="1">
      <alignment horizontal="center" vertical="center"/>
    </xf>
    <xf numFmtId="1" fontId="54" fillId="20" borderId="17" xfId="0" applyNumberFormat="1" applyFont="1" applyFill="1" applyBorder="1" applyAlignment="1">
      <alignment horizontal="center" vertical="center"/>
    </xf>
    <xf numFmtId="0" fontId="54" fillId="20" borderId="18" xfId="0" applyFont="1" applyFill="1" applyBorder="1" applyAlignment="1">
      <alignment horizontal="center" vertical="center"/>
    </xf>
    <xf numFmtId="164" fontId="54" fillId="20" borderId="19" xfId="0" applyNumberFormat="1" applyFont="1" applyFill="1" applyBorder="1" applyAlignment="1">
      <alignment horizontal="center" vertical="center"/>
    </xf>
    <xf numFmtId="164" fontId="54" fillId="20" borderId="20"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0" fontId="54" fillId="20" borderId="17" xfId="0" applyFont="1" applyFill="1" applyBorder="1" applyAlignment="1">
      <alignment horizontal="center" vertical="center"/>
    </xf>
    <xf numFmtId="0" fontId="54" fillId="20" borderId="21" xfId="0" applyFont="1" applyFill="1" applyBorder="1" applyAlignment="1">
      <alignment horizontal="center" vertical="center"/>
    </xf>
    <xf numFmtId="2" fontId="54" fillId="20" borderId="16" xfId="0" applyNumberFormat="1" applyFont="1" applyFill="1" applyBorder="1" applyAlignment="1">
      <alignment horizontal="center" vertical="center"/>
    </xf>
    <xf numFmtId="2" fontId="54" fillId="20" borderId="21" xfId="0" applyNumberFormat="1" applyFont="1" applyFill="1" applyBorder="1" applyAlignment="1">
      <alignment horizontal="center" vertical="center"/>
    </xf>
    <xf numFmtId="3" fontId="55" fillId="20" borderId="22" xfId="0" applyNumberFormat="1" applyFont="1" applyFill="1" applyBorder="1" applyAlignment="1">
      <alignment horizontal="center" vertical="center"/>
    </xf>
    <xf numFmtId="3" fontId="55" fillId="20" borderId="23" xfId="0" applyNumberFormat="1" applyFont="1" applyFill="1" applyBorder="1" applyAlignment="1">
      <alignment horizontal="center" vertical="center"/>
    </xf>
    <xf numFmtId="0" fontId="57" fillId="19" borderId="2" xfId="0" applyFont="1" applyFill="1" applyBorder="1" applyAlignment="1">
      <alignment vertical="center"/>
    </xf>
    <xf numFmtId="0" fontId="54" fillId="21" borderId="24" xfId="0" applyFont="1" applyFill="1" applyBorder="1" applyAlignment="1">
      <alignment horizontal="center" vertical="center"/>
    </xf>
    <xf numFmtId="0" fontId="55" fillId="22" borderId="26" xfId="0" applyFont="1" applyFill="1" applyBorder="1" applyAlignment="1">
      <alignment horizontal="center" vertical="center"/>
    </xf>
    <xf numFmtId="0" fontId="55" fillId="20" borderId="27" xfId="0" applyFont="1" applyFill="1" applyBorder="1" applyAlignment="1">
      <alignment horizontal="center" vertical="center"/>
    </xf>
    <xf numFmtId="0" fontId="54" fillId="20" borderId="28" xfId="0" applyFont="1" applyFill="1" applyBorder="1" applyAlignment="1">
      <alignment horizontal="center" vertical="center"/>
    </xf>
    <xf numFmtId="0" fontId="55" fillId="20" borderId="19" xfId="0" applyFont="1" applyFill="1" applyBorder="1" applyAlignment="1">
      <alignment horizontal="center" vertical="center"/>
    </xf>
    <xf numFmtId="1" fontId="54" fillId="20" borderId="14" xfId="0" applyNumberFormat="1" applyFont="1" applyFill="1" applyBorder="1" applyAlignment="1">
      <alignment horizontal="center" vertical="center"/>
    </xf>
    <xf numFmtId="2" fontId="54" fillId="20" borderId="19" xfId="0" applyNumberFormat="1" applyFont="1" applyFill="1" applyBorder="1" applyAlignment="1">
      <alignment horizontal="center" vertical="center"/>
    </xf>
    <xf numFmtId="2" fontId="54" fillId="20" borderId="18" xfId="0" applyNumberFormat="1" applyFont="1" applyFill="1" applyBorder="1" applyAlignment="1">
      <alignment horizontal="center" vertical="center"/>
    </xf>
    <xf numFmtId="0" fontId="55" fillId="20" borderId="14" xfId="0" applyFont="1" applyFill="1" applyBorder="1" applyAlignment="1">
      <alignment horizontal="center" vertical="center"/>
    </xf>
    <xf numFmtId="0" fontId="55" fillId="20" borderId="18" xfId="0" applyFont="1" applyFill="1" applyBorder="1" applyAlignment="1">
      <alignment horizontal="center" vertical="center"/>
    </xf>
    <xf numFmtId="0" fontId="58" fillId="24" borderId="29" xfId="0" applyFont="1" applyFill="1" applyBorder="1" applyAlignment="1">
      <alignment horizontal="center" vertical="center"/>
    </xf>
    <xf numFmtId="0" fontId="58" fillId="24" borderId="30" xfId="0" applyFont="1" applyFill="1" applyBorder="1" applyAlignment="1">
      <alignment horizontal="center" vertical="center"/>
    </xf>
    <xf numFmtId="0" fontId="57" fillId="24" borderId="30" xfId="0" applyFont="1" applyFill="1" applyBorder="1" applyAlignment="1">
      <alignment horizontal="center" vertical="center"/>
    </xf>
    <xf numFmtId="0" fontId="58" fillId="25" borderId="30" xfId="0" applyFont="1" applyFill="1" applyBorder="1" applyAlignment="1">
      <alignment horizontal="center" vertical="center"/>
    </xf>
    <xf numFmtId="0" fontId="58" fillId="26" borderId="29" xfId="0" applyFont="1" applyFill="1" applyBorder="1" applyAlignment="1">
      <alignment horizontal="center" vertical="center"/>
    </xf>
    <xf numFmtId="0" fontId="58" fillId="26" borderId="30" xfId="0" applyFont="1" applyFill="1" applyBorder="1" applyAlignment="1">
      <alignment horizontal="center" vertical="center"/>
    </xf>
    <xf numFmtId="0" fontId="58" fillId="26" borderId="31" xfId="0" applyFont="1" applyFill="1" applyBorder="1" applyAlignment="1">
      <alignment horizontal="center" vertical="center"/>
    </xf>
    <xf numFmtId="0" fontId="57" fillId="0" borderId="0" xfId="0" applyFont="1" applyAlignment="1">
      <alignment vertical="center"/>
    </xf>
    <xf numFmtId="0" fontId="59" fillId="24" borderId="32" xfId="0" applyFont="1" applyFill="1" applyBorder="1" applyAlignment="1">
      <alignment horizontal="center" vertical="center"/>
    </xf>
    <xf numFmtId="2" fontId="61" fillId="27" borderId="34" xfId="0" applyNumberFormat="1" applyFont="1" applyFill="1" applyBorder="1" applyAlignment="1">
      <alignment horizontal="center" vertical="center"/>
    </xf>
    <xf numFmtId="9" fontId="51" fillId="29" borderId="33" xfId="0" applyNumberFormat="1" applyFont="1" applyFill="1" applyBorder="1" applyAlignment="1">
      <alignment horizontal="center" vertical="center"/>
    </xf>
    <xf numFmtId="3" fontId="62" fillId="30" borderId="40" xfId="0" applyNumberFormat="1" applyFont="1" applyFill="1" applyBorder="1" applyAlignment="1">
      <alignment horizontal="right" vertical="center"/>
    </xf>
    <xf numFmtId="2" fontId="48" fillId="31" borderId="34" xfId="2" applyNumberFormat="1" applyFont="1" applyFill="1" applyBorder="1" applyAlignment="1">
      <alignment horizontal="center" vertical="center"/>
    </xf>
    <xf numFmtId="0" fontId="63" fillId="32" borderId="34" xfId="0" applyFont="1" applyFill="1" applyBorder="1" applyAlignment="1">
      <alignment horizontal="center" vertical="center"/>
    </xf>
    <xf numFmtId="1" fontId="64" fillId="33" borderId="34" xfId="0" applyNumberFormat="1" applyFont="1" applyFill="1" applyBorder="1" applyAlignment="1">
      <alignment horizontal="center" vertical="center"/>
    </xf>
    <xf numFmtId="4" fontId="48" fillId="34" borderId="34" xfId="0" applyNumberFormat="1" applyFont="1" applyFill="1" applyBorder="1" applyAlignment="1">
      <alignment horizontal="center" vertical="center"/>
    </xf>
    <xf numFmtId="0" fontId="48" fillId="27" borderId="34" xfId="0" applyFont="1" applyFill="1" applyBorder="1" applyAlignment="1">
      <alignment horizontal="center" vertical="center"/>
    </xf>
    <xf numFmtId="2" fontId="65" fillId="31" borderId="34" xfId="0" applyNumberFormat="1" applyFont="1" applyFill="1" applyBorder="1" applyAlignment="1">
      <alignment horizontal="center" vertical="center"/>
    </xf>
    <xf numFmtId="1" fontId="48" fillId="31" borderId="34" xfId="0" applyNumberFormat="1" applyFont="1" applyFill="1" applyBorder="1" applyAlignment="1">
      <alignment horizontal="center" vertical="center"/>
    </xf>
    <xf numFmtId="14" fontId="48" fillId="27" borderId="41" xfId="0" applyNumberFormat="1" applyFont="1" applyFill="1" applyBorder="1" applyAlignment="1">
      <alignment horizontal="center" vertical="center"/>
    </xf>
    <xf numFmtId="0" fontId="48" fillId="24" borderId="42" xfId="0" applyFont="1" applyFill="1" applyBorder="1" applyAlignment="1">
      <alignment horizontal="center" vertical="center"/>
    </xf>
    <xf numFmtId="0" fontId="66" fillId="27" borderId="37" xfId="0" applyFont="1" applyFill="1" applyBorder="1" applyAlignment="1">
      <alignment horizontal="center" vertical="center"/>
    </xf>
    <xf numFmtId="2" fontId="48" fillId="27" borderId="35" xfId="0" applyNumberFormat="1" applyFont="1" applyFill="1" applyBorder="1" applyAlignment="1">
      <alignment horizontal="center" vertical="center"/>
    </xf>
    <xf numFmtId="0" fontId="48" fillId="35" borderId="45" xfId="0" applyFont="1" applyFill="1" applyBorder="1" applyAlignment="1">
      <alignment horizontal="center" vertical="center"/>
    </xf>
    <xf numFmtId="0" fontId="61" fillId="27" borderId="35" xfId="0" applyFont="1" applyFill="1" applyBorder="1" applyAlignment="1">
      <alignment horizontal="center" vertical="center"/>
    </xf>
    <xf numFmtId="0" fontId="48" fillId="36" borderId="45" xfId="0" applyFont="1" applyFill="1" applyBorder="1" applyAlignment="1">
      <alignment horizontal="center" vertical="center"/>
    </xf>
    <xf numFmtId="2" fontId="52" fillId="25" borderId="47" xfId="0" applyNumberFormat="1" applyFont="1" applyFill="1" applyBorder="1" applyAlignment="1">
      <alignment horizontal="center" vertical="center"/>
    </xf>
    <xf numFmtId="1" fontId="49" fillId="25" borderId="2" xfId="0" applyNumberFormat="1" applyFont="1" applyFill="1" applyBorder="1" applyAlignment="1">
      <alignment vertical="center"/>
    </xf>
    <xf numFmtId="0" fontId="49" fillId="25" borderId="2" xfId="0" applyFont="1" applyFill="1" applyBorder="1" applyAlignment="1">
      <alignment horizontal="center" vertical="center"/>
    </xf>
    <xf numFmtId="1" fontId="49" fillId="25" borderId="2" xfId="0" applyNumberFormat="1" applyFont="1" applyFill="1" applyBorder="1" applyAlignment="1">
      <alignment horizontal="center" vertical="center"/>
    </xf>
    <xf numFmtId="4" fontId="52" fillId="26" borderId="47" xfId="0" applyNumberFormat="1" applyFont="1" applyFill="1" applyBorder="1" applyAlignment="1">
      <alignment horizontal="center" vertical="center"/>
    </xf>
    <xf numFmtId="0" fontId="49" fillId="26" borderId="2" xfId="0" applyFont="1" applyFill="1" applyBorder="1" applyAlignment="1">
      <alignment horizontal="center" vertical="center"/>
    </xf>
    <xf numFmtId="4" fontId="52" fillId="26" borderId="37" xfId="0" applyNumberFormat="1" applyFont="1" applyFill="1" applyBorder="1" applyAlignment="1">
      <alignment horizontal="center" vertical="center"/>
    </xf>
    <xf numFmtId="0" fontId="67" fillId="24" borderId="32" xfId="0" applyFont="1" applyFill="1" applyBorder="1" applyAlignment="1">
      <alignment horizontal="center" vertical="center"/>
    </xf>
    <xf numFmtId="2" fontId="66" fillId="19" borderId="2" xfId="0" applyNumberFormat="1" applyFont="1" applyFill="1" applyBorder="1" applyAlignment="1">
      <alignment horizontal="center" vertical="center"/>
    </xf>
    <xf numFmtId="2" fontId="66" fillId="19" borderId="48" xfId="0" applyNumberFormat="1" applyFont="1" applyFill="1" applyBorder="1" applyAlignment="1">
      <alignment horizontal="center" vertical="center"/>
    </xf>
    <xf numFmtId="10" fontId="66" fillId="19" borderId="2" xfId="2" applyNumberFormat="1" applyFont="1" applyFill="1" applyBorder="1" applyAlignment="1">
      <alignment horizontal="center" vertical="center"/>
    </xf>
    <xf numFmtId="164" fontId="66" fillId="19" borderId="2" xfId="2" applyNumberFormat="1" applyFont="1" applyFill="1" applyBorder="1" applyAlignment="1">
      <alignment horizontal="center" vertical="center"/>
    </xf>
    <xf numFmtId="3" fontId="62" fillId="30" borderId="50" xfId="0" applyNumberFormat="1" applyFont="1" applyFill="1" applyBorder="1" applyAlignment="1">
      <alignment horizontal="right" vertical="center"/>
    </xf>
    <xf numFmtId="0" fontId="48" fillId="24" borderId="45" xfId="0" applyFont="1" applyFill="1" applyBorder="1" applyAlignment="1">
      <alignment horizontal="center" vertical="center"/>
    </xf>
    <xf numFmtId="1" fontId="61" fillId="27" borderId="34" xfId="0" applyNumberFormat="1" applyFont="1" applyFill="1" applyBorder="1" applyAlignment="1">
      <alignment horizontal="center" vertical="center"/>
    </xf>
    <xf numFmtId="0" fontId="49" fillId="26" borderId="47" xfId="0" applyFont="1" applyFill="1" applyBorder="1" applyAlignment="1">
      <alignment horizontal="center" vertical="center"/>
    </xf>
    <xf numFmtId="0" fontId="68" fillId="24" borderId="32" xfId="0" applyFont="1" applyFill="1" applyBorder="1" applyAlignment="1">
      <alignment horizontal="center" vertical="center"/>
    </xf>
    <xf numFmtId="1" fontId="61" fillId="27" borderId="2" xfId="0" applyNumberFormat="1" applyFont="1" applyFill="1" applyBorder="1" applyAlignment="1">
      <alignment horizontal="center" vertical="center"/>
    </xf>
    <xf numFmtId="0" fontId="48" fillId="27" borderId="35" xfId="0" applyFont="1" applyFill="1" applyBorder="1" applyAlignment="1">
      <alignment horizontal="center" vertical="center"/>
    </xf>
    <xf numFmtId="3" fontId="62" fillId="30" borderId="51" xfId="0" applyNumberFormat="1" applyFont="1" applyFill="1" applyBorder="1" applyAlignment="1">
      <alignment horizontal="right" vertical="center"/>
    </xf>
    <xf numFmtId="2" fontId="61" fillId="27" borderId="2" xfId="0" applyNumberFormat="1" applyFont="1" applyFill="1" applyBorder="1" applyAlignment="1">
      <alignment horizontal="center" vertical="center"/>
    </xf>
    <xf numFmtId="9" fontId="66" fillId="29" borderId="33" xfId="0" applyNumberFormat="1" applyFont="1" applyFill="1" applyBorder="1" applyAlignment="1">
      <alignment horizontal="center" vertical="center"/>
    </xf>
    <xf numFmtId="9" fontId="66" fillId="24" borderId="52" xfId="0" applyNumberFormat="1" applyFont="1" applyFill="1" applyBorder="1" applyAlignment="1">
      <alignment horizontal="center" vertical="center"/>
    </xf>
    <xf numFmtId="9" fontId="66" fillId="24" borderId="33" xfId="0" applyNumberFormat="1" applyFont="1" applyFill="1" applyBorder="1" applyAlignment="1">
      <alignment horizontal="center" vertical="center"/>
    </xf>
    <xf numFmtId="9" fontId="66" fillId="37" borderId="52" xfId="0" applyNumberFormat="1" applyFont="1" applyFill="1" applyBorder="1" applyAlignment="1">
      <alignment horizontal="center" vertical="center"/>
    </xf>
    <xf numFmtId="9" fontId="66" fillId="37" borderId="33" xfId="0" applyNumberFormat="1" applyFont="1" applyFill="1" applyBorder="1" applyAlignment="1">
      <alignment horizontal="center" vertical="center"/>
    </xf>
    <xf numFmtId="2" fontId="64" fillId="33" borderId="34" xfId="0" applyNumberFormat="1" applyFont="1" applyFill="1" applyBorder="1" applyAlignment="1">
      <alignment horizontal="center" vertical="center"/>
    </xf>
    <xf numFmtId="9" fontId="66" fillId="38" borderId="52" xfId="0" applyNumberFormat="1" applyFont="1" applyFill="1" applyBorder="1" applyAlignment="1">
      <alignment horizontal="center" vertical="center"/>
    </xf>
    <xf numFmtId="4" fontId="70" fillId="26" borderId="37" xfId="0" applyNumberFormat="1" applyFont="1" applyFill="1" applyBorder="1" applyAlignment="1">
      <alignment horizontal="center" vertical="center"/>
    </xf>
    <xf numFmtId="9" fontId="66" fillId="24" borderId="53" xfId="0" applyNumberFormat="1" applyFont="1" applyFill="1" applyBorder="1" applyAlignment="1">
      <alignment horizontal="center" vertical="center"/>
    </xf>
    <xf numFmtId="9" fontId="51" fillId="29" borderId="54" xfId="0" applyNumberFormat="1" applyFont="1" applyFill="1" applyBorder="1" applyAlignment="1">
      <alignment horizontal="center" vertical="center"/>
    </xf>
    <xf numFmtId="3" fontId="62" fillId="30" borderId="56" xfId="0" applyNumberFormat="1" applyFont="1" applyFill="1" applyBorder="1" applyAlignment="1">
      <alignment horizontal="right" vertical="center"/>
    </xf>
    <xf numFmtId="0" fontId="72" fillId="19" borderId="2" xfId="0" applyFont="1" applyFill="1" applyBorder="1" applyAlignment="1">
      <alignment vertical="center"/>
    </xf>
    <xf numFmtId="0" fontId="49" fillId="26" borderId="57" xfId="0" applyFont="1" applyFill="1" applyBorder="1" applyAlignment="1">
      <alignment horizontal="center" vertical="center"/>
    </xf>
    <xf numFmtId="0" fontId="49" fillId="26" borderId="1" xfId="0" applyFont="1" applyFill="1" applyBorder="1" applyAlignment="1">
      <alignment horizontal="center" vertical="center"/>
    </xf>
    <xf numFmtId="4" fontId="52" fillId="26" borderId="58" xfId="0" applyNumberFormat="1" applyFont="1" applyFill="1" applyBorder="1" applyAlignment="1">
      <alignment horizontal="center" vertical="center"/>
    </xf>
    <xf numFmtId="0" fontId="50" fillId="39" borderId="0" xfId="0" applyFont="1" applyFill="1" applyAlignment="1">
      <alignment vertical="center"/>
    </xf>
    <xf numFmtId="0" fontId="52" fillId="35" borderId="47" xfId="0" applyFont="1" applyFill="1" applyBorder="1" applyAlignment="1">
      <alignment horizontal="center" vertical="center"/>
    </xf>
    <xf numFmtId="0" fontId="50" fillId="35" borderId="2" xfId="0" applyFont="1" applyFill="1" applyBorder="1" applyAlignment="1">
      <alignment vertical="center"/>
    </xf>
    <xf numFmtId="0" fontId="50" fillId="36" borderId="2" xfId="0" applyFont="1" applyFill="1" applyBorder="1" applyAlignment="1">
      <alignment vertical="center"/>
    </xf>
    <xf numFmtId="0" fontId="63" fillId="35" borderId="37" xfId="0" applyFont="1" applyFill="1" applyBorder="1" applyAlignment="1">
      <alignment horizontal="center" vertical="center"/>
    </xf>
    <xf numFmtId="0" fontId="48" fillId="24" borderId="32" xfId="0" applyFont="1" applyFill="1" applyBorder="1" applyAlignment="1">
      <alignment horizontal="center" vertical="center"/>
    </xf>
    <xf numFmtId="3" fontId="61" fillId="41" borderId="62" xfId="0" applyNumberFormat="1" applyFont="1" applyFill="1" applyBorder="1" applyAlignment="1">
      <alignment horizontal="right" vertical="center"/>
    </xf>
    <xf numFmtId="2" fontId="49" fillId="25" borderId="37" xfId="0" applyNumberFormat="1" applyFont="1" applyFill="1" applyBorder="1" applyAlignment="1">
      <alignment horizontal="center" vertical="center"/>
    </xf>
    <xf numFmtId="0" fontId="48" fillId="24" borderId="63" xfId="0" applyFont="1" applyFill="1" applyBorder="1" applyAlignment="1">
      <alignment horizontal="center" vertical="center"/>
    </xf>
    <xf numFmtId="0" fontId="51" fillId="19" borderId="69" xfId="0" applyFont="1" applyFill="1" applyBorder="1" applyAlignment="1">
      <alignment horizontal="center" vertical="center"/>
    </xf>
    <xf numFmtId="0" fontId="51" fillId="19" borderId="67" xfId="0" applyFont="1" applyFill="1" applyBorder="1" applyAlignment="1">
      <alignment horizontal="center" vertical="center"/>
    </xf>
    <xf numFmtId="0" fontId="51" fillId="19" borderId="70" xfId="0" applyFont="1" applyFill="1" applyBorder="1" applyAlignment="1">
      <alignment horizontal="center" vertical="center"/>
    </xf>
    <xf numFmtId="3" fontId="61" fillId="40" borderId="62" xfId="0" applyNumberFormat="1" applyFont="1" applyFill="1" applyBorder="1" applyAlignment="1">
      <alignment vertical="center"/>
    </xf>
    <xf numFmtId="0" fontId="59" fillId="35" borderId="32" xfId="0" applyFont="1" applyFill="1" applyBorder="1" applyAlignment="1">
      <alignment horizontal="center" vertical="center" wrapText="1"/>
    </xf>
    <xf numFmtId="0" fontId="66" fillId="27" borderId="33" xfId="0" applyFont="1" applyFill="1" applyBorder="1" applyAlignment="1">
      <alignment horizontal="center" vertical="center"/>
    </xf>
    <xf numFmtId="1" fontId="61" fillId="24" borderId="62" xfId="0" applyNumberFormat="1" applyFont="1" applyFill="1" applyBorder="1" applyAlignment="1">
      <alignment vertical="center"/>
    </xf>
    <xf numFmtId="14" fontId="48" fillId="27" borderId="41" xfId="0" applyNumberFormat="1" applyFont="1" applyFill="1" applyBorder="1" applyAlignment="1">
      <alignment horizontal="center" vertical="center" wrapText="1"/>
    </xf>
    <xf numFmtId="0" fontId="48" fillId="24"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48" fillId="36" borderId="45" xfId="0" applyFont="1" applyFill="1" applyBorder="1" applyAlignment="1">
      <alignment horizontal="center" vertical="center" wrapText="1"/>
    </xf>
    <xf numFmtId="0" fontId="73" fillId="35" borderId="32" xfId="0" applyFont="1" applyFill="1" applyBorder="1" applyAlignment="1">
      <alignment horizontal="center" vertical="center" wrapText="1"/>
    </xf>
    <xf numFmtId="1" fontId="61" fillId="35" borderId="62" xfId="0" applyNumberFormat="1" applyFont="1" applyFill="1" applyBorder="1" applyAlignment="1">
      <alignment vertical="center"/>
    </xf>
    <xf numFmtId="0" fontId="65" fillId="35" borderId="32" xfId="0" applyFont="1" applyFill="1" applyBorder="1" applyAlignment="1">
      <alignment horizontal="center" vertical="center" wrapText="1"/>
    </xf>
    <xf numFmtId="1" fontId="61" fillId="36" borderId="62" xfId="0" applyNumberFormat="1" applyFont="1" applyFill="1" applyBorder="1" applyAlignment="1">
      <alignment vertical="center"/>
    </xf>
    <xf numFmtId="0" fontId="74" fillId="39" borderId="0" xfId="0" applyFont="1" applyFill="1" applyAlignment="1">
      <alignment vertical="center"/>
    </xf>
    <xf numFmtId="9" fontId="61" fillId="27" borderId="61" xfId="0" applyNumberFormat="1" applyFont="1" applyFill="1" applyBorder="1" applyAlignment="1">
      <alignment horizontal="center" vertical="center"/>
    </xf>
    <xf numFmtId="0" fontId="48" fillId="41" borderId="72" xfId="0" applyFont="1" applyFill="1" applyBorder="1" applyAlignment="1">
      <alignment horizontal="center" vertical="center"/>
    </xf>
    <xf numFmtId="0" fontId="61" fillId="28" borderId="62" xfId="0" applyFont="1" applyFill="1" applyBorder="1" applyAlignment="1">
      <alignment horizontal="center" vertical="center"/>
    </xf>
    <xf numFmtId="0" fontId="48" fillId="41" borderId="62" xfId="0" applyFont="1" applyFill="1" applyBorder="1" applyAlignment="1">
      <alignment horizontal="center" vertical="center"/>
    </xf>
    <xf numFmtId="3" fontId="61" fillId="27" borderId="62" xfId="0" applyNumberFormat="1" applyFont="1" applyFill="1" applyBorder="1" applyAlignment="1">
      <alignment horizontal="center" vertical="center"/>
    </xf>
    <xf numFmtId="4" fontId="61" fillId="27" borderId="62" xfId="0" applyNumberFormat="1" applyFont="1" applyFill="1" applyBorder="1" applyAlignment="1">
      <alignment horizontal="center" vertical="center"/>
    </xf>
    <xf numFmtId="0" fontId="51" fillId="19" borderId="0" xfId="0" applyFont="1" applyFill="1" applyAlignment="1">
      <alignment vertical="center"/>
    </xf>
    <xf numFmtId="0" fontId="50" fillId="19" borderId="0" xfId="0" applyFont="1" applyFill="1" applyAlignment="1">
      <alignment vertical="center"/>
    </xf>
    <xf numFmtId="0" fontId="53" fillId="19" borderId="0" xfId="0" applyFont="1" applyFill="1" applyAlignment="1">
      <alignment vertical="center"/>
    </xf>
    <xf numFmtId="10" fontId="61" fillId="27" borderId="62" xfId="0" applyNumberFormat="1" applyFont="1" applyFill="1" applyBorder="1" applyAlignment="1">
      <alignment horizontal="center" vertical="center"/>
    </xf>
    <xf numFmtId="14" fontId="48" fillId="40" borderId="62" xfId="0" applyNumberFormat="1" applyFont="1" applyFill="1" applyBorder="1" applyAlignment="1">
      <alignment horizontal="center" vertical="center"/>
    </xf>
    <xf numFmtId="3" fontId="48" fillId="40" borderId="62" xfId="0" applyNumberFormat="1" applyFont="1" applyFill="1" applyBorder="1" applyAlignment="1">
      <alignment horizontal="center" vertical="center"/>
    </xf>
    <xf numFmtId="169" fontId="48" fillId="40" borderId="62" xfId="0" applyNumberFormat="1" applyFont="1" applyFill="1" applyBorder="1" applyAlignment="1">
      <alignment horizontal="center" vertical="center"/>
    </xf>
    <xf numFmtId="10" fontId="61" fillId="27" borderId="76" xfId="0" applyNumberFormat="1" applyFont="1" applyFill="1" applyBorder="1" applyAlignment="1">
      <alignment horizontal="center" vertical="center"/>
    </xf>
    <xf numFmtId="0" fontId="49" fillId="19" borderId="0" xfId="0" applyFont="1" applyFill="1" applyAlignment="1">
      <alignment vertical="center"/>
    </xf>
    <xf numFmtId="2" fontId="52" fillId="25" borderId="57" xfId="0" applyNumberFormat="1" applyFont="1" applyFill="1" applyBorder="1" applyAlignment="1">
      <alignment horizontal="center" vertical="center"/>
    </xf>
    <xf numFmtId="1" fontId="49" fillId="25" borderId="1" xfId="0" applyNumberFormat="1" applyFont="1" applyFill="1" applyBorder="1" applyAlignment="1">
      <alignment vertical="center"/>
    </xf>
    <xf numFmtId="0" fontId="49" fillId="25" borderId="1" xfId="0" applyFont="1" applyFill="1" applyBorder="1" applyAlignment="1">
      <alignment horizontal="center" vertical="center"/>
    </xf>
    <xf numFmtId="2" fontId="49" fillId="25" borderId="58" xfId="0" applyNumberFormat="1" applyFont="1" applyFill="1" applyBorder="1" applyAlignment="1">
      <alignment horizontal="center" vertical="center"/>
    </xf>
    <xf numFmtId="0" fontId="75" fillId="0" borderId="0" xfId="0" applyFont="1" applyAlignment="1">
      <alignment vertical="center"/>
    </xf>
    <xf numFmtId="0" fontId="52" fillId="24" borderId="29" xfId="0" applyFont="1" applyFill="1" applyBorder="1" applyAlignment="1">
      <alignment horizontal="center" vertical="center"/>
    </xf>
    <xf numFmtId="0" fontId="50" fillId="24" borderId="30" xfId="0" applyFont="1" applyFill="1" applyBorder="1" applyAlignment="1">
      <alignment vertical="center"/>
    </xf>
    <xf numFmtId="0" fontId="75" fillId="24" borderId="30" xfId="0" applyFont="1" applyFill="1" applyBorder="1" applyAlignment="1">
      <alignment vertical="center"/>
    </xf>
    <xf numFmtId="0" fontId="63" fillId="24" borderId="31" xfId="0" applyFont="1" applyFill="1" applyBorder="1" applyAlignment="1">
      <alignment horizontal="center" vertical="center"/>
    </xf>
    <xf numFmtId="0" fontId="76" fillId="19" borderId="0" xfId="0" applyFont="1" applyFill="1" applyAlignment="1">
      <alignment vertical="center"/>
    </xf>
    <xf numFmtId="2" fontId="52" fillId="25" borderId="37" xfId="0" applyNumberFormat="1" applyFont="1" applyFill="1" applyBorder="1" applyAlignment="1">
      <alignment horizontal="center" vertical="center"/>
    </xf>
    <xf numFmtId="0" fontId="66" fillId="27" borderId="54" xfId="0" applyFont="1" applyFill="1" applyBorder="1" applyAlignment="1">
      <alignment horizontal="center" vertical="center"/>
    </xf>
    <xf numFmtId="0" fontId="66" fillId="27" borderId="80" xfId="0" applyFont="1" applyFill="1" applyBorder="1" applyAlignment="1">
      <alignment horizontal="center" vertical="center"/>
    </xf>
    <xf numFmtId="1" fontId="61" fillId="27" borderId="81" xfId="0" applyNumberFormat="1" applyFont="1" applyFill="1" applyBorder="1" applyAlignment="1">
      <alignment horizontal="center" vertical="center"/>
    </xf>
    <xf numFmtId="2" fontId="61" fillId="36" borderId="44" xfId="0" applyNumberFormat="1" applyFont="1" applyFill="1" applyBorder="1" applyAlignment="1">
      <alignment vertical="center"/>
    </xf>
    <xf numFmtId="164" fontId="61" fillId="36" borderId="43" xfId="0" applyNumberFormat="1" applyFont="1" applyFill="1" applyBorder="1" applyAlignment="1">
      <alignment vertical="center"/>
    </xf>
    <xf numFmtId="164" fontId="61" fillId="36" borderId="82" xfId="0" applyNumberFormat="1" applyFont="1" applyFill="1" applyBorder="1" applyAlignment="1">
      <alignment vertical="center"/>
    </xf>
    <xf numFmtId="1" fontId="61" fillId="36" borderId="34" xfId="0" applyNumberFormat="1" applyFont="1" applyFill="1" applyBorder="1" applyAlignment="1">
      <alignment vertical="center"/>
    </xf>
    <xf numFmtId="1" fontId="61" fillId="36" borderId="38" xfId="0" applyNumberFormat="1" applyFont="1" applyFill="1" applyBorder="1" applyAlignment="1">
      <alignment vertical="center"/>
    </xf>
    <xf numFmtId="2" fontId="61" fillId="36" borderId="35" xfId="0" applyNumberFormat="1" applyFont="1" applyFill="1" applyBorder="1" applyAlignment="1">
      <alignment vertical="center"/>
    </xf>
    <xf numFmtId="164" fontId="61" fillId="36" borderId="2" xfId="0" applyNumberFormat="1" applyFont="1" applyFill="1" applyBorder="1" applyAlignment="1">
      <alignment vertical="center"/>
    </xf>
    <xf numFmtId="164" fontId="61" fillId="36" borderId="36" xfId="0" applyNumberFormat="1" applyFont="1" applyFill="1" applyBorder="1" applyAlignment="1">
      <alignment vertical="center"/>
    </xf>
    <xf numFmtId="1" fontId="61" fillId="27" borderId="77" xfId="0" applyNumberFormat="1" applyFont="1" applyFill="1" applyBorder="1" applyAlignment="1">
      <alignment horizontal="center" vertical="center"/>
    </xf>
    <xf numFmtId="2" fontId="61" fillId="36" borderId="84" xfId="0" applyNumberFormat="1" applyFont="1" applyFill="1" applyBorder="1" applyAlignment="1">
      <alignment vertical="center"/>
    </xf>
    <xf numFmtId="164" fontId="61" fillId="36" borderId="15" xfId="0" applyNumberFormat="1" applyFont="1" applyFill="1" applyBorder="1" applyAlignment="1">
      <alignment vertical="center"/>
    </xf>
    <xf numFmtId="164" fontId="61" fillId="36" borderId="79" xfId="0" applyNumberFormat="1" applyFont="1" applyFill="1" applyBorder="1" applyAlignment="1">
      <alignment vertical="center"/>
    </xf>
    <xf numFmtId="1" fontId="61" fillId="36" borderId="65" xfId="0" applyNumberFormat="1" applyFont="1" applyFill="1" applyBorder="1" applyAlignment="1">
      <alignment vertical="center"/>
    </xf>
    <xf numFmtId="1" fontId="61" fillId="36" borderId="85" xfId="0" applyNumberFormat="1" applyFont="1" applyFill="1" applyBorder="1" applyAlignment="1">
      <alignment vertical="center"/>
    </xf>
    <xf numFmtId="0" fontId="61" fillId="40" borderId="86" xfId="0" applyFont="1" applyFill="1" applyBorder="1" applyAlignment="1">
      <alignment horizontal="center" vertical="center"/>
    </xf>
    <xf numFmtId="1" fontId="61" fillId="40" borderId="77" xfId="0" applyNumberFormat="1" applyFont="1" applyFill="1" applyBorder="1" applyAlignment="1">
      <alignment horizontal="center" vertical="center"/>
    </xf>
    <xf numFmtId="0" fontId="61" fillId="40" borderId="78" xfId="0" applyFont="1" applyFill="1" applyBorder="1" applyAlignment="1">
      <alignment horizontal="center" vertical="center"/>
    </xf>
    <xf numFmtId="164" fontId="61" fillId="40" borderId="88" xfId="0" applyNumberFormat="1" applyFont="1" applyFill="1" applyBorder="1" applyAlignment="1">
      <alignment horizontal="right" vertical="center"/>
    </xf>
    <xf numFmtId="164" fontId="61" fillId="40" borderId="89" xfId="0" applyNumberFormat="1" applyFont="1" applyFill="1" applyBorder="1" applyAlignment="1">
      <alignment horizontal="right" vertical="center"/>
    </xf>
    <xf numFmtId="2" fontId="61" fillId="40" borderId="87" xfId="0" applyNumberFormat="1" applyFont="1" applyFill="1" applyBorder="1" applyAlignment="1">
      <alignment vertical="center"/>
    </xf>
    <xf numFmtId="1" fontId="61" fillId="40" borderId="77" xfId="0" applyNumberFormat="1" applyFont="1" applyFill="1" applyBorder="1" applyAlignment="1">
      <alignment vertical="center"/>
    </xf>
    <xf numFmtId="164" fontId="61" fillId="40" borderId="89" xfId="0" applyNumberFormat="1" applyFont="1" applyFill="1" applyBorder="1" applyAlignment="1">
      <alignment horizontal="center" vertical="center"/>
    </xf>
    <xf numFmtId="0" fontId="50" fillId="35" borderId="0" xfId="0" applyFont="1" applyFill="1" applyAlignment="1">
      <alignment vertical="center"/>
    </xf>
    <xf numFmtId="2" fontId="52" fillId="25" borderId="58" xfId="0" applyNumberFormat="1" applyFont="1" applyFill="1" applyBorder="1" applyAlignment="1">
      <alignment horizontal="center" vertical="center"/>
    </xf>
    <xf numFmtId="1" fontId="65"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4" fillId="33" borderId="34" xfId="55" applyNumberFormat="1" applyFont="1" applyFill="1" applyBorder="1" applyAlignment="1">
      <alignment horizontal="center" vertical="center"/>
    </xf>
    <xf numFmtId="0" fontId="54" fillId="23" borderId="91" xfId="0" applyFont="1" applyFill="1" applyBorder="1" applyAlignment="1">
      <alignment horizontal="center" vertical="center"/>
    </xf>
    <xf numFmtId="0" fontId="65" fillId="31" borderId="34" xfId="0" applyFont="1" applyFill="1" applyBorder="1" applyAlignment="1">
      <alignment horizontal="center" vertical="center"/>
    </xf>
    <xf numFmtId="0" fontId="52"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8" fillId="31" borderId="34" xfId="2" applyNumberFormat="1" applyFont="1" applyFill="1" applyBorder="1" applyAlignment="1">
      <alignment horizontal="center" vertical="center"/>
    </xf>
    <xf numFmtId="0" fontId="48" fillId="31" borderId="37" xfId="0" applyFont="1" applyFill="1" applyBorder="1" applyAlignment="1">
      <alignment horizontal="center" vertical="center"/>
    </xf>
    <xf numFmtId="0" fontId="61" fillId="27" borderId="34" xfId="0" applyFont="1" applyFill="1" applyBorder="1" applyAlignment="1">
      <alignment horizontal="center" vertical="center"/>
    </xf>
    <xf numFmtId="0" fontId="61" fillId="27" borderId="35" xfId="0" applyFont="1" applyFill="1" applyBorder="1" applyAlignment="1">
      <alignment vertical="center"/>
    </xf>
    <xf numFmtId="0" fontId="61" fillId="35" borderId="2" xfId="0" applyFont="1" applyFill="1" applyBorder="1" applyAlignment="1">
      <alignment vertical="center"/>
    </xf>
    <xf numFmtId="0" fontId="61" fillId="35" borderId="36" xfId="0" applyFont="1" applyFill="1" applyBorder="1" applyAlignment="1">
      <alignment vertical="center"/>
    </xf>
    <xf numFmtId="0" fontId="61" fillId="28" borderId="37" xfId="0" applyFont="1" applyFill="1" applyBorder="1" applyAlignment="1">
      <alignment vertical="center"/>
    </xf>
    <xf numFmtId="0" fontId="61" fillId="35" borderId="37" xfId="0" applyFont="1" applyFill="1" applyBorder="1" applyAlignment="1">
      <alignment vertical="center"/>
    </xf>
    <xf numFmtId="0" fontId="61" fillId="35" borderId="38" xfId="0" applyFont="1" applyFill="1" applyBorder="1" applyAlignment="1">
      <alignment vertical="center"/>
    </xf>
    <xf numFmtId="0" fontId="60" fillId="27" borderId="33" xfId="0" applyFont="1" applyFill="1" applyBorder="1" applyAlignment="1">
      <alignment horizontal="center" vertical="center"/>
    </xf>
    <xf numFmtId="0" fontId="61" fillId="24" borderId="2" xfId="0" applyFont="1" applyFill="1" applyBorder="1" applyAlignment="1">
      <alignment vertical="center"/>
    </xf>
    <xf numFmtId="0" fontId="61" fillId="24" borderId="36" xfId="0" applyFont="1" applyFill="1" applyBorder="1" applyAlignment="1">
      <alignment vertical="center"/>
    </xf>
    <xf numFmtId="0" fontId="61" fillId="24" borderId="34" xfId="0" applyFont="1" applyFill="1" applyBorder="1" applyAlignment="1">
      <alignment vertical="center"/>
    </xf>
    <xf numFmtId="0" fontId="61" fillId="24" borderId="38" xfId="0" applyFont="1" applyFill="1" applyBorder="1" applyAlignment="1">
      <alignment vertical="center"/>
    </xf>
    <xf numFmtId="0" fontId="69" fillId="27" borderId="33" xfId="0" applyFont="1" applyFill="1" applyBorder="1" applyAlignment="1">
      <alignment horizontal="center" vertical="center"/>
    </xf>
    <xf numFmtId="0" fontId="71" fillId="27" borderId="33" xfId="0" applyFont="1" applyFill="1" applyBorder="1" applyAlignment="1">
      <alignment horizontal="center" vertical="center"/>
    </xf>
    <xf numFmtId="0" fontId="71" fillId="27" borderId="64" xfId="0" applyFont="1" applyFill="1" applyBorder="1" applyAlignment="1">
      <alignment horizontal="center" vertical="center"/>
    </xf>
    <xf numFmtId="0" fontId="61" fillId="27" borderId="65" xfId="0" applyFont="1" applyFill="1" applyBorder="1" applyAlignment="1">
      <alignment horizontal="center" vertical="center"/>
    </xf>
    <xf numFmtId="0" fontId="61" fillId="27" borderId="66" xfId="0" applyFont="1" applyFill="1" applyBorder="1" applyAlignment="1">
      <alignment vertical="center"/>
    </xf>
    <xf numFmtId="0" fontId="61" fillId="24" borderId="67" xfId="0" applyFont="1" applyFill="1" applyBorder="1" applyAlignment="1">
      <alignment vertical="center"/>
    </xf>
    <xf numFmtId="0" fontId="61" fillId="24" borderId="68" xfId="0" applyFont="1" applyFill="1" applyBorder="1" applyAlignment="1">
      <alignment vertical="center"/>
    </xf>
    <xf numFmtId="0" fontId="61" fillId="28" borderId="64" xfId="0" applyFont="1" applyFill="1" applyBorder="1" applyAlignment="1">
      <alignment vertical="center"/>
    </xf>
    <xf numFmtId="0" fontId="61" fillId="24" borderId="65" xfId="0" applyFont="1" applyFill="1" applyBorder="1" applyAlignment="1">
      <alignment vertical="center"/>
    </xf>
    <xf numFmtId="0" fontId="61" fillId="27" borderId="77" xfId="0" applyFont="1" applyFill="1" applyBorder="1" applyAlignment="1">
      <alignment horizontal="center" vertical="center"/>
    </xf>
    <xf numFmtId="0" fontId="61" fillId="27" borderId="78" xfId="0" applyFont="1" applyFill="1" applyBorder="1" applyAlignment="1">
      <alignment vertical="center"/>
    </xf>
    <xf numFmtId="0" fontId="61" fillId="35" borderId="15" xfId="0" applyFont="1" applyFill="1" applyBorder="1" applyAlignment="1">
      <alignment vertical="center"/>
    </xf>
    <xf numFmtId="0" fontId="61" fillId="35" borderId="79" xfId="0" applyFont="1" applyFill="1" applyBorder="1" applyAlignment="1">
      <alignment vertical="center"/>
    </xf>
    <xf numFmtId="0" fontId="61" fillId="35" borderId="65" xfId="0" applyFont="1" applyFill="1" applyBorder="1" applyAlignment="1">
      <alignment vertical="center"/>
    </xf>
    <xf numFmtId="0" fontId="61"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1" fillId="0" borderId="3" xfId="0" applyFont="1" applyBorder="1" applyAlignment="1">
      <alignment horizontal="center" vertical="center"/>
    </xf>
    <xf numFmtId="0" fontId="2" fillId="0" borderId="0" xfId="0" applyFont="1" applyAlignment="1">
      <alignment horizontal="center"/>
    </xf>
    <xf numFmtId="2" fontId="44"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1" fillId="36" borderId="37" xfId="0" applyFont="1" applyFill="1" applyBorder="1" applyAlignment="1">
      <alignment vertical="center"/>
    </xf>
    <xf numFmtId="0" fontId="61" fillId="36" borderId="64" xfId="0" applyFont="1" applyFill="1" applyBorder="1" applyAlignment="1">
      <alignment vertical="center"/>
    </xf>
    <xf numFmtId="0" fontId="77" fillId="28" borderId="87" xfId="0" applyFont="1" applyFill="1" applyBorder="1" applyAlignment="1">
      <alignment horizontal="center" vertical="center"/>
    </xf>
    <xf numFmtId="0" fontId="48" fillId="29" borderId="39" xfId="0" applyFont="1" applyFill="1" applyBorder="1" applyAlignment="1">
      <alignment horizontal="center" vertical="center"/>
    </xf>
    <xf numFmtId="0" fontId="48" fillId="29" borderId="49" xfId="0" applyFont="1" applyFill="1" applyBorder="1" applyAlignment="1">
      <alignment horizontal="center" vertical="center"/>
    </xf>
    <xf numFmtId="0" fontId="48" fillId="24" borderId="49" xfId="0" applyFont="1" applyFill="1" applyBorder="1" applyAlignment="1">
      <alignment horizontal="center" vertical="center"/>
    </xf>
    <xf numFmtId="0" fontId="48" fillId="37" borderId="49" xfId="0" applyFont="1" applyFill="1" applyBorder="1" applyAlignment="1">
      <alignment horizontal="center" vertical="center"/>
    </xf>
    <xf numFmtId="0" fontId="61" fillId="38" borderId="49" xfId="0" applyFont="1" applyFill="1" applyBorder="1" applyAlignment="1">
      <alignment horizontal="right" vertical="center"/>
    </xf>
    <xf numFmtId="0" fontId="51" fillId="29" borderId="49" xfId="0" applyFont="1" applyFill="1" applyBorder="1" applyAlignment="1">
      <alignment horizontal="center" vertical="center"/>
    </xf>
    <xf numFmtId="0" fontId="51" fillId="29" borderId="55" xfId="0" applyFont="1" applyFill="1" applyBorder="1" applyAlignment="1">
      <alignment horizontal="center" vertical="center"/>
    </xf>
    <xf numFmtId="0" fontId="61" fillId="24" borderId="43" xfId="0" applyFont="1" applyFill="1" applyBorder="1" applyAlignment="1">
      <alignment horizontal="right" vertical="center"/>
    </xf>
    <xf numFmtId="0" fontId="61" fillId="24" borderId="44" xfId="0" applyFont="1" applyFill="1" applyBorder="1" applyAlignment="1">
      <alignment horizontal="right" vertical="center"/>
    </xf>
    <xf numFmtId="0" fontId="61" fillId="24" borderId="2" xfId="0" applyFont="1" applyFill="1" applyBorder="1" applyAlignment="1">
      <alignment horizontal="right" vertical="center"/>
    </xf>
    <xf numFmtId="0" fontId="61" fillId="24" borderId="35" xfId="0" applyFont="1" applyFill="1" applyBorder="1" applyAlignment="1">
      <alignment horizontal="right" vertical="center"/>
    </xf>
    <xf numFmtId="0" fontId="48" fillId="31" borderId="93" xfId="0" applyFont="1" applyFill="1" applyBorder="1" applyAlignment="1">
      <alignment horizontal="center" vertical="center"/>
    </xf>
    <xf numFmtId="0" fontId="61" fillId="35" borderId="2" xfId="0" applyFont="1" applyFill="1" applyBorder="1" applyAlignment="1">
      <alignment horizontal="right" vertical="center"/>
    </xf>
    <xf numFmtId="0" fontId="61" fillId="35" borderId="46" xfId="0" applyFont="1" applyFill="1" applyBorder="1" applyAlignment="1">
      <alignment horizontal="right" vertical="center"/>
    </xf>
    <xf numFmtId="0" fontId="61" fillId="35" borderId="35" xfId="0" applyFont="1" applyFill="1" applyBorder="1" applyAlignment="1">
      <alignment horizontal="right" vertical="center"/>
    </xf>
    <xf numFmtId="0" fontId="61" fillId="36" borderId="2" xfId="0" applyFont="1" applyFill="1" applyBorder="1" applyAlignment="1">
      <alignment horizontal="right" vertical="center"/>
    </xf>
    <xf numFmtId="0" fontId="61" fillId="36" borderId="35" xfId="0" applyFont="1" applyFill="1" applyBorder="1" applyAlignment="1">
      <alignment horizontal="right" vertical="center"/>
    </xf>
    <xf numFmtId="0" fontId="8" fillId="4" borderId="101" xfId="31" applyFont="1" applyFill="1" applyBorder="1" applyAlignment="1">
      <alignment horizontal="center"/>
    </xf>
    <xf numFmtId="0" fontId="64" fillId="33" borderId="34" xfId="0" applyFont="1" applyFill="1" applyBorder="1" applyAlignment="1">
      <alignment horizontal="center" vertical="center"/>
    </xf>
    <xf numFmtId="0" fontId="54" fillId="21" borderId="25" xfId="0" applyFont="1" applyFill="1" applyBorder="1" applyAlignment="1">
      <alignment horizontal="center" vertical="center"/>
    </xf>
    <xf numFmtId="0" fontId="55" fillId="23" borderId="25" xfId="0" applyFont="1" applyFill="1" applyBorder="1" applyAlignment="1">
      <alignment horizontal="center" vertical="center"/>
    </xf>
    <xf numFmtId="0" fontId="54" fillId="23" borderId="25" xfId="0" applyFont="1" applyFill="1" applyBorder="1" applyAlignment="1">
      <alignment horizontal="center" vertical="center"/>
    </xf>
    <xf numFmtId="0" fontId="44" fillId="9" borderId="3" xfId="0" applyFont="1" applyFill="1" applyBorder="1" applyAlignment="1">
      <alignment vertical="center"/>
    </xf>
    <xf numFmtId="0" fontId="44" fillId="9" borderId="96" xfId="0" applyFont="1" applyFill="1" applyBorder="1" applyAlignment="1">
      <alignment vertical="center"/>
    </xf>
    <xf numFmtId="2" fontId="44"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79" fillId="10" borderId="103" xfId="0" applyFont="1" applyFill="1" applyBorder="1" applyAlignment="1">
      <alignment horizontal="right" vertical="center"/>
    </xf>
    <xf numFmtId="0" fontId="43" fillId="10" borderId="103" xfId="0" applyFont="1" applyFill="1" applyBorder="1" applyAlignment="1">
      <alignment horizontal="right" vertical="center"/>
    </xf>
    <xf numFmtId="0" fontId="43" fillId="10" borderId="110" xfId="0" applyFont="1" applyFill="1" applyBorder="1" applyAlignment="1">
      <alignment horizontal="right" vertical="center"/>
    </xf>
    <xf numFmtId="0" fontId="43" fillId="10" borderId="112" xfId="0" applyFont="1" applyFill="1" applyBorder="1" applyAlignment="1">
      <alignment horizontal="right" vertical="center"/>
    </xf>
    <xf numFmtId="0" fontId="43"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3" fillId="10" borderId="104" xfId="0" applyFont="1" applyFill="1" applyBorder="1" applyAlignment="1">
      <alignment horizontal="right" vertical="center"/>
    </xf>
    <xf numFmtId="0" fontId="43" fillId="10" borderId="96" xfId="0" applyFont="1" applyFill="1" applyBorder="1" applyAlignment="1">
      <alignment horizontal="right" vertical="center"/>
    </xf>
    <xf numFmtId="0" fontId="43"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8"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80" fillId="10" borderId="97" xfId="55" applyNumberFormat="1" applyFont="1" applyFill="1" applyBorder="1" applyAlignment="1">
      <alignment horizontal="right" vertical="center"/>
    </xf>
    <xf numFmtId="0" fontId="78" fillId="10" borderId="97" xfId="0" applyFont="1" applyFill="1" applyBorder="1" applyAlignment="1">
      <alignment horizontal="right" vertical="center"/>
    </xf>
    <xf numFmtId="0" fontId="79"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8"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3" fillId="10" borderId="114" xfId="0" applyFont="1" applyFill="1" applyBorder="1" applyAlignment="1">
      <alignment horizontal="right" vertical="center"/>
    </xf>
    <xf numFmtId="0" fontId="80" fillId="10" borderId="113" xfId="55" applyNumberFormat="1" applyFont="1" applyFill="1" applyBorder="1" applyAlignment="1">
      <alignment horizontal="right" vertical="center"/>
    </xf>
    <xf numFmtId="0" fontId="44" fillId="9" borderId="114" xfId="0" applyFont="1" applyFill="1" applyBorder="1" applyAlignment="1">
      <alignment vertical="center"/>
    </xf>
    <xf numFmtId="0" fontId="84"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3" fillId="10" borderId="121" xfId="0" applyFont="1" applyFill="1" applyBorder="1" applyAlignment="1">
      <alignment horizontal="right" vertical="center"/>
    </xf>
    <xf numFmtId="0" fontId="43"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8"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4" fillId="9" borderId="114" xfId="0" applyNumberFormat="1" applyFont="1" applyFill="1" applyBorder="1" applyAlignment="1">
      <alignment vertical="center"/>
    </xf>
    <xf numFmtId="170" fontId="3" fillId="0" borderId="0" xfId="55" applyNumberFormat="1" applyFont="1"/>
    <xf numFmtId="0" fontId="80" fillId="10" borderId="102" xfId="55" applyNumberFormat="1" applyFont="1" applyFill="1" applyBorder="1" applyAlignment="1">
      <alignment horizontal="right" vertical="center"/>
    </xf>
    <xf numFmtId="0" fontId="80"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6" fillId="22" borderId="25" xfId="0" applyFont="1" applyFill="1" applyBorder="1" applyAlignment="1">
      <alignment horizontal="center" vertical="center"/>
    </xf>
    <xf numFmtId="0" fontId="86" fillId="22" borderId="92" xfId="0" applyFont="1" applyFill="1" applyBorder="1" applyAlignment="1">
      <alignment horizontal="center" vertical="center"/>
    </xf>
    <xf numFmtId="2" fontId="3" fillId="0" borderId="0" xfId="0" applyNumberFormat="1" applyFont="1" applyAlignment="1">
      <alignment horizontal="center"/>
    </xf>
    <xf numFmtId="0" fontId="42" fillId="12" borderId="126" xfId="55" applyNumberFormat="1" applyFont="1" applyFill="1" applyBorder="1" applyAlignment="1">
      <alignment horizontal="center" vertical="center"/>
    </xf>
    <xf numFmtId="0" fontId="42" fillId="12" borderId="127" xfId="55" applyNumberFormat="1" applyFont="1" applyFill="1" applyBorder="1" applyAlignment="1">
      <alignment horizontal="center" vertical="center"/>
    </xf>
    <xf numFmtId="0" fontId="0" fillId="0" borderId="129" xfId="0" applyBorder="1" applyAlignment="1">
      <alignment horizontal="center"/>
    </xf>
    <xf numFmtId="2" fontId="87" fillId="0" borderId="0" xfId="0" applyNumberFormat="1" applyFont="1"/>
    <xf numFmtId="0" fontId="78"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3" fillId="10" borderId="132" xfId="0" applyFont="1" applyFill="1" applyBorder="1" applyAlignment="1">
      <alignment horizontal="right" vertical="center"/>
    </xf>
    <xf numFmtId="0" fontId="43"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8"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79" fillId="10" borderId="102" xfId="0" applyFont="1" applyFill="1" applyBorder="1" applyAlignment="1">
      <alignment horizontal="right" vertical="center"/>
    </xf>
    <xf numFmtId="0" fontId="31" fillId="9" borderId="137" xfId="0" applyFont="1" applyFill="1" applyBorder="1" applyAlignment="1">
      <alignment horizontal="center" vertical="center"/>
    </xf>
    <xf numFmtId="0" fontId="44" fillId="9" borderId="132" xfId="0" applyFont="1" applyFill="1" applyBorder="1" applyAlignment="1">
      <alignment vertical="center"/>
    </xf>
    <xf numFmtId="0" fontId="80" fillId="10" borderId="137" xfId="55" applyNumberFormat="1" applyFont="1" applyFill="1" applyBorder="1" applyAlignment="1">
      <alignment horizontal="right" vertical="center"/>
    </xf>
    <xf numFmtId="0" fontId="78" fillId="10" borderId="137" xfId="0" applyFont="1" applyFill="1" applyBorder="1" applyAlignment="1">
      <alignment horizontal="right" vertical="center"/>
    </xf>
    <xf numFmtId="0" fontId="80" fillId="10" borderId="135" xfId="55" applyNumberFormat="1" applyFont="1" applyFill="1" applyBorder="1" applyAlignment="1">
      <alignment horizontal="right" vertical="center"/>
    </xf>
    <xf numFmtId="0" fontId="78" fillId="10" borderId="9" xfId="0" applyFont="1" applyFill="1" applyBorder="1" applyAlignment="1">
      <alignment horizontal="left" vertical="center"/>
    </xf>
    <xf numFmtId="0" fontId="78" fillId="10" borderId="107" xfId="0" applyFont="1" applyFill="1" applyBorder="1" applyAlignment="1">
      <alignment horizontal="left" vertical="center"/>
    </xf>
    <xf numFmtId="0" fontId="78"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39" xfId="0" applyNumberFormat="1" applyFont="1" applyFill="1" applyBorder="1" applyAlignment="1">
      <alignment horizontal="right" vertical="center"/>
    </xf>
    <xf numFmtId="0" fontId="43" fillId="10" borderId="143" xfId="0" applyFont="1" applyFill="1" applyBorder="1" applyAlignment="1">
      <alignment horizontal="right" vertical="center"/>
    </xf>
    <xf numFmtId="0" fontId="43" fillId="10" borderId="142" xfId="0" applyFont="1" applyFill="1" applyBorder="1" applyAlignment="1">
      <alignment horizontal="right" vertical="center"/>
    </xf>
    <xf numFmtId="3" fontId="39" fillId="10" borderId="142" xfId="0" applyNumberFormat="1" applyFont="1" applyFill="1" applyBorder="1" applyAlignment="1">
      <alignment horizontal="right" vertical="center"/>
    </xf>
    <xf numFmtId="0" fontId="39" fillId="10" borderId="142" xfId="0" applyFont="1" applyFill="1" applyBorder="1" applyAlignment="1">
      <alignment horizontal="right" vertical="center"/>
    </xf>
    <xf numFmtId="1" fontId="25" fillId="9" borderId="145" xfId="0" applyNumberFormat="1" applyFont="1" applyFill="1" applyBorder="1" applyAlignment="1">
      <alignment horizontal="center" vertical="center"/>
    </xf>
    <xf numFmtId="167" fontId="39" fillId="10" borderId="142" xfId="55" applyNumberFormat="1" applyFont="1" applyFill="1" applyBorder="1" applyAlignment="1">
      <alignment horizontal="right" vertical="center"/>
    </xf>
    <xf numFmtId="0" fontId="78" fillId="10" borderId="144" xfId="0" applyFont="1" applyFill="1" applyBorder="1" applyAlignment="1">
      <alignment horizontal="left" vertical="center"/>
    </xf>
    <xf numFmtId="0" fontId="78" fillId="10" borderId="142" xfId="0" applyFont="1" applyFill="1" applyBorder="1" applyAlignment="1">
      <alignment horizontal="right" vertical="center"/>
    </xf>
    <xf numFmtId="0" fontId="31" fillId="9" borderId="142" xfId="0" applyFont="1" applyFill="1" applyBorder="1" applyAlignment="1">
      <alignment horizontal="center" vertical="center"/>
    </xf>
    <xf numFmtId="1" fontId="25" fillId="9" borderId="148"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79" fillId="10" borderId="137" xfId="0" applyFont="1" applyFill="1" applyBorder="1" applyAlignment="1">
      <alignment horizontal="right" vertical="center"/>
    </xf>
    <xf numFmtId="0" fontId="44" fillId="9" borderId="149" xfId="0" applyFont="1" applyFill="1" applyBorder="1" applyAlignment="1">
      <alignment vertical="center"/>
    </xf>
    <xf numFmtId="0" fontId="89" fillId="12" borderId="127" xfId="55" applyNumberFormat="1" applyFont="1" applyFill="1" applyBorder="1" applyAlignment="1">
      <alignment horizontal="center" vertical="center"/>
    </xf>
    <xf numFmtId="0" fontId="89" fillId="12" borderId="126" xfId="55" applyNumberFormat="1" applyFont="1" applyFill="1" applyBorder="1" applyAlignment="1">
      <alignment horizontal="center" vertical="center"/>
    </xf>
    <xf numFmtId="1" fontId="23" fillId="11" borderId="150" xfId="77" applyNumberFormat="1" applyFont="1" applyFill="1" applyBorder="1" applyAlignment="1">
      <alignment horizontal="center" vertical="center"/>
    </xf>
    <xf numFmtId="1" fontId="23" fillId="11" borderId="152" xfId="77" applyNumberFormat="1" applyFont="1" applyFill="1" applyBorder="1" applyAlignment="1">
      <alignment horizontal="center" vertical="center"/>
    </xf>
    <xf numFmtId="168" fontId="34" fillId="15" borderId="151" xfId="0" applyNumberFormat="1" applyFont="1" applyFill="1" applyBorder="1" applyAlignment="1">
      <alignment horizontal="center" vertical="center" wrapText="1"/>
    </xf>
    <xf numFmtId="0" fontId="78" fillId="10" borderId="107" xfId="0" applyFont="1" applyFill="1" applyBorder="1" applyAlignment="1">
      <alignment horizontal="right" vertical="center"/>
    </xf>
    <xf numFmtId="0" fontId="78" fillId="10" borderId="141" xfId="0" applyFont="1" applyFill="1" applyBorder="1" applyAlignment="1">
      <alignment horizontal="right" vertical="center"/>
    </xf>
    <xf numFmtId="0" fontId="90" fillId="10" borderId="117" xfId="0" applyFont="1" applyFill="1" applyBorder="1" applyAlignment="1">
      <alignment horizontal="left" vertical="center"/>
    </xf>
    <xf numFmtId="0" fontId="83" fillId="10" borderId="130" xfId="0" applyFont="1" applyFill="1" applyBorder="1" applyAlignment="1">
      <alignment horizontal="right" vertical="center"/>
    </xf>
    <xf numFmtId="1" fontId="23" fillId="9" borderId="162" xfId="0" applyNumberFormat="1" applyFont="1" applyFill="1" applyBorder="1" applyAlignment="1">
      <alignment horizontal="center" vertical="center"/>
    </xf>
    <xf numFmtId="1" fontId="23" fillId="9" borderId="163" xfId="0" applyNumberFormat="1" applyFont="1" applyFill="1" applyBorder="1" applyAlignment="1">
      <alignment horizontal="center" vertical="center"/>
    </xf>
    <xf numFmtId="1" fontId="23" fillId="9" borderId="164" xfId="0" applyNumberFormat="1" applyFont="1" applyFill="1" applyBorder="1" applyAlignment="1">
      <alignment horizontal="center" vertical="center"/>
    </xf>
    <xf numFmtId="1" fontId="23" fillId="9" borderId="165" xfId="0" applyNumberFormat="1" applyFont="1" applyFill="1" applyBorder="1" applyAlignment="1">
      <alignment horizontal="center" vertical="center"/>
    </xf>
    <xf numFmtId="1" fontId="23" fillId="9" borderId="166" xfId="0" applyNumberFormat="1" applyFont="1" applyFill="1" applyBorder="1" applyAlignment="1">
      <alignment horizontal="center"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7"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3" xfId="0" applyNumberFormat="1" applyFont="1" applyFill="1" applyBorder="1" applyAlignment="1">
      <alignment horizontal="center" vertical="center"/>
    </xf>
    <xf numFmtId="1" fontId="25" fillId="9" borderId="168" xfId="0" applyNumberFormat="1" applyFont="1" applyFill="1" applyBorder="1" applyAlignment="1">
      <alignment horizontal="center" vertical="center"/>
    </xf>
    <xf numFmtId="1" fontId="25" fillId="9" borderId="169" xfId="0" applyNumberFormat="1" applyFont="1" applyFill="1" applyBorder="1" applyAlignment="1">
      <alignment horizontal="center" vertical="center"/>
    </xf>
    <xf numFmtId="1" fontId="25" fillId="9" borderId="156" xfId="0" applyNumberFormat="1" applyFont="1" applyFill="1" applyBorder="1" applyAlignment="1">
      <alignment horizontal="center" vertical="center"/>
    </xf>
    <xf numFmtId="1" fontId="25" fillId="9" borderId="170" xfId="0" applyNumberFormat="1" applyFont="1" applyFill="1" applyBorder="1" applyAlignment="1">
      <alignment horizontal="center" vertical="center"/>
    </xf>
    <xf numFmtId="1" fontId="25" fillId="9" borderId="154"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0" fontId="44" fillId="9" borderId="172" xfId="0" applyFont="1" applyFill="1" applyBorder="1" applyAlignment="1">
      <alignment vertical="center"/>
    </xf>
    <xf numFmtId="2" fontId="44" fillId="9" borderId="146" xfId="0" applyNumberFormat="1" applyFont="1" applyFill="1" applyBorder="1" applyAlignment="1">
      <alignment vertical="center"/>
    </xf>
    <xf numFmtId="0" fontId="31" fillId="9" borderId="103" xfId="0" applyFont="1" applyFill="1" applyBorder="1" applyAlignment="1">
      <alignment horizontal="center" vertical="center"/>
    </xf>
    <xf numFmtId="0" fontId="44" fillId="9" borderId="173" xfId="0" applyFont="1" applyFill="1" applyBorder="1" applyAlignment="1">
      <alignment vertical="center"/>
    </xf>
    <xf numFmtId="0" fontId="95" fillId="16" borderId="8" xfId="15" applyFont="1" applyFill="1" applyBorder="1" applyAlignment="1">
      <alignment horizontal="center" vertical="center"/>
    </xf>
    <xf numFmtId="0" fontId="96" fillId="16" borderId="8" xfId="15" applyFont="1" applyFill="1" applyBorder="1" applyAlignment="1">
      <alignment horizontal="center" vertical="center"/>
    </xf>
    <xf numFmtId="0" fontId="97"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76" xfId="0" applyNumberFormat="1" applyFont="1" applyFill="1" applyBorder="1" applyAlignment="1">
      <alignment horizontal="center" vertical="center"/>
    </xf>
    <xf numFmtId="166" fontId="39" fillId="10" borderId="167"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77"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3"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78" xfId="0" applyNumberFormat="1" applyFont="1" applyFill="1" applyBorder="1" applyAlignment="1">
      <alignment horizontal="center" vertical="center"/>
    </xf>
    <xf numFmtId="0" fontId="43" fillId="10" borderId="97" xfId="0" applyFont="1" applyFill="1" applyBorder="1" applyAlignment="1">
      <alignment horizontal="right" vertical="center"/>
    </xf>
    <xf numFmtId="0" fontId="43" fillId="10" borderId="176" xfId="0" applyFont="1" applyFill="1" applyBorder="1" applyAlignment="1">
      <alignment horizontal="right" vertical="center"/>
    </xf>
    <xf numFmtId="0" fontId="43" fillId="10" borderId="167" xfId="0" applyFont="1" applyFill="1" applyBorder="1" applyAlignment="1">
      <alignment horizontal="right" vertical="center"/>
    </xf>
    <xf numFmtId="0" fontId="43" fillId="10" borderId="102" xfId="0" applyFont="1" applyFill="1" applyBorder="1" applyAlignment="1">
      <alignment horizontal="right" vertical="center"/>
    </xf>
    <xf numFmtId="0" fontId="43" fillId="10" borderId="177" xfId="0" applyFont="1" applyFill="1" applyBorder="1" applyAlignment="1">
      <alignment horizontal="right" vertical="center"/>
    </xf>
    <xf numFmtId="0" fontId="43" fillId="10" borderId="137" xfId="0" applyFont="1" applyFill="1" applyBorder="1" applyAlignment="1">
      <alignment horizontal="right" vertical="center"/>
    </xf>
    <xf numFmtId="0" fontId="43"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76" xfId="0" applyFont="1" applyFill="1" applyBorder="1" applyAlignment="1">
      <alignment horizontal="center" vertical="center"/>
    </xf>
    <xf numFmtId="0" fontId="23" fillId="9" borderId="180" xfId="0" applyFont="1" applyFill="1" applyBorder="1" applyAlignment="1">
      <alignment horizontal="center" vertical="center"/>
    </xf>
    <xf numFmtId="0" fontId="23" fillId="9" borderId="181" xfId="0" applyFont="1" applyFill="1" applyBorder="1" applyAlignment="1">
      <alignment horizontal="center" vertical="center"/>
    </xf>
    <xf numFmtId="0" fontId="23" fillId="9" borderId="182" xfId="0" applyFont="1" applyFill="1" applyBorder="1" applyAlignment="1">
      <alignment horizontal="center" vertical="center"/>
    </xf>
    <xf numFmtId="0" fontId="23" fillId="9" borderId="102" xfId="0" applyFont="1" applyFill="1" applyBorder="1" applyAlignment="1">
      <alignment horizontal="center" vertical="center"/>
    </xf>
    <xf numFmtId="0" fontId="23" fillId="9" borderId="177" xfId="0" applyFont="1" applyFill="1" applyBorder="1" applyAlignment="1">
      <alignment horizontal="center" vertical="center"/>
    </xf>
    <xf numFmtId="0" fontId="23" fillId="9" borderId="183"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42" xfId="0" applyFont="1" applyFill="1" applyBorder="1" applyAlignment="1">
      <alignment horizontal="center" vertical="center"/>
    </xf>
    <xf numFmtId="0" fontId="23" fillId="9" borderId="139" xfId="0" applyFont="1" applyFill="1" applyBorder="1" applyAlignment="1">
      <alignment horizontal="center" vertical="center"/>
    </xf>
    <xf numFmtId="0" fontId="83" fillId="10" borderId="107" xfId="0" applyFont="1" applyFill="1" applyBorder="1" applyAlignment="1">
      <alignment horizontal="right" vertical="center"/>
    </xf>
    <xf numFmtId="0" fontId="78" fillId="10" borderId="140" xfId="0" applyFont="1" applyFill="1" applyBorder="1" applyAlignment="1">
      <alignment horizontal="right" vertical="center"/>
    </xf>
    <xf numFmtId="0" fontId="39" fillId="10" borderId="167" xfId="55" applyNumberFormat="1" applyFont="1" applyFill="1" applyBorder="1" applyAlignment="1">
      <alignment horizontal="right" vertical="center"/>
    </xf>
    <xf numFmtId="0" fontId="79" fillId="10" borderId="167" xfId="0" applyFont="1" applyFill="1" applyBorder="1" applyAlignment="1">
      <alignment horizontal="right" vertical="center"/>
    </xf>
    <xf numFmtId="0" fontId="31" fillId="9" borderId="167" xfId="0" applyFont="1" applyFill="1" applyBorder="1" applyAlignment="1">
      <alignment horizontal="center" vertical="center"/>
    </xf>
    <xf numFmtId="166" fontId="39" fillId="10" borderId="184" xfId="0" applyNumberFormat="1" applyFont="1" applyFill="1" applyBorder="1" applyAlignment="1">
      <alignment horizontal="center" vertical="center"/>
    </xf>
    <xf numFmtId="0" fontId="44" fillId="9" borderId="184" xfId="0" applyFont="1" applyFill="1" applyBorder="1" applyAlignment="1">
      <alignment vertical="center"/>
    </xf>
    <xf numFmtId="167" fontId="39" fillId="10" borderId="188" xfId="55" applyNumberFormat="1" applyFont="1" applyFill="1" applyBorder="1" applyAlignment="1">
      <alignment horizontal="right" vertical="center"/>
    </xf>
    <xf numFmtId="10" fontId="31" fillId="10" borderId="188" xfId="114" applyNumberFormat="1" applyFont="1" applyFill="1" applyBorder="1" applyAlignment="1">
      <alignment horizontal="right" vertical="center"/>
    </xf>
    <xf numFmtId="0" fontId="13" fillId="17" borderId="189" xfId="15" applyFont="1" applyFill="1" applyBorder="1" applyAlignment="1">
      <alignment horizontal="center" vertical="center"/>
    </xf>
    <xf numFmtId="167" fontId="39" fillId="10" borderId="190" xfId="55" applyNumberFormat="1" applyFont="1" applyFill="1" applyBorder="1" applyAlignment="1">
      <alignment horizontal="right" vertical="center"/>
    </xf>
    <xf numFmtId="10" fontId="31" fillId="10" borderId="190" xfId="114" applyNumberFormat="1" applyFont="1" applyFill="1" applyBorder="1" applyAlignment="1">
      <alignment horizontal="right" vertical="center"/>
    </xf>
    <xf numFmtId="10" fontId="95" fillId="10" borderId="188" xfId="114" applyNumberFormat="1" applyFont="1" applyFill="1" applyBorder="1" applyAlignment="1">
      <alignment horizontal="right" vertical="center"/>
    </xf>
    <xf numFmtId="10" fontId="95" fillId="10" borderId="10" xfId="114" applyNumberFormat="1" applyFont="1" applyFill="1" applyBorder="1" applyAlignment="1">
      <alignment horizontal="right" vertical="center"/>
    </xf>
    <xf numFmtId="10" fontId="95" fillId="10" borderId="190"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0"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9" fillId="9" borderId="103" xfId="0" applyFont="1" applyFill="1" applyBorder="1" applyAlignment="1">
      <alignment horizontal="center" vertical="center"/>
    </xf>
    <xf numFmtId="0" fontId="79" fillId="9" borderId="97" xfId="0" applyFont="1" applyFill="1" applyBorder="1" applyAlignment="1">
      <alignment horizontal="center" vertical="center"/>
    </xf>
    <xf numFmtId="1" fontId="87" fillId="11" borderId="152" xfId="77"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98" fillId="11" borderId="150" xfId="77" applyNumberFormat="1" applyFont="1" applyFill="1" applyBorder="1" applyAlignment="1">
      <alignment horizontal="center" vertical="center"/>
    </xf>
    <xf numFmtId="1" fontId="99" fillId="11" borderId="152" xfId="77" applyNumberFormat="1" applyFont="1" applyFill="1" applyBorder="1" applyAlignment="1">
      <alignment horizontal="center" vertical="center"/>
    </xf>
    <xf numFmtId="1" fontId="100" fillId="11" borderId="150" xfId="77" applyNumberFormat="1" applyFont="1" applyFill="1" applyBorder="1" applyAlignment="1">
      <alignment horizontal="center" vertical="center"/>
    </xf>
    <xf numFmtId="1" fontId="101" fillId="11" borderId="150" xfId="77" applyNumberFormat="1" applyFont="1" applyFill="1" applyBorder="1" applyAlignment="1">
      <alignment horizontal="center" vertical="center"/>
    </xf>
    <xf numFmtId="1" fontId="102" fillId="11" borderId="152" xfId="77" applyNumberFormat="1" applyFont="1" applyFill="1" applyBorder="1" applyAlignment="1">
      <alignment horizontal="center" vertical="center"/>
    </xf>
    <xf numFmtId="0" fontId="44" fillId="9" borderId="3" xfId="0" applyNumberFormat="1" applyFont="1" applyFill="1" applyBorder="1" applyAlignment="1">
      <alignment vertical="center"/>
    </xf>
    <xf numFmtId="0" fontId="44" fillId="9" borderId="96" xfId="0" applyNumberFormat="1" applyFont="1" applyFill="1" applyBorder="1" applyAlignment="1">
      <alignment vertical="center"/>
    </xf>
    <xf numFmtId="0" fontId="44" fillId="9" borderId="133" xfId="0" applyNumberFormat="1" applyFont="1" applyFill="1" applyBorder="1" applyAlignment="1">
      <alignment vertical="center"/>
    </xf>
    <xf numFmtId="1" fontId="88" fillId="9" borderId="192" xfId="0" applyNumberFormat="1" applyFont="1" applyFill="1" applyBorder="1" applyAlignment="1">
      <alignment horizontal="center" vertical="center"/>
    </xf>
    <xf numFmtId="3" fontId="82" fillId="7" borderId="193" xfId="0" applyNumberFormat="1" applyFont="1" applyFill="1" applyBorder="1" applyAlignment="1">
      <alignment horizontal="center" vertical="center"/>
    </xf>
    <xf numFmtId="3" fontId="82" fillId="7" borderId="194" xfId="0" applyNumberFormat="1" applyFont="1" applyFill="1" applyBorder="1" applyAlignment="1">
      <alignment horizontal="center" vertical="center"/>
    </xf>
    <xf numFmtId="3" fontId="81" fillId="7" borderId="195" xfId="0" applyNumberFormat="1" applyFont="1" applyFill="1" applyBorder="1" applyAlignment="1">
      <alignment horizontal="center" vertical="center"/>
    </xf>
    <xf numFmtId="3" fontId="81" fillId="7" borderId="196" xfId="0" applyNumberFormat="1" applyFont="1" applyFill="1" applyBorder="1" applyAlignment="1">
      <alignment horizontal="center" vertical="center"/>
    </xf>
    <xf numFmtId="1" fontId="103" fillId="11" borderId="152" xfId="77" applyNumberFormat="1" applyFont="1" applyFill="1" applyBorder="1" applyAlignment="1">
      <alignment horizontal="center" vertical="center"/>
    </xf>
    <xf numFmtId="1" fontId="103" fillId="11" borderId="150" xfId="77" applyNumberFormat="1" applyFont="1" applyFill="1" applyBorder="1" applyAlignment="1">
      <alignment horizontal="center" vertical="center"/>
    </xf>
    <xf numFmtId="0" fontId="104" fillId="9" borderId="158" xfId="55" applyNumberFormat="1" applyFont="1" applyFill="1" applyBorder="1" applyAlignment="1">
      <alignment horizontal="center" vertical="center"/>
    </xf>
    <xf numFmtId="0" fontId="104" fillId="9" borderId="153" xfId="0" applyNumberFormat="1" applyFont="1" applyFill="1" applyBorder="1" applyAlignment="1">
      <alignment horizontal="center" vertical="center"/>
    </xf>
    <xf numFmtId="0" fontId="104" fillId="9" borderId="159"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4" fillId="9" borderId="153" xfId="0" applyNumberFormat="1" applyFont="1" applyFill="1" applyBorder="1" applyAlignment="1">
      <alignment horizontal="center" vertical="center"/>
    </xf>
    <xf numFmtId="2" fontId="44" fillId="9" borderId="154" xfId="0" applyNumberFormat="1" applyFont="1" applyFill="1" applyBorder="1" applyAlignment="1">
      <alignment horizontal="center" vertical="center"/>
    </xf>
    <xf numFmtId="2" fontId="44" fillId="9" borderId="157" xfId="0" applyNumberFormat="1" applyFont="1" applyFill="1" applyBorder="1" applyAlignment="1">
      <alignment horizontal="center" vertical="center"/>
    </xf>
    <xf numFmtId="2" fontId="40" fillId="9" borderId="160" xfId="0" applyNumberFormat="1" applyFont="1" applyFill="1" applyBorder="1" applyAlignment="1">
      <alignment horizontal="center" vertical="center"/>
    </xf>
    <xf numFmtId="2" fontId="40" fillId="9" borderId="155" xfId="0" applyNumberFormat="1" applyFont="1" applyFill="1" applyBorder="1" applyAlignment="1">
      <alignment horizontal="center" vertical="center"/>
    </xf>
    <xf numFmtId="2" fontId="94" fillId="9" borderId="175" xfId="55" applyNumberFormat="1" applyFont="1" applyFill="1" applyBorder="1" applyAlignment="1">
      <alignment horizontal="center" vertical="center"/>
    </xf>
    <xf numFmtId="2" fontId="93" fillId="9" borderId="169" xfId="0" applyNumberFormat="1" applyFont="1" applyFill="1" applyBorder="1" applyAlignment="1">
      <alignment horizontal="center" vertical="center"/>
    </xf>
    <xf numFmtId="2" fontId="0" fillId="0" borderId="0" xfId="0" applyNumberFormat="1" applyAlignment="1">
      <alignment horizontal="center"/>
    </xf>
    <xf numFmtId="2" fontId="104" fillId="9" borderId="109" xfId="55" applyNumberFormat="1" applyFont="1" applyFill="1" applyBorder="1" applyAlignment="1">
      <alignment horizontal="center" vertical="center"/>
    </xf>
    <xf numFmtId="2" fontId="104" fillId="9" borderId="108" xfId="55" applyNumberFormat="1" applyFont="1" applyFill="1" applyBorder="1" applyAlignment="1">
      <alignment horizontal="center" vertical="center"/>
    </xf>
    <xf numFmtId="2" fontId="104" fillId="9" borderId="112" xfId="55" applyNumberFormat="1" applyFont="1" applyFill="1" applyBorder="1" applyAlignment="1">
      <alignment horizontal="center" vertical="center"/>
    </xf>
    <xf numFmtId="2" fontId="44" fillId="9" borderId="96" xfId="0" applyNumberFormat="1" applyFont="1" applyFill="1" applyBorder="1" applyAlignment="1">
      <alignment horizontal="center" vertical="center"/>
    </xf>
    <xf numFmtId="2" fontId="44" fillId="9" borderId="114" xfId="0" applyNumberFormat="1" applyFont="1" applyFill="1" applyBorder="1" applyAlignment="1">
      <alignment horizontal="center" vertical="center"/>
    </xf>
    <xf numFmtId="2" fontId="44" fillId="9" borderId="171" xfId="0" applyNumberFormat="1" applyFont="1" applyFill="1" applyBorder="1" applyAlignment="1">
      <alignment horizontal="center" vertical="center"/>
    </xf>
    <xf numFmtId="2" fontId="91" fillId="0" borderId="179" xfId="55" applyNumberFormat="1" applyFont="1" applyBorder="1" applyAlignment="1">
      <alignment horizontal="center" vertical="center"/>
    </xf>
    <xf numFmtId="2" fontId="3" fillId="0" borderId="131" xfId="55" applyNumberFormat="1" applyFont="1" applyBorder="1" applyAlignment="1">
      <alignment horizontal="center" vertical="center"/>
    </xf>
    <xf numFmtId="2" fontId="40" fillId="9" borderId="139" xfId="55" applyNumberFormat="1" applyFont="1" applyFill="1" applyBorder="1" applyAlignment="1">
      <alignment horizontal="center" vertical="center"/>
    </xf>
    <xf numFmtId="2" fontId="40" fillId="9" borderId="147" xfId="55" applyNumberFormat="1" applyFont="1" applyFill="1" applyBorder="1" applyAlignment="1">
      <alignment horizontal="center" vertical="center"/>
    </xf>
    <xf numFmtId="2" fontId="104" fillId="9" borderId="201" xfId="55" applyNumberFormat="1" applyFont="1" applyFill="1" applyBorder="1" applyAlignment="1">
      <alignment horizontal="center" vertical="center"/>
    </xf>
    <xf numFmtId="2" fontId="104" fillId="9" borderId="110" xfId="55" applyNumberFormat="1" applyFont="1" applyFill="1" applyBorder="1" applyAlignment="1">
      <alignment horizontal="center" vertical="center"/>
    </xf>
    <xf numFmtId="2" fontId="104" fillId="9" borderId="135" xfId="55" applyNumberFormat="1" applyFont="1" applyFill="1" applyBorder="1" applyAlignment="1">
      <alignment horizontal="center" vertical="center"/>
    </xf>
    <xf numFmtId="2" fontId="3" fillId="0" borderId="0" xfId="0" applyNumberFormat="1" applyFont="1" applyAlignment="1">
      <alignment horizontal="center" vertical="center"/>
    </xf>
    <xf numFmtId="2" fontId="31" fillId="9" borderId="112" xfId="0" applyNumberFormat="1" applyFont="1" applyFill="1" applyBorder="1" applyAlignment="1">
      <alignment horizontal="center" vertical="center"/>
    </xf>
    <xf numFmtId="164" fontId="31" fillId="9" borderId="112" xfId="0" applyNumberFormat="1" applyFont="1" applyFill="1" applyBorder="1" applyAlignment="1">
      <alignment horizontal="center" vertical="center"/>
    </xf>
    <xf numFmtId="164" fontId="31" fillId="9" borderId="110" xfId="0" applyNumberFormat="1" applyFont="1" applyFill="1" applyBorder="1" applyAlignment="1">
      <alignment horizontal="center" vertical="center"/>
    </xf>
    <xf numFmtId="164" fontId="31" fillId="9" borderId="131" xfId="0" applyNumberFormat="1" applyFont="1" applyFill="1" applyBorder="1" applyAlignment="1">
      <alignment horizontal="center" vertical="center"/>
    </xf>
    <xf numFmtId="2" fontId="31" fillId="9" borderId="110" xfId="0" applyNumberFormat="1" applyFont="1" applyFill="1" applyBorder="1" applyAlignment="1">
      <alignment horizontal="center" vertical="center"/>
    </xf>
    <xf numFmtId="2" fontId="31" fillId="9" borderId="131" xfId="0" applyNumberFormat="1" applyFont="1" applyFill="1" applyBorder="1" applyAlignment="1">
      <alignment horizontal="center" vertical="center"/>
    </xf>
    <xf numFmtId="10" fontId="106" fillId="10" borderId="109" xfId="114" applyNumberFormat="1" applyFont="1" applyFill="1" applyBorder="1" applyAlignment="1">
      <alignment horizontal="center" vertical="center"/>
    </xf>
    <xf numFmtId="10" fontId="106" fillId="10" borderId="142" xfId="114" applyNumberFormat="1" applyFont="1" applyFill="1" applyBorder="1" applyAlignment="1">
      <alignment horizontal="center" vertical="center"/>
    </xf>
    <xf numFmtId="10" fontId="106" fillId="10" borderId="110" xfId="114" applyNumberFormat="1" applyFont="1" applyFill="1" applyBorder="1" applyAlignment="1">
      <alignment horizontal="center" vertical="center"/>
    </xf>
    <xf numFmtId="10" fontId="106" fillId="10" borderId="112" xfId="114" applyNumberFormat="1" applyFont="1" applyFill="1" applyBorder="1" applyAlignment="1">
      <alignment horizontal="center" vertical="center"/>
    </xf>
    <xf numFmtId="10" fontId="106" fillId="10" borderId="131" xfId="114" applyNumberFormat="1" applyFont="1" applyFill="1" applyBorder="1" applyAlignment="1">
      <alignment horizontal="center" vertical="center"/>
    </xf>
    <xf numFmtId="0" fontId="28" fillId="4" borderId="2" xfId="31" applyFont="1" applyFill="1" applyAlignment="1">
      <alignment horizontal="center"/>
    </xf>
    <xf numFmtId="0" fontId="85" fillId="9" borderId="158" xfId="55" applyNumberFormat="1" applyFont="1" applyFill="1" applyBorder="1" applyAlignment="1">
      <alignment horizontal="center" vertical="center"/>
    </xf>
    <xf numFmtId="0" fontId="85" fillId="9" borderId="161" xfId="55" applyNumberFormat="1" applyFont="1" applyFill="1" applyBorder="1" applyAlignment="1">
      <alignment horizontal="center" vertical="center"/>
    </xf>
    <xf numFmtId="2" fontId="93" fillId="9" borderId="109" xfId="55" applyNumberFormat="1" applyFont="1" applyFill="1" applyBorder="1" applyAlignment="1">
      <alignment horizontal="center" vertical="center"/>
    </xf>
    <xf numFmtId="2" fontId="93" fillId="9" borderId="108" xfId="55" applyNumberFormat="1" applyFont="1" applyFill="1" applyBorder="1" applyAlignment="1">
      <alignment horizontal="center" vertical="center"/>
    </xf>
    <xf numFmtId="2" fontId="93" fillId="9" borderId="112" xfId="55" applyNumberFormat="1" applyFont="1" applyFill="1" applyBorder="1" applyAlignment="1">
      <alignment horizontal="center" vertical="center"/>
    </xf>
    <xf numFmtId="2" fontId="93" fillId="9" borderId="147" xfId="55" applyNumberFormat="1" applyFont="1" applyFill="1" applyBorder="1" applyAlignment="1">
      <alignment horizontal="center" vertical="center"/>
    </xf>
    <xf numFmtId="0" fontId="104" fillId="9" borderId="158" xfId="55" applyNumberFormat="1" applyFont="1" applyFill="1" applyBorder="1" applyAlignment="1">
      <alignment horizontal="left" vertical="center"/>
    </xf>
    <xf numFmtId="1" fontId="104" fillId="9" borderId="161" xfId="55" applyNumberFormat="1" applyFont="1" applyFill="1" applyBorder="1" applyAlignment="1">
      <alignment horizontal="center" vertical="center"/>
    </xf>
    <xf numFmtId="1" fontId="104" fillId="9" borderId="112" xfId="55" applyNumberFormat="1" applyFont="1" applyFill="1" applyBorder="1" applyAlignment="1">
      <alignment horizontal="center" vertical="center"/>
    </xf>
    <xf numFmtId="2" fontId="104" fillId="9" borderId="157" xfId="0" applyNumberFormat="1" applyFont="1" applyFill="1" applyBorder="1" applyAlignment="1">
      <alignment horizontal="center" vertical="center"/>
    </xf>
    <xf numFmtId="0" fontId="78" fillId="10" borderId="103" xfId="0" applyFont="1" applyFill="1" applyBorder="1" applyAlignment="1">
      <alignment horizontal="right" vertical="center"/>
    </xf>
    <xf numFmtId="0" fontId="78" fillId="10" borderId="120" xfId="0" applyFont="1" applyFill="1" applyBorder="1" applyAlignment="1">
      <alignment horizontal="right" vertical="center"/>
    </xf>
    <xf numFmtId="0" fontId="80" fillId="10" borderId="109" xfId="55" applyNumberFormat="1" applyFont="1" applyFill="1" applyBorder="1" applyAlignment="1">
      <alignment horizontal="right" vertical="center"/>
    </xf>
    <xf numFmtId="0" fontId="93" fillId="9" borderId="158" xfId="55" applyNumberFormat="1" applyFont="1" applyFill="1" applyBorder="1" applyAlignment="1">
      <alignment horizontal="right" vertical="center"/>
    </xf>
    <xf numFmtId="0" fontId="80" fillId="10" borderId="120" xfId="55" applyNumberFormat="1" applyFont="1" applyFill="1" applyBorder="1" applyAlignment="1">
      <alignment horizontal="right" vertical="center"/>
    </xf>
    <xf numFmtId="0" fontId="93" fillId="9" borderId="108" xfId="55" applyNumberFormat="1" applyFont="1" applyFill="1" applyBorder="1" applyAlignment="1">
      <alignment horizontal="right" vertical="center"/>
    </xf>
    <xf numFmtId="0" fontId="80" fillId="10" borderId="103" xfId="55" applyNumberFormat="1" applyFont="1" applyFill="1" applyBorder="1" applyAlignment="1">
      <alignment horizontal="right" vertical="center"/>
    </xf>
    <xf numFmtId="0" fontId="80" fillId="10" borderId="142" xfId="55" applyNumberFormat="1" applyFont="1" applyFill="1" applyBorder="1" applyAlignment="1">
      <alignment horizontal="right" vertical="center"/>
    </xf>
    <xf numFmtId="0" fontId="93" fillId="9" borderId="191"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7" fillId="9" borderId="191" xfId="55" applyNumberFormat="1" applyFont="1" applyFill="1" applyBorder="1" applyAlignment="1">
      <alignment horizontal="right" vertical="center"/>
    </xf>
    <xf numFmtId="0" fontId="107" fillId="9" borderId="158" xfId="55" applyNumberFormat="1" applyFont="1" applyFill="1" applyBorder="1" applyAlignment="1">
      <alignment horizontal="right" vertical="center"/>
    </xf>
    <xf numFmtId="0" fontId="31" fillId="9" borderId="191" xfId="0" applyFont="1" applyFill="1" applyBorder="1" applyAlignment="1">
      <alignment horizontal="center" vertical="center"/>
    </xf>
    <xf numFmtId="10" fontId="108" fillId="10" borderId="109" xfId="114" applyNumberFormat="1" applyFont="1" applyFill="1" applyBorder="1" applyAlignment="1">
      <alignment horizontal="center" vertical="center"/>
    </xf>
    <xf numFmtId="10" fontId="108" fillId="10" borderId="108" xfId="114" applyNumberFormat="1" applyFont="1" applyFill="1" applyBorder="1" applyAlignment="1">
      <alignment horizontal="center" vertical="center"/>
    </xf>
    <xf numFmtId="10" fontId="108" fillId="10" borderId="147" xfId="114" applyNumberFormat="1" applyFont="1" applyFill="1" applyBorder="1" applyAlignment="1">
      <alignment horizontal="center" vertical="center"/>
    </xf>
    <xf numFmtId="10" fontId="108" fillId="10" borderId="110" xfId="114" applyNumberFormat="1" applyFont="1" applyFill="1" applyBorder="1" applyAlignment="1">
      <alignment horizontal="center" vertical="center"/>
    </xf>
    <xf numFmtId="10" fontId="108" fillId="10" borderId="112" xfId="114" applyNumberFormat="1" applyFont="1" applyFill="1" applyBorder="1" applyAlignment="1">
      <alignment horizontal="center" vertical="center"/>
    </xf>
    <xf numFmtId="10" fontId="108" fillId="10" borderId="131" xfId="114" applyNumberFormat="1" applyFont="1" applyFill="1" applyBorder="1" applyAlignment="1">
      <alignment horizontal="center" vertical="center"/>
    </xf>
    <xf numFmtId="0" fontId="104" fillId="9" borderId="3" xfId="55" applyNumberFormat="1" applyFont="1" applyFill="1" applyBorder="1" applyAlignment="1">
      <alignment vertical="center"/>
    </xf>
    <xf numFmtId="0" fontId="104" fillId="9" borderId="105" xfId="55" applyNumberFormat="1" applyFont="1" applyFill="1" applyBorder="1" applyAlignment="1">
      <alignment vertical="center"/>
    </xf>
    <xf numFmtId="0" fontId="104" fillId="9" borderId="114" xfId="55" applyNumberFormat="1" applyFont="1" applyFill="1" applyBorder="1" applyAlignment="1">
      <alignment vertical="center"/>
    </xf>
    <xf numFmtId="0" fontId="104" fillId="9" borderId="146" xfId="55" applyNumberFormat="1" applyFont="1" applyFill="1" applyBorder="1" applyAlignment="1">
      <alignment vertical="center"/>
    </xf>
    <xf numFmtId="0" fontId="104" fillId="9" borderId="3" xfId="0" applyNumberFormat="1" applyFont="1" applyFill="1" applyBorder="1" applyAlignment="1">
      <alignment vertical="center"/>
    </xf>
    <xf numFmtId="0" fontId="104" fillId="9" borderId="96" xfId="0" applyNumberFormat="1" applyFont="1" applyFill="1" applyBorder="1" applyAlignment="1">
      <alignment vertical="center"/>
    </xf>
    <xf numFmtId="1" fontId="3" fillId="0" borderId="3" xfId="0" applyNumberFormat="1" applyFont="1" applyBorder="1" applyAlignment="1">
      <alignment horizontal="center" vertical="center"/>
    </xf>
    <xf numFmtId="0" fontId="109" fillId="9" borderId="158" xfId="55" applyNumberFormat="1" applyFont="1" applyFill="1" applyBorder="1" applyAlignment="1">
      <alignment horizontal="center" vertical="center"/>
    </xf>
    <xf numFmtId="0" fontId="109" fillId="9" borderId="161" xfId="55" applyNumberFormat="1" applyFont="1" applyFill="1" applyBorder="1" applyAlignment="1">
      <alignment horizontal="center" vertical="center"/>
    </xf>
    <xf numFmtId="0" fontId="109" fillId="9" borderId="102" xfId="55" applyNumberFormat="1" applyFont="1" applyFill="1" applyBorder="1" applyAlignment="1">
      <alignment vertical="top"/>
    </xf>
    <xf numFmtId="0" fontId="109" fillId="9" borderId="106" xfId="55" applyNumberFormat="1" applyFont="1" applyFill="1" applyBorder="1" applyAlignment="1">
      <alignment vertical="top"/>
    </xf>
    <xf numFmtId="0" fontId="109" fillId="9" borderId="113" xfId="55" applyNumberFormat="1" applyFont="1" applyFill="1" applyBorder="1" applyAlignment="1">
      <alignment vertical="top"/>
    </xf>
    <xf numFmtId="0" fontId="109" fillId="9" borderId="3" xfId="55" applyNumberFormat="1" applyFont="1" applyFill="1" applyBorder="1" applyAlignment="1">
      <alignment vertical="top"/>
    </xf>
    <xf numFmtId="0" fontId="109" fillId="9" borderId="105" xfId="55" applyNumberFormat="1" applyFont="1" applyFill="1" applyBorder="1" applyAlignment="1">
      <alignment vertical="top"/>
    </xf>
    <xf numFmtId="0" fontId="109" fillId="9" borderId="114" xfId="55" applyNumberFormat="1" applyFont="1" applyFill="1" applyBorder="1" applyAlignment="1">
      <alignment vertical="top"/>
    </xf>
    <xf numFmtId="2" fontId="110" fillId="9" borderId="3" xfId="0" applyNumberFormat="1" applyFont="1" applyFill="1" applyBorder="1" applyAlignment="1">
      <alignment vertical="top"/>
    </xf>
    <xf numFmtId="2" fontId="110" fillId="9" borderId="96" xfId="0" applyNumberFormat="1" applyFont="1" applyFill="1" applyBorder="1" applyAlignment="1">
      <alignment vertical="top"/>
    </xf>
    <xf numFmtId="2" fontId="110" fillId="9" borderId="114" xfId="0" applyNumberFormat="1" applyFont="1" applyFill="1" applyBorder="1" applyAlignment="1">
      <alignment vertical="top"/>
    </xf>
    <xf numFmtId="2" fontId="110" fillId="9" borderId="146" xfId="0" applyNumberFormat="1" applyFont="1" applyFill="1" applyBorder="1" applyAlignment="1">
      <alignment vertical="top"/>
    </xf>
    <xf numFmtId="2" fontId="110" fillId="9" borderId="132" xfId="0" applyNumberFormat="1" applyFont="1" applyFill="1" applyBorder="1" applyAlignment="1">
      <alignment vertical="top"/>
    </xf>
    <xf numFmtId="2" fontId="110" fillId="9" borderId="174" xfId="0" applyNumberFormat="1" applyFont="1" applyFill="1" applyBorder="1" applyAlignment="1">
      <alignment vertical="top"/>
    </xf>
    <xf numFmtId="2" fontId="110" fillId="9" borderId="143" xfId="0" applyNumberFormat="1" applyFont="1" applyFill="1" applyBorder="1" applyAlignment="1">
      <alignment vertical="top"/>
    </xf>
    <xf numFmtId="0" fontId="110" fillId="9" borderId="3" xfId="0" applyNumberFormat="1" applyFont="1" applyFill="1" applyBorder="1" applyAlignment="1">
      <alignment vertical="top"/>
    </xf>
    <xf numFmtId="0" fontId="110" fillId="9" borderId="96" xfId="0" applyNumberFormat="1" applyFont="1" applyFill="1" applyBorder="1" applyAlignment="1">
      <alignment vertical="top"/>
    </xf>
    <xf numFmtId="0" fontId="110" fillId="9" borderId="114" xfId="0" applyNumberFormat="1" applyFont="1" applyFill="1" applyBorder="1" applyAlignment="1">
      <alignment vertical="top"/>
    </xf>
    <xf numFmtId="0" fontId="110" fillId="9" borderId="132" xfId="0" applyNumberFormat="1" applyFont="1" applyFill="1" applyBorder="1" applyAlignment="1">
      <alignment vertical="top"/>
    </xf>
    <xf numFmtId="165" fontId="110" fillId="9" borderId="3" xfId="0" applyNumberFormat="1" applyFont="1" applyFill="1" applyBorder="1" applyAlignment="1">
      <alignment vertical="top"/>
    </xf>
    <xf numFmtId="0" fontId="111" fillId="0" borderId="0" xfId="0" applyFont="1" applyAlignment="1">
      <alignment vertical="top"/>
    </xf>
    <xf numFmtId="0" fontId="42" fillId="12" borderId="206" xfId="55" applyNumberFormat="1" applyFont="1" applyFill="1" applyBorder="1" applyAlignment="1">
      <alignment horizontal="center" vertical="center"/>
    </xf>
    <xf numFmtId="0" fontId="42" fillId="12" borderId="207" xfId="55" applyNumberFormat="1" applyFont="1" applyFill="1" applyBorder="1" applyAlignment="1">
      <alignment horizontal="center" vertical="center"/>
    </xf>
    <xf numFmtId="0" fontId="104" fillId="9" borderId="114" xfId="0" applyNumberFormat="1" applyFont="1" applyFill="1" applyBorder="1" applyAlignment="1">
      <alignment vertical="center"/>
    </xf>
    <xf numFmtId="1" fontId="104" fillId="9" borderId="109" xfId="55" applyNumberFormat="1" applyFont="1" applyFill="1" applyBorder="1" applyAlignment="1">
      <alignment horizontal="center" vertical="center"/>
    </xf>
    <xf numFmtId="0" fontId="38" fillId="9" borderId="187" xfId="0" applyFont="1" applyFill="1" applyBorder="1" applyAlignment="1">
      <alignment vertical="center"/>
    </xf>
    <xf numFmtId="0" fontId="38" fillId="9" borderId="110" xfId="0" applyFont="1" applyFill="1" applyBorder="1" applyAlignment="1">
      <alignment vertical="center"/>
    </xf>
    <xf numFmtId="0" fontId="104" fillId="9" borderId="158" xfId="55" applyNumberFormat="1" applyFont="1" applyFill="1" applyBorder="1" applyAlignment="1">
      <alignment horizontal="right" vertical="center"/>
    </xf>
    <xf numFmtId="0" fontId="104" fillId="9" borderId="161" xfId="55" applyNumberFormat="1" applyFont="1" applyFill="1" applyBorder="1" applyAlignment="1">
      <alignment horizontal="right" vertical="center"/>
    </xf>
    <xf numFmtId="0" fontId="26" fillId="9" borderId="167" xfId="0" applyFont="1" applyFill="1" applyBorder="1" applyAlignment="1">
      <alignment horizontal="center" vertical="center"/>
    </xf>
    <xf numFmtId="0" fontId="109" fillId="9" borderId="210" xfId="55" applyNumberFormat="1" applyFont="1" applyFill="1" applyBorder="1" applyAlignment="1">
      <alignment vertical="top"/>
    </xf>
    <xf numFmtId="2" fontId="44" fillId="9" borderId="156" xfId="0" applyNumberFormat="1" applyFont="1" applyFill="1" applyBorder="1" applyAlignment="1">
      <alignment horizontal="center" vertical="center"/>
    </xf>
    <xf numFmtId="2" fontId="44" fillId="9" borderId="3" xfId="0" applyNumberFormat="1" applyFont="1" applyFill="1" applyBorder="1" applyAlignment="1">
      <alignment horizontal="center" vertical="center"/>
    </xf>
    <xf numFmtId="0" fontId="85" fillId="9" borderId="209" xfId="55" applyNumberFormat="1" applyFont="1" applyFill="1" applyBorder="1" applyAlignment="1">
      <alignment horizontal="center" vertical="center"/>
    </xf>
    <xf numFmtId="0" fontId="109" fillId="9" borderId="209" xfId="55" applyNumberFormat="1" applyFont="1" applyFill="1" applyBorder="1" applyAlignment="1">
      <alignment horizontal="center" vertical="center"/>
    </xf>
    <xf numFmtId="1" fontId="104" fillId="9" borderId="209" xfId="55" applyNumberFormat="1" applyFont="1" applyFill="1" applyBorder="1" applyAlignment="1">
      <alignment horizontal="center" vertical="center"/>
    </xf>
    <xf numFmtId="0" fontId="104" fillId="9" borderId="209" xfId="0" applyNumberFormat="1" applyFont="1" applyFill="1" applyBorder="1" applyAlignment="1">
      <alignment horizontal="right" vertical="center"/>
    </xf>
    <xf numFmtId="0" fontId="80" fillId="10" borderId="131" xfId="55" applyNumberFormat="1" applyFont="1" applyFill="1" applyBorder="1" applyAlignment="1">
      <alignment horizontal="right" vertical="center"/>
    </xf>
    <xf numFmtId="0" fontId="78" fillId="10" borderId="131" xfId="0" applyFont="1" applyFill="1" applyBorder="1" applyAlignment="1">
      <alignment horizontal="right" vertical="center"/>
    </xf>
    <xf numFmtId="0" fontId="93" fillId="9" borderId="212" xfId="55" applyNumberFormat="1" applyFont="1" applyFill="1" applyBorder="1" applyAlignment="1">
      <alignment horizontal="right" vertical="center"/>
    </xf>
    <xf numFmtId="0" fontId="107" fillId="9" borderId="212" xfId="55" applyNumberFormat="1" applyFont="1" applyFill="1" applyBorder="1" applyAlignment="1">
      <alignment horizontal="right" vertical="center"/>
    </xf>
    <xf numFmtId="0" fontId="31" fillId="9" borderId="212" xfId="0" applyFont="1" applyFill="1" applyBorder="1" applyAlignment="1">
      <alignment horizontal="center" vertical="center"/>
    </xf>
    <xf numFmtId="10" fontId="108" fillId="10" borderId="135" xfId="114" applyNumberFormat="1" applyFont="1" applyFill="1" applyBorder="1" applyAlignment="1">
      <alignment horizontal="center" vertical="center"/>
    </xf>
    <xf numFmtId="166" fontId="39" fillId="10" borderId="137" xfId="0" applyNumberFormat="1" applyFont="1" applyFill="1" applyBorder="1" applyAlignment="1">
      <alignment horizontal="center" vertical="center"/>
    </xf>
    <xf numFmtId="0" fontId="26" fillId="9" borderId="137" xfId="0" applyFont="1" applyFill="1" applyBorder="1" applyAlignment="1">
      <alignment horizontal="center" vertical="center"/>
    </xf>
    <xf numFmtId="0" fontId="23" fillId="9" borderId="213" xfId="0" applyFont="1" applyFill="1" applyBorder="1" applyAlignment="1">
      <alignment horizontal="center" vertical="center"/>
    </xf>
    <xf numFmtId="1" fontId="23"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0" fontId="109" fillId="9" borderId="217" xfId="55" applyNumberFormat="1" applyFont="1" applyFill="1" applyBorder="1" applyAlignment="1">
      <alignment vertical="top"/>
    </xf>
    <xf numFmtId="2" fontId="104" fillId="9" borderId="211" xfId="0" applyNumberFormat="1" applyFont="1" applyFill="1" applyBorder="1" applyAlignment="1">
      <alignment horizontal="center" vertical="center"/>
    </xf>
    <xf numFmtId="2" fontId="93" fillId="9" borderId="135" xfId="55" applyNumberFormat="1" applyFont="1" applyFill="1" applyBorder="1" applyAlignment="1">
      <alignment horizontal="center" vertical="center"/>
    </xf>
    <xf numFmtId="0" fontId="109" fillId="9" borderId="133" xfId="55" applyNumberFormat="1" applyFont="1" applyFill="1" applyBorder="1" applyAlignment="1">
      <alignment vertical="top"/>
    </xf>
    <xf numFmtId="0" fontId="104" fillId="9" borderId="216" xfId="0" applyNumberFormat="1" applyFont="1" applyFill="1" applyBorder="1" applyAlignment="1">
      <alignment vertical="center"/>
    </xf>
    <xf numFmtId="0" fontId="112" fillId="10" borderId="113" xfId="0" applyFont="1" applyFill="1" applyBorder="1" applyAlignment="1">
      <alignment horizontal="right" vertical="center"/>
    </xf>
    <xf numFmtId="0" fontId="92" fillId="9" borderId="158" xfId="55" applyNumberFormat="1" applyFont="1" applyFill="1" applyBorder="1" applyAlignment="1">
      <alignment horizontal="left" vertical="center"/>
    </xf>
    <xf numFmtId="0" fontId="92" fillId="9" borderId="161" xfId="55" applyNumberFormat="1" applyFont="1" applyFill="1" applyBorder="1" applyAlignment="1">
      <alignment horizontal="right" vertical="center"/>
    </xf>
    <xf numFmtId="0" fontId="33" fillId="9" borderId="158" xfId="55" applyNumberFormat="1" applyFont="1" applyFill="1" applyBorder="1" applyAlignment="1">
      <alignment horizontal="left" vertical="center"/>
    </xf>
    <xf numFmtId="0" fontId="40" fillId="9" borderId="158" xfId="55" applyNumberFormat="1" applyFont="1" applyFill="1" applyBorder="1" applyAlignment="1">
      <alignment horizontal="right" vertical="center"/>
    </xf>
    <xf numFmtId="0" fontId="89" fillId="10" borderId="109" xfId="0" applyFont="1" applyFill="1" applyBorder="1" applyAlignment="1">
      <alignment horizontal="right" vertical="center"/>
    </xf>
    <xf numFmtId="0" fontId="89" fillId="10" borderId="120" xfId="0" applyFont="1" applyFill="1" applyBorder="1" applyAlignment="1">
      <alignment horizontal="right" vertical="center"/>
    </xf>
    <xf numFmtId="0" fontId="40" fillId="9" borderId="108" xfId="55" applyNumberFormat="1" applyFont="1" applyFill="1" applyBorder="1" applyAlignment="1">
      <alignment horizontal="right" vertical="center"/>
    </xf>
    <xf numFmtId="0" fontId="89" fillId="10" borderId="103" xfId="0" applyFont="1" applyFill="1" applyBorder="1" applyAlignment="1">
      <alignment horizontal="right" vertical="center"/>
    </xf>
    <xf numFmtId="0" fontId="113" fillId="9" borderId="158" xfId="55" applyNumberFormat="1" applyFont="1" applyFill="1" applyBorder="1" applyAlignment="1">
      <alignment horizontal="left" vertical="center"/>
    </xf>
    <xf numFmtId="0" fontId="113" fillId="9" borderId="161" xfId="55" applyNumberFormat="1" applyFont="1" applyFill="1" applyBorder="1" applyAlignment="1">
      <alignment horizontal="right" vertical="center"/>
    </xf>
    <xf numFmtId="1" fontId="113" fillId="9" borderId="158" xfId="55" applyNumberFormat="1" applyFont="1" applyFill="1" applyBorder="1" applyAlignment="1">
      <alignment horizontal="center" vertical="center"/>
    </xf>
    <xf numFmtId="1" fontId="113" fillId="9" borderId="153" xfId="0" applyNumberFormat="1" applyFont="1" applyFill="1" applyBorder="1" applyAlignment="1">
      <alignment horizontal="center" vertical="center"/>
    </xf>
    <xf numFmtId="1" fontId="113" fillId="9" borderId="159" xfId="0" applyNumberFormat="1" applyFont="1" applyFill="1" applyBorder="1" applyAlignment="1">
      <alignment horizontal="center" vertical="center"/>
    </xf>
    <xf numFmtId="2" fontId="33" fillId="9" borderId="159" xfId="0" applyNumberFormat="1" applyFont="1" applyFill="1" applyBorder="1" applyAlignment="1">
      <alignment horizontal="center" vertical="center"/>
    </xf>
    <xf numFmtId="2" fontId="92" fillId="9" borderId="158" xfId="55" applyNumberFormat="1" applyFont="1" applyFill="1" applyBorder="1" applyAlignment="1">
      <alignment horizontal="center" vertical="center"/>
    </xf>
    <xf numFmtId="2" fontId="92" fillId="9" borderId="153" xfId="0" applyNumberFormat="1" applyFont="1" applyFill="1" applyBorder="1" applyAlignment="1">
      <alignment horizontal="center" vertical="center"/>
    </xf>
    <xf numFmtId="0" fontId="113" fillId="9" borderId="157" xfId="0" applyNumberFormat="1" applyFont="1" applyFill="1" applyBorder="1" applyAlignment="1">
      <alignment horizontal="right" vertical="center"/>
    </xf>
    <xf numFmtId="0" fontId="89" fillId="10" borderId="142" xfId="0" applyFont="1" applyFill="1" applyBorder="1" applyAlignment="1">
      <alignment horizontal="right" vertical="center"/>
    </xf>
    <xf numFmtId="0" fontId="40" fillId="9" borderId="147" xfId="55" applyNumberFormat="1" applyFont="1" applyFill="1" applyBorder="1" applyAlignment="1">
      <alignment horizontal="right" vertical="center"/>
    </xf>
    <xf numFmtId="0" fontId="107" fillId="9" borderId="147" xfId="55" applyNumberFormat="1" applyFont="1" applyFill="1" applyBorder="1" applyAlignment="1">
      <alignment horizontal="right" vertical="center"/>
    </xf>
    <xf numFmtId="0" fontId="23" fillId="9" borderId="167" xfId="0" applyFont="1" applyFill="1" applyBorder="1" applyAlignment="1">
      <alignment horizontal="center" vertical="center"/>
    </xf>
    <xf numFmtId="1" fontId="23" fillId="9" borderId="220" xfId="0" applyNumberFormat="1" applyFont="1" applyFill="1" applyBorder="1" applyAlignment="1">
      <alignment horizontal="center" vertical="center"/>
    </xf>
    <xf numFmtId="1" fontId="25" fillId="9" borderId="221" xfId="0" applyNumberFormat="1" applyFont="1" applyFill="1" applyBorder="1" applyAlignment="1">
      <alignment horizontal="center" vertical="center"/>
    </xf>
    <xf numFmtId="0" fontId="109" fillId="9" borderId="146" xfId="55" applyNumberFormat="1" applyFont="1" applyFill="1" applyBorder="1" applyAlignment="1">
      <alignment vertical="top"/>
    </xf>
    <xf numFmtId="1" fontId="113" fillId="9" borderId="157" xfId="0" applyNumberFormat="1" applyFont="1" applyFill="1" applyBorder="1" applyAlignment="1">
      <alignment horizontal="center" vertical="center"/>
    </xf>
    <xf numFmtId="0" fontId="33" fillId="9" borderId="157" xfId="0" applyNumberFormat="1" applyFont="1" applyFill="1" applyBorder="1" applyAlignment="1">
      <alignment horizontal="right" vertical="center"/>
    </xf>
    <xf numFmtId="0" fontId="93" fillId="9" borderId="147" xfId="55" applyNumberFormat="1" applyFont="1" applyFill="1" applyBorder="1" applyAlignment="1">
      <alignment horizontal="right" vertical="center"/>
    </xf>
    <xf numFmtId="0" fontId="104" fillId="9" borderId="222" xfId="55" applyNumberFormat="1" applyFont="1" applyFill="1" applyBorder="1" applyAlignment="1">
      <alignment vertical="center"/>
    </xf>
    <xf numFmtId="0" fontId="109" fillId="9" borderId="220" xfId="55" applyNumberFormat="1" applyFont="1" applyFill="1" applyBorder="1" applyAlignment="1">
      <alignment vertical="top"/>
    </xf>
    <xf numFmtId="2" fontId="33" fillId="9" borderId="209" xfId="0" applyNumberFormat="1" applyFont="1" applyFill="1" applyBorder="1" applyAlignment="1">
      <alignment horizontal="center" vertical="center"/>
    </xf>
    <xf numFmtId="2" fontId="104" fillId="9" borderId="158" xfId="55" applyNumberFormat="1" applyFont="1" applyFill="1" applyBorder="1" applyAlignment="1">
      <alignment horizontal="right" vertical="center"/>
    </xf>
    <xf numFmtId="2" fontId="104" fillId="9" borderId="219" xfId="0" applyNumberFormat="1" applyFont="1" applyFill="1" applyBorder="1" applyAlignment="1">
      <alignment horizontal="left" vertical="center"/>
    </xf>
    <xf numFmtId="0" fontId="23" fillId="9" borderId="137" xfId="0" applyFont="1" applyFill="1" applyBorder="1" applyAlignment="1">
      <alignment horizontal="center" vertical="center"/>
    </xf>
    <xf numFmtId="1" fontId="23" fillId="9" borderId="217" xfId="0" applyNumberFormat="1" applyFont="1" applyFill="1" applyBorder="1" applyAlignment="1">
      <alignment horizontal="center" vertical="center"/>
    </xf>
    <xf numFmtId="1" fontId="25" fillId="9" borderId="223" xfId="0" applyNumberFormat="1" applyFont="1" applyFill="1" applyBorder="1" applyAlignment="1">
      <alignment horizontal="center" vertical="center"/>
    </xf>
    <xf numFmtId="2" fontId="104" fillId="9" borderId="161" xfId="55" applyNumberFormat="1" applyFont="1" applyFill="1" applyBorder="1" applyAlignment="1">
      <alignment horizontal="right" vertical="center"/>
    </xf>
    <xf numFmtId="2" fontId="104" fillId="9" borderId="211" xfId="0" applyNumberFormat="1" applyFont="1" applyFill="1" applyBorder="1" applyAlignment="1">
      <alignment horizontal="left" vertical="center"/>
    </xf>
    <xf numFmtId="2" fontId="33" fillId="9" borderId="204" xfId="55" applyNumberFormat="1" applyFont="1" applyFill="1" applyBorder="1" applyAlignment="1">
      <alignment horizontal="center" vertical="center"/>
    </xf>
    <xf numFmtId="2" fontId="33" fillId="9" borderId="203" xfId="55" applyNumberFormat="1" applyFont="1" applyFill="1" applyBorder="1" applyAlignment="1">
      <alignment horizontal="center" vertical="center"/>
    </xf>
    <xf numFmtId="2" fontId="92" fillId="9" borderId="204" xfId="55" applyNumberFormat="1" applyFont="1" applyFill="1" applyBorder="1" applyAlignment="1">
      <alignment horizontal="center" vertical="center"/>
    </xf>
    <xf numFmtId="2" fontId="92" fillId="9" borderId="205" xfId="55" applyNumberFormat="1" applyFont="1" applyFill="1" applyBorder="1" applyAlignment="1">
      <alignment horizontal="center" vertical="center"/>
    </xf>
    <xf numFmtId="2" fontId="105" fillId="9" borderId="202" xfId="55" applyNumberFormat="1" applyFont="1" applyFill="1" applyBorder="1" applyAlignment="1">
      <alignment horizontal="center" vertical="center"/>
    </xf>
    <xf numFmtId="2" fontId="105" fillId="9" borderId="203" xfId="55" applyNumberFormat="1" applyFont="1" applyFill="1" applyBorder="1" applyAlignment="1">
      <alignment horizontal="center" vertical="center"/>
    </xf>
    <xf numFmtId="0" fontId="38" fillId="9" borderId="185" xfId="0" applyFont="1" applyFill="1" applyBorder="1" applyAlignment="1">
      <alignment horizontal="center" vertical="center"/>
    </xf>
    <xf numFmtId="0" fontId="38" fillId="9" borderId="131" xfId="0" applyFont="1" applyFill="1" applyBorder="1" applyAlignment="1">
      <alignment horizontal="center" vertical="center"/>
    </xf>
    <xf numFmtId="2" fontId="93" fillId="9" borderId="199" xfId="0" applyNumberFormat="1" applyFont="1" applyFill="1" applyBorder="1" applyAlignment="1">
      <alignment horizontal="center" vertical="center"/>
    </xf>
    <xf numFmtId="2" fontId="93" fillId="9" borderId="200" xfId="0" applyNumberFormat="1" applyFont="1" applyFill="1" applyBorder="1" applyAlignment="1">
      <alignment horizontal="center" vertical="center"/>
    </xf>
    <xf numFmtId="2" fontId="93" fillId="9" borderId="197" xfId="0" applyNumberFormat="1" applyFont="1" applyFill="1" applyBorder="1" applyAlignment="1">
      <alignment horizontal="center" vertical="center"/>
    </xf>
    <xf numFmtId="2" fontId="93" fillId="9" borderId="198" xfId="0" applyNumberFormat="1" applyFont="1" applyFill="1" applyBorder="1" applyAlignment="1">
      <alignment horizontal="center" vertical="center"/>
    </xf>
    <xf numFmtId="2" fontId="93" fillId="9" borderId="218" xfId="0" applyNumberFormat="1" applyFont="1" applyFill="1" applyBorder="1" applyAlignment="1">
      <alignment horizontal="center" vertical="center"/>
    </xf>
    <xf numFmtId="0" fontId="13" fillId="9" borderId="186" xfId="0" applyFont="1" applyFill="1" applyBorder="1" applyAlignment="1">
      <alignment horizontal="center" vertical="center"/>
    </xf>
    <xf numFmtId="0" fontId="13" fillId="9" borderId="142" xfId="0" applyFont="1" applyFill="1" applyBorder="1" applyAlignment="1">
      <alignment horizontal="center" vertical="center"/>
    </xf>
    <xf numFmtId="0" fontId="48"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6" fillId="35" borderId="71" xfId="0" applyFont="1" applyFill="1" applyBorder="1" applyAlignment="1">
      <alignment horizontal="center" vertical="center"/>
    </xf>
    <xf numFmtId="0" fontId="16" fillId="0" borderId="60" xfId="0" applyFont="1" applyBorder="1"/>
    <xf numFmtId="0" fontId="16" fillId="0" borderId="61" xfId="0" applyFont="1" applyBorder="1"/>
    <xf numFmtId="0" fontId="66" fillId="40" borderId="71" xfId="0" applyFont="1" applyFill="1" applyBorder="1" applyAlignment="1">
      <alignment horizontal="center" vertical="center"/>
    </xf>
    <xf numFmtId="0" fontId="51" fillId="40" borderId="71" xfId="0" applyFont="1" applyFill="1" applyBorder="1" applyAlignment="1">
      <alignment horizontal="center" vertical="center"/>
    </xf>
    <xf numFmtId="0" fontId="48" fillId="40" borderId="71" xfId="0" applyFont="1" applyFill="1" applyBorder="1" applyAlignment="1">
      <alignment horizontal="center" vertical="center"/>
    </xf>
    <xf numFmtId="0" fontId="61" fillId="36" borderId="73" xfId="0" applyFont="1" applyFill="1" applyBorder="1" applyAlignment="1">
      <alignment horizontal="center" vertical="center"/>
    </xf>
    <xf numFmtId="0" fontId="61" fillId="36" borderId="11" xfId="0" applyFont="1" applyFill="1" applyBorder="1" applyAlignment="1">
      <alignment horizontal="center" vertical="center"/>
    </xf>
    <xf numFmtId="0" fontId="61" fillId="36" borderId="94" xfId="0" applyFont="1" applyFill="1" applyBorder="1" applyAlignment="1">
      <alignment horizontal="center" vertical="center"/>
    </xf>
    <xf numFmtId="0" fontId="61" fillId="36" borderId="9" xfId="0" applyFont="1" applyFill="1" applyBorder="1" applyAlignment="1">
      <alignment horizontal="center" vertical="center"/>
    </xf>
    <xf numFmtId="0" fontId="61" fillId="36" borderId="3" xfId="0" applyFont="1" applyFill="1" applyBorder="1" applyAlignment="1">
      <alignment horizontal="center" vertical="center"/>
    </xf>
    <xf numFmtId="0" fontId="61" fillId="36" borderId="95" xfId="0" applyFont="1" applyFill="1" applyBorder="1" applyAlignment="1">
      <alignment horizontal="center" vertical="center"/>
    </xf>
    <xf numFmtId="1" fontId="61" fillId="33" borderId="11" xfId="0" applyNumberFormat="1" applyFont="1" applyFill="1" applyBorder="1" applyAlignment="1">
      <alignment horizontal="center" vertical="center"/>
    </xf>
    <xf numFmtId="1" fontId="61" fillId="33" borderId="74" xfId="0" applyNumberFormat="1" applyFont="1" applyFill="1" applyBorder="1" applyAlignment="1">
      <alignment horizontal="center" vertical="center"/>
    </xf>
    <xf numFmtId="1" fontId="61" fillId="33" borderId="3" xfId="0" applyNumberFormat="1" applyFont="1" applyFill="1" applyBorder="1" applyAlignment="1">
      <alignment horizontal="center" vertical="center"/>
    </xf>
    <xf numFmtId="1" fontId="61" fillId="33" borderId="12" xfId="0" applyNumberFormat="1" applyFont="1" applyFill="1" applyBorder="1" applyAlignment="1">
      <alignment horizontal="center" vertical="center"/>
    </xf>
    <xf numFmtId="0" fontId="66" fillId="36" borderId="71" xfId="0" applyFont="1" applyFill="1" applyBorder="1" applyAlignment="1">
      <alignment horizontal="center" vertical="center"/>
    </xf>
    <xf numFmtId="0" fontId="48"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6" fillId="24" borderId="71" xfId="0" applyFont="1" applyFill="1" applyBorder="1" applyAlignment="1">
      <alignment horizontal="center" vertical="center"/>
    </xf>
    <xf numFmtId="0" fontId="48" fillId="36" borderId="59" xfId="0" applyFont="1" applyFill="1" applyBorder="1" applyAlignment="1">
      <alignment horizontal="center" vertical="center"/>
    </xf>
    <xf numFmtId="164" fontId="56" fillId="20" borderId="13" xfId="0" applyNumberFormat="1" applyFont="1" applyFill="1" applyBorder="1" applyAlignment="1">
      <alignment horizontal="center" vertical="center"/>
    </xf>
    <xf numFmtId="0" fontId="56" fillId="20" borderId="21" xfId="0" applyFont="1" applyFill="1" applyBorder="1" applyAlignment="1">
      <alignment horizontal="center" vertical="center"/>
    </xf>
    <xf numFmtId="0" fontId="48" fillId="40" borderId="59" xfId="0" applyFont="1" applyFill="1" applyBorder="1" applyAlignment="1">
      <alignment horizontal="center" vertical="center"/>
    </xf>
    <xf numFmtId="0" fontId="61" fillId="24" borderId="59" xfId="0" applyFont="1" applyFill="1" applyBorder="1" applyAlignment="1">
      <alignment horizontal="center" vertical="center"/>
    </xf>
    <xf numFmtId="0" fontId="61" fillId="35" borderId="71" xfId="0" applyFont="1" applyFill="1" applyBorder="1" applyAlignment="1">
      <alignment horizontal="center" vertical="center"/>
    </xf>
    <xf numFmtId="2" fontId="115" fillId="9" borderId="109" xfId="55" applyNumberFormat="1" applyFont="1" applyFill="1" applyBorder="1" applyAlignment="1">
      <alignment horizontal="center" vertical="center"/>
    </xf>
    <xf numFmtId="2" fontId="115" fillId="9" borderId="108" xfId="55" applyNumberFormat="1" applyFont="1" applyFill="1" applyBorder="1" applyAlignment="1">
      <alignment horizontal="center" vertical="center"/>
    </xf>
    <xf numFmtId="2" fontId="115" fillId="9" borderId="147" xfId="55" applyNumberFormat="1" applyFont="1" applyFill="1" applyBorder="1" applyAlignment="1">
      <alignment horizontal="center" vertical="center"/>
    </xf>
    <xf numFmtId="164" fontId="116" fillId="9" borderId="109" xfId="55" applyNumberFormat="1" applyFont="1" applyFill="1" applyBorder="1" applyAlignment="1">
      <alignment horizontal="center" vertical="center"/>
    </xf>
    <xf numFmtId="164" fontId="116" fillId="9" borderId="108" xfId="55" applyNumberFormat="1" applyFont="1" applyFill="1" applyBorder="1" applyAlignment="1">
      <alignment horizontal="center" vertical="center"/>
    </xf>
    <xf numFmtId="164" fontId="114" fillId="9" borderId="109" xfId="55" applyNumberFormat="1" applyFont="1" applyFill="1" applyBorder="1" applyAlignment="1">
      <alignment horizontal="center" vertical="center"/>
    </xf>
    <xf numFmtId="164" fontId="114" fillId="9" borderId="147" xfId="55" applyNumberFormat="1" applyFont="1" applyFill="1" applyBorder="1" applyAlignment="1">
      <alignment horizontal="center" vertical="center"/>
    </xf>
    <xf numFmtId="165" fontId="116" fillId="9" borderId="109" xfId="55" applyNumberFormat="1" applyFont="1" applyFill="1" applyBorder="1" applyAlignment="1">
      <alignment horizontal="center" vertical="center"/>
    </xf>
    <xf numFmtId="165" fontId="116" fillId="9" borderId="108" xfId="55" applyNumberFormat="1" applyFont="1" applyFill="1" applyBorder="1" applyAlignment="1">
      <alignment horizontal="center" vertical="center"/>
    </xf>
    <xf numFmtId="165" fontId="114" fillId="9" borderId="109" xfId="55" applyNumberFormat="1" applyFont="1" applyFill="1" applyBorder="1" applyAlignment="1">
      <alignment horizontal="center" vertical="center"/>
    </xf>
    <xf numFmtId="165" fontId="114" fillId="9" borderId="147" xfId="55" applyNumberFormat="1" applyFont="1" applyFill="1" applyBorder="1" applyAlignment="1">
      <alignment horizontal="center" vertical="center"/>
    </xf>
    <xf numFmtId="2" fontId="114" fillId="9" borderId="109" xfId="55" applyNumberFormat="1" applyFont="1" applyFill="1" applyBorder="1" applyAlignment="1">
      <alignment horizontal="center" vertical="center"/>
    </xf>
    <xf numFmtId="2" fontId="114" fillId="9" borderId="108" xfId="55" applyNumberFormat="1" applyFont="1" applyFill="1" applyBorder="1" applyAlignment="1">
      <alignment horizontal="center" vertical="center"/>
    </xf>
    <xf numFmtId="2" fontId="116" fillId="9" borderId="112" xfId="55" applyNumberFormat="1" applyFont="1" applyFill="1" applyBorder="1" applyAlignment="1">
      <alignment horizontal="center" vertical="center"/>
    </xf>
    <xf numFmtId="2" fontId="116" fillId="9" borderId="147" xfId="55" applyNumberFormat="1" applyFont="1" applyFill="1" applyBorder="1" applyAlignment="1">
      <alignment horizontal="center" vertical="center"/>
    </xf>
    <xf numFmtId="0" fontId="89" fillId="12" borderId="208" xfId="55" applyNumberFormat="1" applyFont="1" applyFill="1" applyBorder="1" applyAlignment="1">
      <alignment horizontal="center" vertical="center"/>
    </xf>
    <xf numFmtId="0" fontId="89" fillId="12" borderId="206" xfId="55" applyNumberFormat="1" applyFont="1" applyFill="1" applyBorder="1" applyAlignment="1">
      <alignment horizontal="center" vertical="center"/>
    </xf>
    <xf numFmtId="164" fontId="104" fillId="9" borderId="209" xfId="0" applyNumberFormat="1" applyFont="1" applyFill="1" applyBorder="1" applyAlignment="1">
      <alignment horizontal="left" vertical="center"/>
    </xf>
    <xf numFmtId="164" fontId="104" fillId="9" borderId="161" xfId="55" applyNumberFormat="1" applyFont="1" applyFill="1" applyBorder="1" applyAlignment="1">
      <alignment horizontal="right"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1136">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1"/>
  <sheetViews>
    <sheetView tabSelected="1" zoomScale="80" zoomScaleNormal="80" workbookViewId="0">
      <pane ySplit="1" topLeftCell="A2" activePane="bottomLeft" state="frozen"/>
      <selection pane="bottomLeft" activeCell="D16" sqref="D16"/>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customWidth="1"/>
    <col min="9" max="10" width="6" style="12" customWidth="1"/>
    <col min="11" max="11" width="5.85546875" style="12" hidden="1" customWidth="1"/>
    <col min="12" max="12" width="11.28515625" style="12" hidden="1" customWidth="1"/>
    <col min="13" max="13" width="9.5703125" style="12" customWidth="1"/>
    <col min="14" max="14" width="5.85546875" style="12" hidden="1"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8" customWidth="1"/>
    <col min="24" max="24" width="6" style="616" customWidth="1"/>
    <col min="25" max="25" width="8.7109375" style="533" bestFit="1" customWidth="1"/>
    <col min="26" max="26" width="11.28515625" style="547" bestFit="1" customWidth="1"/>
    <col min="27" max="27" width="9.1406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95" t="s">
        <v>305</v>
      </c>
      <c r="M1" s="287" t="s">
        <v>131</v>
      </c>
      <c r="N1" s="288" t="s">
        <v>132</v>
      </c>
      <c r="O1" s="289" t="s">
        <v>133</v>
      </c>
      <c r="P1" s="290"/>
      <c r="Q1" s="518">
        <v>1</v>
      </c>
      <c r="R1" s="519">
        <v>2</v>
      </c>
      <c r="S1" s="516">
        <v>3</v>
      </c>
      <c r="T1" s="517">
        <v>4</v>
      </c>
      <c r="U1" s="502">
        <v>0</v>
      </c>
      <c r="V1" s="425">
        <v>0</v>
      </c>
      <c r="W1" s="275">
        <v>10</v>
      </c>
      <c r="X1" s="276">
        <f>W1</f>
        <v>10</v>
      </c>
      <c r="Y1" s="595">
        <v>20800</v>
      </c>
      <c r="Z1" s="525">
        <f>Y1*($AE$1*$AD$1)</f>
        <v>90.722191780821916</v>
      </c>
      <c r="AA1" s="38">
        <f>AD1</f>
        <v>2</v>
      </c>
      <c r="AB1" s="374">
        <v>525.94000000000005</v>
      </c>
      <c r="AC1" s="277" t="s">
        <v>312</v>
      </c>
      <c r="AD1" s="54">
        <f>IF(AJ3&lt;&gt;0,2,IF(AJ4&lt;&gt;0,4,IF(AJ5&lt;&gt;0,5,IF(AJ6&lt;&gt;0,6,IF(AJ7&lt;&gt;0,7,IF(AJ8&lt;&gt;0,8,30))))))</f>
        <v>2</v>
      </c>
      <c r="AE1" s="53">
        <f>IF(AJ3&lt;&gt;0,AJ3/365,IF(AJ4&lt;&gt;0,AJ5/365,IF(AJ5&lt;&gt;0,AJ6/365,IF(AJ6&lt;&gt;0,AJ7/365,IF(AJ7&lt;&gt;0,AJ8/365,IF(AJ8&lt;&gt;0,AJ9/365,110/365))))))</f>
        <v>2.1808219178082191E-3</v>
      </c>
      <c r="AF1" s="452" t="s">
        <v>315</v>
      </c>
      <c r="AG1" s="452" t="s">
        <v>316</v>
      </c>
      <c r="AH1" s="452" t="s">
        <v>317</v>
      </c>
      <c r="AI1" s="452" t="s">
        <v>318</v>
      </c>
      <c r="AJ1" s="453" t="s">
        <v>313</v>
      </c>
      <c r="AK1" s="451" t="s">
        <v>314</v>
      </c>
    </row>
    <row r="2" spans="1:38" ht="12.75" customHeight="1">
      <c r="A2" s="650" t="s">
        <v>599</v>
      </c>
      <c r="B2" s="581">
        <v>961</v>
      </c>
      <c r="C2" s="573">
        <f t="shared" ref="C2:C29" si="0">VLOOKUP($A2,$A$42:$N$157,3,0)</f>
        <v>35.9</v>
      </c>
      <c r="D2" s="375">
        <f t="shared" ref="D2:D29" si="1">VLOOKUP($A2,$A$42:$N$157,4,0)</f>
        <v>36.79</v>
      </c>
      <c r="E2" s="572">
        <f t="shared" ref="E2:E29" si="2">VLOOKUP($A2,$A$42:$N$157,5,0)</f>
        <v>600</v>
      </c>
      <c r="F2" s="449">
        <f t="shared" ref="F2:F29" si="3">VLOOKUP($A2,$A$42:$N$157,6,0)</f>
        <v>35.9</v>
      </c>
      <c r="G2" s="583">
        <f t="shared" ref="G2:G29" si="4">VLOOKUP($A2,$A$42:$N$157,7,0)</f>
        <v>2.7000000000000001E-3</v>
      </c>
      <c r="H2" s="333">
        <f t="shared" ref="H2:H29" si="5">VLOOKUP($A2,$A$42:$N$157,8,0)</f>
        <v>35.5</v>
      </c>
      <c r="I2" s="325">
        <f t="shared" ref="I2:I29" si="6">VLOOKUP($A2,$A$42:$N$157,9,0)</f>
        <v>37</v>
      </c>
      <c r="J2" s="469">
        <f t="shared" ref="J2:J29" si="7">VLOOKUP($A2,$A$42:$N$157,10,0)</f>
        <v>35.5</v>
      </c>
      <c r="K2" s="329">
        <f t="shared" ref="K2:K29" si="8">VLOOKUP($A2,$A$42:$N$157,11,0)</f>
        <v>35.799999999999997</v>
      </c>
      <c r="L2" s="377">
        <f t="shared" ref="L2:L29" si="9">VLOOKUP($A2,$A$42:$N$157,12,0)</f>
        <v>99819</v>
      </c>
      <c r="M2" s="329">
        <f t="shared" ref="M2:M29" si="10">VLOOKUP($A2,$A$42:$N$157,13,0)</f>
        <v>278399</v>
      </c>
      <c r="N2" s="377">
        <f t="shared" ref="N2:N29" si="11">VLOOKUP($A2,$A$42:$N$157,14,0)</f>
        <v>327</v>
      </c>
      <c r="O2" s="457">
        <f t="shared" ref="O2:O29" si="12">VLOOKUP($A2,$A$42:$O$157,15,0)</f>
        <v>45294.6877662037</v>
      </c>
      <c r="P2" s="474">
        <v>1</v>
      </c>
      <c r="Q2" s="478">
        <v>0</v>
      </c>
      <c r="R2" s="515">
        <v>0</v>
      </c>
      <c r="S2" s="443">
        <v>0</v>
      </c>
      <c r="T2" s="381">
        <v>0</v>
      </c>
      <c r="U2" s="421">
        <v>0</v>
      </c>
      <c r="V2" s="520">
        <v>0</v>
      </c>
      <c r="W2" s="589">
        <v>0</v>
      </c>
      <c r="X2" s="598">
        <v>0</v>
      </c>
      <c r="Y2" s="664">
        <v>1004.7353760445683</v>
      </c>
      <c r="Z2" s="732" t="s">
        <v>597</v>
      </c>
      <c r="AA2" s="735" t="s">
        <v>598</v>
      </c>
      <c r="AD2" s="493" t="s">
        <v>319</v>
      </c>
      <c r="AE2" s="499">
        <v>45295</v>
      </c>
      <c r="AF2" s="491">
        <v>658010947.94000006</v>
      </c>
      <c r="AG2" s="492">
        <v>0.80010000000000003</v>
      </c>
      <c r="AH2" s="492">
        <v>0.84279999999999999</v>
      </c>
      <c r="AI2" s="491">
        <v>1978207.93</v>
      </c>
      <c r="AJ2" s="496">
        <v>0.80010000000000003</v>
      </c>
      <c r="AK2" s="491"/>
    </row>
    <row r="3" spans="1:38" ht="12.75" customHeight="1">
      <c r="A3" s="651" t="s">
        <v>221</v>
      </c>
      <c r="B3" s="574">
        <v>964</v>
      </c>
      <c r="C3" s="571">
        <f t="shared" si="0"/>
        <v>36</v>
      </c>
      <c r="D3" s="575">
        <f t="shared" si="1"/>
        <v>36.299999999999997</v>
      </c>
      <c r="E3" s="579">
        <f t="shared" si="2"/>
        <v>17350</v>
      </c>
      <c r="F3" s="341">
        <f t="shared" si="3"/>
        <v>36</v>
      </c>
      <c r="G3" s="584">
        <f t="shared" si="4"/>
        <v>-1.3600000000000001E-2</v>
      </c>
      <c r="H3" s="352">
        <f t="shared" si="5"/>
        <v>36.5</v>
      </c>
      <c r="I3" s="353">
        <f t="shared" si="6"/>
        <v>37.04</v>
      </c>
      <c r="J3" s="470">
        <f t="shared" si="7"/>
        <v>35.5</v>
      </c>
      <c r="K3" s="354">
        <f t="shared" si="8"/>
        <v>36.5</v>
      </c>
      <c r="L3" s="401">
        <f t="shared" si="9"/>
        <v>321798</v>
      </c>
      <c r="M3" s="354">
        <f t="shared" si="10"/>
        <v>895078</v>
      </c>
      <c r="N3" s="401">
        <f t="shared" si="11"/>
        <v>255</v>
      </c>
      <c r="O3" s="458">
        <f t="shared" si="12"/>
        <v>45294.708541666667</v>
      </c>
      <c r="P3" s="473">
        <v>2</v>
      </c>
      <c r="Q3" s="479">
        <v>0</v>
      </c>
      <c r="R3" s="434">
        <v>0</v>
      </c>
      <c r="S3" s="444">
        <v>0</v>
      </c>
      <c r="T3" s="355">
        <v>0</v>
      </c>
      <c r="U3" s="747">
        <v>0</v>
      </c>
      <c r="V3" s="521">
        <v>0</v>
      </c>
      <c r="W3" s="590">
        <v>0</v>
      </c>
      <c r="X3" s="599">
        <v>0</v>
      </c>
      <c r="Y3" s="665">
        <v>1011.1111111111111</v>
      </c>
      <c r="Z3" s="733" t="s">
        <v>164</v>
      </c>
      <c r="AA3" s="736" t="s">
        <v>220</v>
      </c>
      <c r="AD3" s="49" t="s">
        <v>320</v>
      </c>
      <c r="AE3" s="500">
        <v>45296</v>
      </c>
      <c r="AF3" s="48">
        <v>24925984.399999999</v>
      </c>
      <c r="AG3" s="52">
        <v>0.79599999999999993</v>
      </c>
      <c r="AH3" s="52">
        <v>0.86250000000000004</v>
      </c>
      <c r="AI3" s="48">
        <v>235704.15</v>
      </c>
      <c r="AJ3" s="497">
        <v>0.79599999999999993</v>
      </c>
      <c r="AK3" s="48">
        <v>10731782217</v>
      </c>
    </row>
    <row r="4" spans="1:38" ht="12.75" customHeight="1">
      <c r="A4" s="652" t="s">
        <v>551</v>
      </c>
      <c r="B4" s="581">
        <v>920</v>
      </c>
      <c r="C4" s="573">
        <f t="shared" si="0"/>
        <v>0.151</v>
      </c>
      <c r="D4" s="570">
        <f t="shared" si="1"/>
        <v>0.152</v>
      </c>
      <c r="E4" s="576">
        <f t="shared" si="2"/>
        <v>103450001</v>
      </c>
      <c r="F4" s="449">
        <f t="shared" si="3"/>
        <v>0.152</v>
      </c>
      <c r="G4" s="583">
        <f t="shared" si="4"/>
        <v>-5.5899999999999998E-2</v>
      </c>
      <c r="H4" s="331">
        <f t="shared" si="5"/>
        <v>0.16400000000000001</v>
      </c>
      <c r="I4" s="322">
        <f t="shared" si="6"/>
        <v>0.16400000000000001</v>
      </c>
      <c r="J4" s="467">
        <f t="shared" si="7"/>
        <v>0.152</v>
      </c>
      <c r="K4" s="326">
        <f t="shared" si="8"/>
        <v>0.161</v>
      </c>
      <c r="L4" s="398">
        <f t="shared" si="9"/>
        <v>10753128</v>
      </c>
      <c r="M4" s="326">
        <f t="shared" si="10"/>
        <v>6865109818</v>
      </c>
      <c r="N4" s="398">
        <f t="shared" si="11"/>
        <v>2121</v>
      </c>
      <c r="O4" s="455">
        <f t="shared" si="12"/>
        <v>45294.687696759262</v>
      </c>
      <c r="P4" s="474">
        <v>3</v>
      </c>
      <c r="Q4" s="480">
        <v>0</v>
      </c>
      <c r="R4" s="430">
        <v>0</v>
      </c>
      <c r="S4" s="441">
        <v>0</v>
      </c>
      <c r="T4" s="351">
        <v>0</v>
      </c>
      <c r="U4" s="748">
        <v>0</v>
      </c>
      <c r="V4" s="520">
        <v>0</v>
      </c>
      <c r="W4" s="591">
        <v>0</v>
      </c>
      <c r="X4" s="600">
        <v>0</v>
      </c>
      <c r="Y4" s="663">
        <v>1036.4238410596026</v>
      </c>
      <c r="Z4" s="732" t="s">
        <v>549</v>
      </c>
      <c r="AA4" s="737" t="s">
        <v>553</v>
      </c>
      <c r="AD4" s="493" t="s">
        <v>321</v>
      </c>
      <c r="AE4" s="500">
        <v>45297</v>
      </c>
      <c r="AF4" s="491"/>
      <c r="AG4" s="492"/>
      <c r="AH4" s="492"/>
      <c r="AI4" s="491"/>
      <c r="AJ4" s="496"/>
      <c r="AK4" s="491"/>
      <c r="AL4" s="47"/>
    </row>
    <row r="5" spans="1:38" ht="12.75" customHeight="1">
      <c r="A5" s="675" t="s">
        <v>3</v>
      </c>
      <c r="B5" s="577">
        <v>981</v>
      </c>
      <c r="C5" s="415">
        <f t="shared" si="0"/>
        <v>37.549999999999997</v>
      </c>
      <c r="D5" s="676">
        <f t="shared" si="1"/>
        <v>37.799999999999997</v>
      </c>
      <c r="E5" s="669">
        <f t="shared" si="2"/>
        <v>80829</v>
      </c>
      <c r="F5" s="582">
        <f t="shared" si="3"/>
        <v>37.799999999999997</v>
      </c>
      <c r="G5" s="585">
        <f t="shared" si="4"/>
        <v>-2.5699999999999997E-2</v>
      </c>
      <c r="H5" s="408">
        <f t="shared" si="5"/>
        <v>38.799999999999997</v>
      </c>
      <c r="I5" s="409">
        <f t="shared" si="6"/>
        <v>39.700000000000003</v>
      </c>
      <c r="J5" s="468">
        <f t="shared" si="7"/>
        <v>37.5</v>
      </c>
      <c r="K5" s="411">
        <f t="shared" si="8"/>
        <v>38.799999999999997</v>
      </c>
      <c r="L5" s="410">
        <f t="shared" si="9"/>
        <v>264033</v>
      </c>
      <c r="M5" s="411">
        <f t="shared" si="10"/>
        <v>691466</v>
      </c>
      <c r="N5" s="410">
        <f t="shared" si="11"/>
        <v>88</v>
      </c>
      <c r="O5" s="456">
        <f t="shared" si="12"/>
        <v>45294.699884259258</v>
      </c>
      <c r="P5" s="625">
        <v>4</v>
      </c>
      <c r="Q5" s="477">
        <v>0</v>
      </c>
      <c r="R5" s="432">
        <v>0</v>
      </c>
      <c r="S5" s="442">
        <v>0</v>
      </c>
      <c r="T5" s="412">
        <v>0</v>
      </c>
      <c r="U5" s="422">
        <v>0</v>
      </c>
      <c r="V5" s="521">
        <v>0</v>
      </c>
      <c r="W5" s="677">
        <v>0</v>
      </c>
      <c r="X5" s="678">
        <v>0</v>
      </c>
      <c r="Y5" s="679">
        <v>1049.5339547270307</v>
      </c>
      <c r="Z5" s="734" t="s">
        <v>2</v>
      </c>
      <c r="AA5" s="738" t="s">
        <v>4</v>
      </c>
      <c r="AD5" s="49" t="s">
        <v>322</v>
      </c>
      <c r="AE5" s="500">
        <v>45298</v>
      </c>
      <c r="AF5" s="48"/>
      <c r="AG5" s="52"/>
      <c r="AH5" s="52"/>
      <c r="AI5" s="48"/>
      <c r="AJ5" s="497"/>
      <c r="AK5" s="48"/>
      <c r="AL5" s="47"/>
    </row>
    <row r="6" spans="1:38" ht="12.75" customHeight="1">
      <c r="A6" s="658" t="s">
        <v>13</v>
      </c>
      <c r="B6" s="581">
        <v>509065</v>
      </c>
      <c r="C6" s="653">
        <f t="shared" si="0"/>
        <v>38900</v>
      </c>
      <c r="D6" s="654">
        <f t="shared" si="1"/>
        <v>38999</v>
      </c>
      <c r="E6" s="572">
        <f t="shared" si="2"/>
        <v>24988</v>
      </c>
      <c r="F6" s="449">
        <f t="shared" si="3"/>
        <v>38901</v>
      </c>
      <c r="G6" s="583">
        <f t="shared" si="4"/>
        <v>2.64E-2</v>
      </c>
      <c r="H6" s="333">
        <f t="shared" si="5"/>
        <v>38900</v>
      </c>
      <c r="I6" s="325">
        <f t="shared" si="6"/>
        <v>39000</v>
      </c>
      <c r="J6" s="469">
        <f t="shared" si="7"/>
        <v>37532</v>
      </c>
      <c r="K6" s="329">
        <f t="shared" si="8"/>
        <v>37900</v>
      </c>
      <c r="L6" s="377">
        <f t="shared" si="9"/>
        <v>76293151090</v>
      </c>
      <c r="M6" s="329">
        <f t="shared" si="10"/>
        <v>200090851</v>
      </c>
      <c r="N6" s="377">
        <f t="shared" si="11"/>
        <v>73365</v>
      </c>
      <c r="O6" s="459">
        <f t="shared" si="12"/>
        <v>45294.6875</v>
      </c>
      <c r="P6" s="474">
        <v>5</v>
      </c>
      <c r="Q6" s="478">
        <v>0</v>
      </c>
      <c r="R6" s="435">
        <v>0</v>
      </c>
      <c r="S6" s="443">
        <v>0</v>
      </c>
      <c r="T6" s="358">
        <v>0</v>
      </c>
      <c r="U6" s="421">
        <v>0</v>
      </c>
      <c r="V6" s="520">
        <v>0</v>
      </c>
      <c r="W6" s="589">
        <v>0</v>
      </c>
      <c r="X6" s="601">
        <v>0</v>
      </c>
      <c r="Y6" s="660">
        <v>536279.58060288348</v>
      </c>
      <c r="Z6" s="743" t="s">
        <v>14</v>
      </c>
      <c r="AA6" s="739" t="s">
        <v>15</v>
      </c>
      <c r="AB6" s="319"/>
      <c r="AD6" s="493" t="s">
        <v>323</v>
      </c>
      <c r="AE6" s="500">
        <v>45299</v>
      </c>
      <c r="AF6" s="491">
        <v>217208450.34999999</v>
      </c>
      <c r="AG6" s="492">
        <v>0.85</v>
      </c>
      <c r="AH6" s="492">
        <v>0.86209999999999998</v>
      </c>
      <c r="AI6" s="491">
        <v>7901.87</v>
      </c>
      <c r="AJ6" s="496">
        <v>0.85</v>
      </c>
      <c r="AK6" s="491">
        <v>2576596263</v>
      </c>
    </row>
    <row r="7" spans="1:38" ht="12.75" customHeight="1">
      <c r="A7" s="659" t="s">
        <v>2</v>
      </c>
      <c r="B7" s="574">
        <v>520480</v>
      </c>
      <c r="C7" s="655">
        <f t="shared" si="0"/>
        <v>39400</v>
      </c>
      <c r="D7" s="656">
        <f t="shared" si="1"/>
        <v>39410</v>
      </c>
      <c r="E7" s="579">
        <f t="shared" si="2"/>
        <v>78199</v>
      </c>
      <c r="F7" s="341">
        <f t="shared" si="3"/>
        <v>39400</v>
      </c>
      <c r="G7" s="584">
        <f t="shared" si="4"/>
        <v>3.5499999999999997E-2</v>
      </c>
      <c r="H7" s="332">
        <f t="shared" si="5"/>
        <v>38179</v>
      </c>
      <c r="I7" s="323">
        <f t="shared" si="6"/>
        <v>39410</v>
      </c>
      <c r="J7" s="466">
        <f t="shared" si="7"/>
        <v>37693.5</v>
      </c>
      <c r="K7" s="327">
        <f t="shared" si="8"/>
        <v>38048</v>
      </c>
      <c r="L7" s="330">
        <f t="shared" si="9"/>
        <v>52087601720</v>
      </c>
      <c r="M7" s="327">
        <f t="shared" si="10"/>
        <v>135287040</v>
      </c>
      <c r="N7" s="330">
        <f t="shared" si="11"/>
        <v>28555</v>
      </c>
      <c r="O7" s="460">
        <f t="shared" si="12"/>
        <v>45294.708414351851</v>
      </c>
      <c r="P7" s="473">
        <v>6</v>
      </c>
      <c r="Q7" s="481">
        <v>0</v>
      </c>
      <c r="R7" s="436">
        <v>0</v>
      </c>
      <c r="S7" s="440">
        <v>0</v>
      </c>
      <c r="T7" s="357">
        <v>0</v>
      </c>
      <c r="U7" s="422">
        <v>0</v>
      </c>
      <c r="V7" s="521">
        <v>0</v>
      </c>
      <c r="W7" s="590">
        <v>0</v>
      </c>
      <c r="X7" s="602">
        <v>0</v>
      </c>
      <c r="Y7" s="661">
        <v>542461.67539267021</v>
      </c>
      <c r="Z7" s="744" t="s">
        <v>4</v>
      </c>
      <c r="AA7" s="740" t="s">
        <v>3</v>
      </c>
      <c r="AD7" s="49" t="s">
        <v>324</v>
      </c>
      <c r="AE7" s="500">
        <v>45300</v>
      </c>
      <c r="AF7" s="48">
        <v>23891162.309999999</v>
      </c>
      <c r="AG7" s="52">
        <v>0.83</v>
      </c>
      <c r="AH7" s="52">
        <v>0.9</v>
      </c>
      <c r="AI7" s="48">
        <v>236061.5</v>
      </c>
      <c r="AJ7" s="497">
        <v>0.83</v>
      </c>
      <c r="AK7" s="48">
        <v>2895960829</v>
      </c>
    </row>
    <row r="8" spans="1:38">
      <c r="A8" s="658" t="s">
        <v>549</v>
      </c>
      <c r="B8" s="581">
        <v>509065</v>
      </c>
      <c r="C8" s="653">
        <f t="shared" si="0"/>
        <v>156.35</v>
      </c>
      <c r="D8" s="657">
        <f t="shared" si="1"/>
        <v>156.5</v>
      </c>
      <c r="E8" s="576">
        <f t="shared" si="2"/>
        <v>115267</v>
      </c>
      <c r="F8" s="449">
        <f t="shared" si="3"/>
        <v>156.35</v>
      </c>
      <c r="G8" s="583">
        <f t="shared" si="4"/>
        <v>-4.6999999999999993E-3</v>
      </c>
      <c r="H8" s="333">
        <f t="shared" si="5"/>
        <v>157</v>
      </c>
      <c r="I8" s="325">
        <f t="shared" si="6"/>
        <v>157.69999999999999</v>
      </c>
      <c r="J8" s="469">
        <f t="shared" si="7"/>
        <v>156.00200000000001</v>
      </c>
      <c r="K8" s="329">
        <f t="shared" si="8"/>
        <v>157.1</v>
      </c>
      <c r="L8" s="377">
        <f t="shared" si="9"/>
        <v>23286088754</v>
      </c>
      <c r="M8" s="329">
        <f t="shared" si="10"/>
        <v>14849069612</v>
      </c>
      <c r="N8" s="377">
        <f t="shared" si="11"/>
        <v>4305</v>
      </c>
      <c r="O8" s="459">
        <f t="shared" si="12"/>
        <v>45294.687615740739</v>
      </c>
      <c r="P8" s="474">
        <v>7</v>
      </c>
      <c r="Q8" s="478">
        <v>0</v>
      </c>
      <c r="R8" s="435">
        <v>0</v>
      </c>
      <c r="S8" s="443">
        <v>0</v>
      </c>
      <c r="T8" s="358">
        <v>0</v>
      </c>
      <c r="U8" s="421">
        <v>0</v>
      </c>
      <c r="V8" s="520">
        <v>0</v>
      </c>
      <c r="W8" s="591">
        <v>0</v>
      </c>
      <c r="X8" s="603">
        <v>0</v>
      </c>
      <c r="Y8" s="662">
        <v>540991.57236842113</v>
      </c>
      <c r="Z8" s="745" t="s">
        <v>551</v>
      </c>
      <c r="AA8" s="741" t="s">
        <v>553</v>
      </c>
      <c r="AD8" s="493" t="s">
        <v>325</v>
      </c>
      <c r="AE8" s="500">
        <v>45301</v>
      </c>
      <c r="AF8" s="491">
        <v>49790348.119999997</v>
      </c>
      <c r="AG8" s="492">
        <v>0.84050000000000002</v>
      </c>
      <c r="AH8" s="492">
        <v>0.88</v>
      </c>
      <c r="AI8" s="491">
        <v>2541326</v>
      </c>
      <c r="AJ8" s="496">
        <v>0.88</v>
      </c>
      <c r="AK8" s="491">
        <v>59338219080</v>
      </c>
    </row>
    <row r="9" spans="1:38" ht="12.75" customHeight="1">
      <c r="A9" s="666" t="s">
        <v>2</v>
      </c>
      <c r="B9" s="577">
        <v>520480</v>
      </c>
      <c r="C9" s="667">
        <f t="shared" si="0"/>
        <v>39400</v>
      </c>
      <c r="D9" s="668">
        <f t="shared" si="1"/>
        <v>39410</v>
      </c>
      <c r="E9" s="669">
        <f t="shared" si="2"/>
        <v>78199</v>
      </c>
      <c r="F9" s="582">
        <f t="shared" si="3"/>
        <v>39400</v>
      </c>
      <c r="G9" s="585">
        <f t="shared" si="4"/>
        <v>3.5499999999999997E-2</v>
      </c>
      <c r="H9" s="408">
        <f t="shared" si="5"/>
        <v>38179</v>
      </c>
      <c r="I9" s="409">
        <f t="shared" si="6"/>
        <v>39410</v>
      </c>
      <c r="J9" s="468">
        <f t="shared" si="7"/>
        <v>37693.5</v>
      </c>
      <c r="K9" s="411">
        <f t="shared" si="8"/>
        <v>38048</v>
      </c>
      <c r="L9" s="410">
        <f t="shared" si="9"/>
        <v>52087601720</v>
      </c>
      <c r="M9" s="411">
        <f t="shared" si="10"/>
        <v>135287040</v>
      </c>
      <c r="N9" s="410">
        <f t="shared" si="11"/>
        <v>28555</v>
      </c>
      <c r="O9" s="461">
        <f t="shared" si="12"/>
        <v>45294.708414351851</v>
      </c>
      <c r="P9" s="625">
        <v>8</v>
      </c>
      <c r="Q9" s="670">
        <v>0</v>
      </c>
      <c r="R9" s="671">
        <v>0</v>
      </c>
      <c r="S9" s="442">
        <v>0</v>
      </c>
      <c r="T9" s="672">
        <v>0</v>
      </c>
      <c r="U9" s="422">
        <v>0</v>
      </c>
      <c r="V9" s="521">
        <v>0</v>
      </c>
      <c r="W9" s="592">
        <v>0</v>
      </c>
      <c r="X9" s="673">
        <v>0</v>
      </c>
      <c r="Y9" s="674">
        <v>548202.01058201073</v>
      </c>
      <c r="Z9" s="746" t="s">
        <v>3</v>
      </c>
      <c r="AA9" s="742" t="s">
        <v>4</v>
      </c>
      <c r="AD9" s="49"/>
      <c r="AE9" s="500"/>
      <c r="AF9" s="494"/>
      <c r="AG9" s="495"/>
      <c r="AH9" s="495"/>
      <c r="AI9" s="494"/>
      <c r="AJ9" s="498"/>
      <c r="AK9" s="494"/>
    </row>
    <row r="10" spans="1:38" ht="12.75" customHeight="1">
      <c r="A10" s="566" t="str">
        <f>$A$2</f>
        <v>GD35D - spot</v>
      </c>
      <c r="B10" s="581">
        <f t="shared" ref="B10:B13" si="13">VLOOKUP($A10,$A$46:$N$157,2,0)</f>
        <v>309</v>
      </c>
      <c r="C10" s="573">
        <f t="shared" si="0"/>
        <v>35.9</v>
      </c>
      <c r="D10" s="375">
        <f t="shared" si="1"/>
        <v>36.79</v>
      </c>
      <c r="E10" s="572">
        <f t="shared" si="2"/>
        <v>600</v>
      </c>
      <c r="F10" s="449">
        <f t="shared" si="3"/>
        <v>35.9</v>
      </c>
      <c r="G10" s="583">
        <f t="shared" si="4"/>
        <v>2.7000000000000001E-3</v>
      </c>
      <c r="H10" s="333">
        <f t="shared" si="5"/>
        <v>35.5</v>
      </c>
      <c r="I10" s="325">
        <f t="shared" si="6"/>
        <v>37</v>
      </c>
      <c r="J10" s="469">
        <f t="shared" si="7"/>
        <v>35.5</v>
      </c>
      <c r="K10" s="329">
        <f t="shared" si="8"/>
        <v>35.799999999999997</v>
      </c>
      <c r="L10" s="377">
        <f t="shared" si="9"/>
        <v>99819</v>
      </c>
      <c r="M10" s="329">
        <f t="shared" si="10"/>
        <v>278399</v>
      </c>
      <c r="N10" s="377">
        <f t="shared" si="11"/>
        <v>327</v>
      </c>
      <c r="O10" s="459">
        <f t="shared" si="12"/>
        <v>45294.6877662037</v>
      </c>
      <c r="P10" s="474">
        <v>9</v>
      </c>
      <c r="Q10" s="478">
        <v>0</v>
      </c>
      <c r="R10" s="435">
        <v>0</v>
      </c>
      <c r="S10" s="443">
        <v>0</v>
      </c>
      <c r="T10" s="358">
        <v>0</v>
      </c>
      <c r="U10" s="372">
        <v>0</v>
      </c>
      <c r="V10" s="520">
        <v>0</v>
      </c>
      <c r="W10" s="593">
        <v>0</v>
      </c>
      <c r="X10" s="601">
        <v>0</v>
      </c>
      <c r="Y10" s="522">
        <v>100</v>
      </c>
      <c r="Z10" s="562">
        <f t="shared" ref="Z10" si="14">IFERROR($C10*(1-$V$1)/100*$Y10,"")</f>
        <v>35.9</v>
      </c>
      <c r="AA10" s="695">
        <f t="shared" ref="AA10" si="15">IFERROR($Z10-$Z11,"")</f>
        <v>3.9000000000001478E-2</v>
      </c>
      <c r="AB10" s="319"/>
      <c r="AF10" s="278"/>
      <c r="AH10" s="278"/>
      <c r="AJ10" s="47"/>
      <c r="AK10" s="47"/>
    </row>
    <row r="11" spans="1:38" ht="12.75" customHeight="1">
      <c r="A11" s="685" t="str">
        <f>$Z$6</f>
        <v>AL30D - spot</v>
      </c>
      <c r="B11" s="574">
        <f t="shared" si="13"/>
        <v>256524</v>
      </c>
      <c r="C11" s="571">
        <f t="shared" si="0"/>
        <v>38.1</v>
      </c>
      <c r="D11" s="575">
        <f t="shared" si="1"/>
        <v>38.15</v>
      </c>
      <c r="E11" s="579">
        <f t="shared" si="2"/>
        <v>2133</v>
      </c>
      <c r="F11" s="341">
        <f t="shared" si="3"/>
        <v>38.1</v>
      </c>
      <c r="G11" s="584">
        <f t="shared" si="4"/>
        <v>-1.34E-2</v>
      </c>
      <c r="H11" s="332">
        <f t="shared" si="5"/>
        <v>38.270000000000003</v>
      </c>
      <c r="I11" s="323">
        <f t="shared" si="6"/>
        <v>38.598999999999997</v>
      </c>
      <c r="J11" s="466">
        <f t="shared" si="7"/>
        <v>37.409999999999997</v>
      </c>
      <c r="K11" s="327">
        <f t="shared" si="8"/>
        <v>38.619999999999997</v>
      </c>
      <c r="L11" s="330">
        <f t="shared" si="9"/>
        <v>66503905</v>
      </c>
      <c r="M11" s="327">
        <f t="shared" si="10"/>
        <v>174759301</v>
      </c>
      <c r="N11" s="330">
        <f t="shared" si="11"/>
        <v>70810</v>
      </c>
      <c r="O11" s="460">
        <f t="shared" si="12"/>
        <v>45294.6877662037</v>
      </c>
      <c r="P11" s="473">
        <v>10</v>
      </c>
      <c r="Q11" s="481">
        <v>0</v>
      </c>
      <c r="R11" s="436">
        <v>0</v>
      </c>
      <c r="S11" s="440">
        <v>0</v>
      </c>
      <c r="T11" s="357">
        <v>0</v>
      </c>
      <c r="U11" s="371">
        <v>0</v>
      </c>
      <c r="V11" s="521">
        <v>0</v>
      </c>
      <c r="W11" s="594">
        <v>0</v>
      </c>
      <c r="X11" s="602">
        <v>0</v>
      </c>
      <c r="Y11" s="523">
        <f>IFERROR(INT($Z10/($D11*(1+$V$1)/100)),0)</f>
        <v>94</v>
      </c>
      <c r="Z11" s="563">
        <f t="shared" ref="Z11" si="16">$D11/100*INT($Y11)</f>
        <v>35.860999999999997</v>
      </c>
      <c r="AA11" s="696"/>
    </row>
    <row r="12" spans="1:38" ht="12.75" customHeight="1">
      <c r="A12" s="680" t="str">
        <f>$A$6</f>
        <v>AL30 - spot</v>
      </c>
      <c r="B12" s="581">
        <f t="shared" si="13"/>
        <v>17460</v>
      </c>
      <c r="C12" s="573">
        <f t="shared" si="0"/>
        <v>38900</v>
      </c>
      <c r="D12" s="570">
        <f t="shared" si="1"/>
        <v>38999</v>
      </c>
      <c r="E12" s="576">
        <f t="shared" si="2"/>
        <v>24988</v>
      </c>
      <c r="F12" s="449">
        <f t="shared" si="3"/>
        <v>38901</v>
      </c>
      <c r="G12" s="583">
        <f t="shared" si="4"/>
        <v>2.64E-2</v>
      </c>
      <c r="H12" s="333">
        <f t="shared" si="5"/>
        <v>38900</v>
      </c>
      <c r="I12" s="325">
        <f t="shared" si="6"/>
        <v>39000</v>
      </c>
      <c r="J12" s="469">
        <f t="shared" si="7"/>
        <v>37532</v>
      </c>
      <c r="K12" s="329">
        <f t="shared" si="8"/>
        <v>37900</v>
      </c>
      <c r="L12" s="377">
        <f t="shared" si="9"/>
        <v>76293151090</v>
      </c>
      <c r="M12" s="329">
        <f t="shared" si="10"/>
        <v>200090851</v>
      </c>
      <c r="N12" s="377">
        <f t="shared" si="11"/>
        <v>73365</v>
      </c>
      <c r="O12" s="459">
        <f t="shared" si="12"/>
        <v>45294.6875</v>
      </c>
      <c r="P12" s="474">
        <v>11</v>
      </c>
      <c r="Q12" s="478">
        <v>0</v>
      </c>
      <c r="R12" s="435">
        <v>0</v>
      </c>
      <c r="S12" s="443">
        <v>0</v>
      </c>
      <c r="T12" s="358">
        <v>0</v>
      </c>
      <c r="U12" s="372">
        <v>0</v>
      </c>
      <c r="V12" s="520">
        <v>0</v>
      </c>
      <c r="W12" s="619">
        <v>0</v>
      </c>
      <c r="X12" s="603">
        <v>0</v>
      </c>
      <c r="Y12" s="524">
        <f t="shared" ref="Y12:Y20" si="17">Y11</f>
        <v>94</v>
      </c>
      <c r="Z12" s="564">
        <f t="shared" ref="Z12" si="18">$C12*(1-$V$1)/100*INT($Y12)</f>
        <v>36566</v>
      </c>
      <c r="AA12" s="697">
        <f t="shared" ref="AA12" si="19">IFERROR($Z12-$Z13,"")</f>
        <v>135.30000000000291</v>
      </c>
    </row>
    <row r="13" spans="1:38" ht="12.75" customHeight="1">
      <c r="A13" s="681" t="str">
        <f>$Z$2</f>
        <v>GD35 - spot</v>
      </c>
      <c r="B13" s="633">
        <f t="shared" si="13"/>
        <v>6199</v>
      </c>
      <c r="C13" s="634">
        <f t="shared" si="0"/>
        <v>35800</v>
      </c>
      <c r="D13" s="635">
        <f t="shared" si="1"/>
        <v>36070</v>
      </c>
      <c r="E13" s="636">
        <f t="shared" si="2"/>
        <v>5</v>
      </c>
      <c r="F13" s="637">
        <f t="shared" si="3"/>
        <v>35800</v>
      </c>
      <c r="G13" s="638">
        <f t="shared" si="4"/>
        <v>2.2799999999999997E-2</v>
      </c>
      <c r="H13" s="378">
        <f t="shared" si="5"/>
        <v>35000</v>
      </c>
      <c r="I13" s="379">
        <f t="shared" si="6"/>
        <v>36187.5</v>
      </c>
      <c r="J13" s="471">
        <f t="shared" si="7"/>
        <v>34500</v>
      </c>
      <c r="K13" s="380">
        <f t="shared" si="8"/>
        <v>34999.5</v>
      </c>
      <c r="L13" s="384">
        <f t="shared" si="9"/>
        <v>766698588</v>
      </c>
      <c r="M13" s="380">
        <f t="shared" si="10"/>
        <v>2169663</v>
      </c>
      <c r="N13" s="406">
        <f t="shared" si="11"/>
        <v>1775</v>
      </c>
      <c r="O13" s="463">
        <f t="shared" si="12"/>
        <v>45294.687615740739</v>
      </c>
      <c r="P13" s="640">
        <v>12</v>
      </c>
      <c r="Q13" s="682">
        <v>0</v>
      </c>
      <c r="R13" s="683">
        <v>0</v>
      </c>
      <c r="S13" s="446">
        <v>0</v>
      </c>
      <c r="T13" s="684">
        <v>0</v>
      </c>
      <c r="U13" s="618">
        <v>0</v>
      </c>
      <c r="V13" s="521">
        <v>0</v>
      </c>
      <c r="W13" s="648">
        <v>0</v>
      </c>
      <c r="X13" s="647">
        <v>0</v>
      </c>
      <c r="Y13" s="645">
        <f t="shared" ref="Y13" si="20">IFERROR($Z12/($D13*(1+$V$1)/100),0)</f>
        <v>101.37510396451344</v>
      </c>
      <c r="Z13" s="646">
        <f t="shared" ref="Z13" si="21">$D13/100*INT($Y13)</f>
        <v>36430.699999999997</v>
      </c>
      <c r="AA13" s="699"/>
    </row>
    <row r="14" spans="1:38" ht="12.75" customHeight="1">
      <c r="A14" s="566" t="str">
        <f>$A$3</f>
        <v>GD35D - 48hs</v>
      </c>
      <c r="B14" s="581">
        <f t="shared" ref="B14:B29" si="22">VLOOKUP($A14,$A$42:$N$157,2,0)</f>
        <v>138</v>
      </c>
      <c r="C14" s="573">
        <f t="shared" si="0"/>
        <v>36</v>
      </c>
      <c r="D14" s="375">
        <f t="shared" si="1"/>
        <v>36.299999999999997</v>
      </c>
      <c r="E14" s="572">
        <f t="shared" si="2"/>
        <v>17350</v>
      </c>
      <c r="F14" s="449">
        <f t="shared" si="3"/>
        <v>36</v>
      </c>
      <c r="G14" s="583">
        <f t="shared" si="4"/>
        <v>-1.3600000000000001E-2</v>
      </c>
      <c r="H14" s="331">
        <f t="shared" si="5"/>
        <v>36.5</v>
      </c>
      <c r="I14" s="322">
        <f t="shared" si="6"/>
        <v>37.04</v>
      </c>
      <c r="J14" s="467">
        <f t="shared" si="7"/>
        <v>35.5</v>
      </c>
      <c r="K14" s="326">
        <f t="shared" si="8"/>
        <v>36.5</v>
      </c>
      <c r="L14" s="398">
        <f t="shared" si="9"/>
        <v>321798</v>
      </c>
      <c r="M14" s="326">
        <f t="shared" si="10"/>
        <v>895078</v>
      </c>
      <c r="N14" s="398">
        <f t="shared" si="11"/>
        <v>255</v>
      </c>
      <c r="O14" s="455">
        <f t="shared" si="12"/>
        <v>45294.708541666667</v>
      </c>
      <c r="P14" s="474">
        <v>13</v>
      </c>
      <c r="Q14" s="476">
        <v>0</v>
      </c>
      <c r="R14" s="430">
        <v>0</v>
      </c>
      <c r="S14" s="441">
        <v>0</v>
      </c>
      <c r="T14" s="351">
        <v>0</v>
      </c>
      <c r="U14" s="617">
        <v>0</v>
      </c>
      <c r="V14" s="520">
        <v>0</v>
      </c>
      <c r="W14" s="593">
        <v>0</v>
      </c>
      <c r="X14" s="601">
        <v>0</v>
      </c>
      <c r="Y14" s="522">
        <v>100</v>
      </c>
      <c r="Z14" s="562">
        <f t="shared" ref="Z14" si="23">IFERROR($C14*(1-$V$1)/100*$Y14,"")</f>
        <v>36</v>
      </c>
      <c r="AA14" s="695">
        <f t="shared" ref="AA14" si="24">IFERROR($Z14-$Z15,"")</f>
        <v>9.1999999999998749E-2</v>
      </c>
    </row>
    <row r="15" spans="1:38" ht="12.75" customHeight="1">
      <c r="A15" s="685" t="str">
        <f>$Z$7</f>
        <v>AL30D - 48hs</v>
      </c>
      <c r="B15" s="574">
        <f t="shared" si="22"/>
        <v>5645</v>
      </c>
      <c r="C15" s="571">
        <f t="shared" si="0"/>
        <v>38</v>
      </c>
      <c r="D15" s="575">
        <f t="shared" si="1"/>
        <v>38.200000000000003</v>
      </c>
      <c r="E15" s="579">
        <f t="shared" si="2"/>
        <v>28229</v>
      </c>
      <c r="F15" s="341">
        <f t="shared" si="3"/>
        <v>38.200000000000003</v>
      </c>
      <c r="G15" s="584">
        <f t="shared" si="4"/>
        <v>-6.5000000000000006E-3</v>
      </c>
      <c r="H15" s="332">
        <f t="shared" si="5"/>
        <v>38.012</v>
      </c>
      <c r="I15" s="323">
        <f t="shared" si="6"/>
        <v>38.57</v>
      </c>
      <c r="J15" s="466">
        <f t="shared" si="7"/>
        <v>37.450000000000003</v>
      </c>
      <c r="K15" s="327">
        <f t="shared" si="8"/>
        <v>38.450000000000003</v>
      </c>
      <c r="L15" s="330">
        <f t="shared" si="9"/>
        <v>15158273</v>
      </c>
      <c r="M15" s="349">
        <f t="shared" si="10"/>
        <v>39796841</v>
      </c>
      <c r="N15" s="330">
        <f t="shared" si="11"/>
        <v>12137</v>
      </c>
      <c r="O15" s="454">
        <f t="shared" si="12"/>
        <v>45294.708645833336</v>
      </c>
      <c r="P15" s="473">
        <v>14</v>
      </c>
      <c r="Q15" s="475">
        <v>0</v>
      </c>
      <c r="R15" s="431">
        <v>0</v>
      </c>
      <c r="S15" s="440">
        <v>0</v>
      </c>
      <c r="T15" s="350">
        <v>0</v>
      </c>
      <c r="U15" s="371">
        <v>0</v>
      </c>
      <c r="V15" s="521">
        <v>0</v>
      </c>
      <c r="W15" s="594">
        <v>0</v>
      </c>
      <c r="X15" s="602">
        <v>0</v>
      </c>
      <c r="Y15" s="523">
        <f>IFERROR(INT($Z14/($D15*(1+$V$1)/100)),0)</f>
        <v>94</v>
      </c>
      <c r="Z15" s="563">
        <f t="shared" ref="Z15" si="25">$D15/100*INT($Y15)</f>
        <v>35.908000000000001</v>
      </c>
      <c r="AA15" s="696"/>
    </row>
    <row r="16" spans="1:38" ht="12.75" customHeight="1">
      <c r="A16" s="680" t="str">
        <f>$A$6</f>
        <v>AL30 - spot</v>
      </c>
      <c r="B16" s="581">
        <f t="shared" si="22"/>
        <v>17460</v>
      </c>
      <c r="C16" s="573">
        <f t="shared" si="0"/>
        <v>38900</v>
      </c>
      <c r="D16" s="570">
        <f t="shared" si="1"/>
        <v>38999</v>
      </c>
      <c r="E16" s="576">
        <f t="shared" si="2"/>
        <v>24988</v>
      </c>
      <c r="F16" s="449">
        <f t="shared" si="3"/>
        <v>38901</v>
      </c>
      <c r="G16" s="583">
        <f t="shared" si="4"/>
        <v>2.64E-2</v>
      </c>
      <c r="H16" s="331">
        <f t="shared" si="5"/>
        <v>38900</v>
      </c>
      <c r="I16" s="322">
        <f t="shared" si="6"/>
        <v>39000</v>
      </c>
      <c r="J16" s="467">
        <f t="shared" si="7"/>
        <v>37532</v>
      </c>
      <c r="K16" s="326">
        <f t="shared" si="8"/>
        <v>37900</v>
      </c>
      <c r="L16" s="398">
        <f t="shared" si="9"/>
        <v>76293151090</v>
      </c>
      <c r="M16" s="326">
        <f t="shared" si="10"/>
        <v>200090851</v>
      </c>
      <c r="N16" s="398">
        <f t="shared" si="11"/>
        <v>73365</v>
      </c>
      <c r="O16" s="455">
        <f t="shared" si="12"/>
        <v>45294.6875</v>
      </c>
      <c r="P16" s="474">
        <v>15</v>
      </c>
      <c r="Q16" s="476">
        <v>0</v>
      </c>
      <c r="R16" s="430">
        <v>0</v>
      </c>
      <c r="S16" s="441">
        <v>0</v>
      </c>
      <c r="T16" s="351">
        <v>0</v>
      </c>
      <c r="U16" s="372">
        <v>0</v>
      </c>
      <c r="V16" s="520">
        <v>0</v>
      </c>
      <c r="W16" s="619">
        <v>0</v>
      </c>
      <c r="X16" s="603">
        <v>0</v>
      </c>
      <c r="Y16" s="524">
        <f t="shared" si="17"/>
        <v>94</v>
      </c>
      <c r="Z16" s="564">
        <f t="shared" ref="Z16" si="26">$C16*(1-$V$1)/100*INT($Y16)</f>
        <v>36566</v>
      </c>
      <c r="AA16" s="697">
        <f t="shared" ref="AA16" si="27">IFERROR($Z16-$Z17,"")</f>
        <v>166</v>
      </c>
    </row>
    <row r="17" spans="1:29" ht="12.75" customHeight="1">
      <c r="A17" s="681" t="str">
        <f>$Z$3</f>
        <v>GD35 - 48hs</v>
      </c>
      <c r="B17" s="633">
        <f t="shared" si="22"/>
        <v>210</v>
      </c>
      <c r="C17" s="634">
        <f t="shared" si="0"/>
        <v>36200</v>
      </c>
      <c r="D17" s="635">
        <f t="shared" si="1"/>
        <v>36400</v>
      </c>
      <c r="E17" s="636">
        <f t="shared" si="2"/>
        <v>83502</v>
      </c>
      <c r="F17" s="637">
        <f t="shared" si="3"/>
        <v>36400</v>
      </c>
      <c r="G17" s="638">
        <f t="shared" si="4"/>
        <v>2.7000000000000003E-2</v>
      </c>
      <c r="H17" s="378">
        <f t="shared" si="5"/>
        <v>34505</v>
      </c>
      <c r="I17" s="379">
        <f t="shared" si="6"/>
        <v>36600</v>
      </c>
      <c r="J17" s="471">
        <f t="shared" si="7"/>
        <v>34505</v>
      </c>
      <c r="K17" s="380">
        <f t="shared" si="8"/>
        <v>35440</v>
      </c>
      <c r="L17" s="384">
        <f t="shared" si="9"/>
        <v>7226695762</v>
      </c>
      <c r="M17" s="380">
        <f t="shared" si="10"/>
        <v>20383656</v>
      </c>
      <c r="N17" s="384">
        <f t="shared" si="11"/>
        <v>3265</v>
      </c>
      <c r="O17" s="639">
        <f t="shared" si="12"/>
        <v>45294.708495370367</v>
      </c>
      <c r="P17" s="640">
        <v>16</v>
      </c>
      <c r="Q17" s="641">
        <v>0</v>
      </c>
      <c r="R17" s="642">
        <v>0</v>
      </c>
      <c r="S17" s="446">
        <v>0</v>
      </c>
      <c r="T17" s="643">
        <v>0</v>
      </c>
      <c r="U17" s="371">
        <v>0</v>
      </c>
      <c r="V17" s="521">
        <v>0</v>
      </c>
      <c r="W17" s="648">
        <v>0</v>
      </c>
      <c r="X17" s="647">
        <v>0</v>
      </c>
      <c r="Y17" s="645">
        <f t="shared" ref="Y17" si="28">IFERROR($Z16/($D17*(1+$V$1)/100),0)</f>
        <v>100.45604395604396</v>
      </c>
      <c r="Z17" s="646">
        <f t="shared" ref="Z17" si="29">$D17/100*INT($Y17)</f>
        <v>36400</v>
      </c>
      <c r="AA17" s="699"/>
    </row>
    <row r="18" spans="1:29" ht="12.75" customHeight="1">
      <c r="A18" s="566" t="str">
        <f>$A$4</f>
        <v>XE4C - spot</v>
      </c>
      <c r="B18" s="581">
        <f t="shared" si="22"/>
        <v>1000000</v>
      </c>
      <c r="C18" s="573">
        <f t="shared" si="0"/>
        <v>0.151</v>
      </c>
      <c r="D18" s="375">
        <f t="shared" si="1"/>
        <v>0.152</v>
      </c>
      <c r="E18" s="572">
        <f t="shared" si="2"/>
        <v>103450001</v>
      </c>
      <c r="F18" s="449">
        <f t="shared" si="3"/>
        <v>0.152</v>
      </c>
      <c r="G18" s="583">
        <f t="shared" si="4"/>
        <v>-5.5899999999999998E-2</v>
      </c>
      <c r="H18" s="331">
        <f t="shared" si="5"/>
        <v>0.16400000000000001</v>
      </c>
      <c r="I18" s="322">
        <f t="shared" si="6"/>
        <v>0.16400000000000001</v>
      </c>
      <c r="J18" s="467">
        <f t="shared" si="7"/>
        <v>0.152</v>
      </c>
      <c r="K18" s="326">
        <f t="shared" si="8"/>
        <v>0.161</v>
      </c>
      <c r="L18" s="398">
        <f t="shared" si="9"/>
        <v>10753128</v>
      </c>
      <c r="M18" s="326">
        <f t="shared" si="10"/>
        <v>6865109818</v>
      </c>
      <c r="N18" s="398">
        <f t="shared" si="11"/>
        <v>2121</v>
      </c>
      <c r="O18" s="455">
        <f t="shared" si="12"/>
        <v>45294.687696759262</v>
      </c>
      <c r="P18" s="474">
        <v>17</v>
      </c>
      <c r="Q18" s="476">
        <v>0</v>
      </c>
      <c r="R18" s="430">
        <v>0</v>
      </c>
      <c r="S18" s="441">
        <v>0</v>
      </c>
      <c r="T18" s="351">
        <v>0</v>
      </c>
      <c r="U18" s="372">
        <v>0</v>
      </c>
      <c r="V18" s="520">
        <v>0</v>
      </c>
      <c r="W18" s="593">
        <v>0</v>
      </c>
      <c r="X18" s="598">
        <v>0</v>
      </c>
      <c r="Y18" s="522">
        <v>5000</v>
      </c>
      <c r="Z18" s="562">
        <f t="shared" ref="Z18" si="30">IFERROR($C18*(1-$V$1)/100*$Y18,"")</f>
        <v>7.5500000000000007</v>
      </c>
      <c r="AA18" s="695">
        <f t="shared" ref="AA18" si="31">IFERROR($Z18-$Z19,"")</f>
        <v>0.20000000000000107</v>
      </c>
      <c r="AC18" s="319"/>
    </row>
    <row r="19" spans="1:29" ht="12.75" customHeight="1">
      <c r="A19" s="685" t="str">
        <f>$AA$2</f>
        <v>GD35C - spot</v>
      </c>
      <c r="B19" s="574">
        <f t="shared" si="22"/>
        <v>0</v>
      </c>
      <c r="C19" s="571">
        <f t="shared" si="0"/>
        <v>36.75</v>
      </c>
      <c r="D19" s="575">
        <f t="shared" si="1"/>
        <v>36.75</v>
      </c>
      <c r="E19" s="579">
        <f t="shared" si="2"/>
        <v>0</v>
      </c>
      <c r="F19" s="341">
        <f t="shared" si="3"/>
        <v>0</v>
      </c>
      <c r="G19" s="584">
        <f t="shared" si="4"/>
        <v>0</v>
      </c>
      <c r="H19" s="332">
        <f t="shared" si="5"/>
        <v>0</v>
      </c>
      <c r="I19" s="323">
        <f t="shared" si="6"/>
        <v>0</v>
      </c>
      <c r="J19" s="466">
        <f t="shared" si="7"/>
        <v>0</v>
      </c>
      <c r="K19" s="327">
        <f t="shared" si="8"/>
        <v>35.799999999999997</v>
      </c>
      <c r="L19" s="330">
        <f t="shared" si="9"/>
        <v>0</v>
      </c>
      <c r="M19" s="327">
        <f t="shared" si="10"/>
        <v>0</v>
      </c>
      <c r="N19" s="330">
        <f t="shared" si="11"/>
        <v>0</v>
      </c>
      <c r="O19" s="454">
        <f t="shared" si="12"/>
        <v>0</v>
      </c>
      <c r="P19" s="473">
        <v>18</v>
      </c>
      <c r="Q19" s="475">
        <v>0</v>
      </c>
      <c r="R19" s="431">
        <v>0</v>
      </c>
      <c r="S19" s="440">
        <v>0</v>
      </c>
      <c r="T19" s="350">
        <v>0</v>
      </c>
      <c r="U19" s="371">
        <v>0</v>
      </c>
      <c r="V19" s="521">
        <v>0</v>
      </c>
      <c r="W19" s="594">
        <v>0</v>
      </c>
      <c r="X19" s="599">
        <v>0</v>
      </c>
      <c r="Y19" s="523">
        <f>IFERROR(INT($Z18/($D19*(1+$V$1)/100)),0)</f>
        <v>20</v>
      </c>
      <c r="Z19" s="563">
        <f t="shared" ref="Z19" si="32">$D19/100*INT($Y19)</f>
        <v>7.35</v>
      </c>
      <c r="AA19" s="696"/>
    </row>
    <row r="20" spans="1:29" ht="12.75" customHeight="1">
      <c r="A20" s="623" t="str">
        <f>$A$2</f>
        <v>GD35D - spot</v>
      </c>
      <c r="B20" s="581">
        <f t="shared" si="22"/>
        <v>309</v>
      </c>
      <c r="C20" s="573">
        <f t="shared" si="0"/>
        <v>35.9</v>
      </c>
      <c r="D20" s="570">
        <f t="shared" si="1"/>
        <v>36.79</v>
      </c>
      <c r="E20" s="576">
        <f t="shared" si="2"/>
        <v>600</v>
      </c>
      <c r="F20" s="449">
        <f t="shared" si="3"/>
        <v>35.9</v>
      </c>
      <c r="G20" s="583">
        <f t="shared" si="4"/>
        <v>2.7000000000000001E-3</v>
      </c>
      <c r="H20" s="331">
        <f t="shared" si="5"/>
        <v>35.5</v>
      </c>
      <c r="I20" s="322">
        <f t="shared" si="6"/>
        <v>37</v>
      </c>
      <c r="J20" s="467">
        <f t="shared" si="7"/>
        <v>35.5</v>
      </c>
      <c r="K20" s="326">
        <f t="shared" si="8"/>
        <v>35.799999999999997</v>
      </c>
      <c r="L20" s="398">
        <f t="shared" si="9"/>
        <v>99819</v>
      </c>
      <c r="M20" s="326">
        <f t="shared" si="10"/>
        <v>278399</v>
      </c>
      <c r="N20" s="398">
        <f t="shared" si="11"/>
        <v>327</v>
      </c>
      <c r="O20" s="455">
        <f t="shared" si="12"/>
        <v>45294.6877662037</v>
      </c>
      <c r="P20" s="474">
        <v>19</v>
      </c>
      <c r="Q20" s="476">
        <v>0</v>
      </c>
      <c r="R20" s="430">
        <v>0</v>
      </c>
      <c r="S20" s="441">
        <v>0</v>
      </c>
      <c r="T20" s="351">
        <v>0</v>
      </c>
      <c r="U20" s="372">
        <v>0</v>
      </c>
      <c r="V20" s="520">
        <v>0</v>
      </c>
      <c r="W20" s="619">
        <v>0</v>
      </c>
      <c r="X20" s="600">
        <v>0</v>
      </c>
      <c r="Y20" s="524">
        <f t="shared" si="17"/>
        <v>20</v>
      </c>
      <c r="Z20" s="564">
        <f t="shared" ref="Z20" si="33">$C20*(1-$V$1)/100*INT($Y20)</f>
        <v>7.18</v>
      </c>
      <c r="AA20" s="697">
        <f t="shared" ref="AA20" si="34">IFERROR($Z20-$Z21,"")</f>
        <v>5.1999999999985391E-4</v>
      </c>
    </row>
    <row r="21" spans="1:29" ht="12.75" customHeight="1">
      <c r="A21" s="686" t="str">
        <f>$AA$4</f>
        <v>XE4D - spot</v>
      </c>
      <c r="B21" s="633">
        <f t="shared" si="22"/>
        <v>150000000</v>
      </c>
      <c r="C21" s="634">
        <f t="shared" si="0"/>
        <v>0.15</v>
      </c>
      <c r="D21" s="635">
        <f t="shared" si="1"/>
        <v>0.154</v>
      </c>
      <c r="E21" s="636">
        <f t="shared" si="2"/>
        <v>30713738</v>
      </c>
      <c r="F21" s="637">
        <f t="shared" si="3"/>
        <v>0.154</v>
      </c>
      <c r="G21" s="638">
        <f t="shared" si="4"/>
        <v>-3.7499999999999999E-2</v>
      </c>
      <c r="H21" s="378">
        <f t="shared" si="5"/>
        <v>0.16400000000000001</v>
      </c>
      <c r="I21" s="379">
        <f t="shared" si="6"/>
        <v>0.16400000000000001</v>
      </c>
      <c r="J21" s="471">
        <f t="shared" si="7"/>
        <v>0.151</v>
      </c>
      <c r="K21" s="380">
        <f t="shared" si="8"/>
        <v>0.16</v>
      </c>
      <c r="L21" s="384">
        <f t="shared" si="9"/>
        <v>11562277</v>
      </c>
      <c r="M21" s="380">
        <f t="shared" si="10"/>
        <v>7360028133</v>
      </c>
      <c r="N21" s="384">
        <f t="shared" si="11"/>
        <v>1514</v>
      </c>
      <c r="O21" s="639">
        <f t="shared" si="12"/>
        <v>45294.684953703705</v>
      </c>
      <c r="P21" s="640">
        <v>20</v>
      </c>
      <c r="Q21" s="641">
        <v>0</v>
      </c>
      <c r="R21" s="642">
        <v>0</v>
      </c>
      <c r="S21" s="446">
        <v>0</v>
      </c>
      <c r="T21" s="643">
        <v>0</v>
      </c>
      <c r="U21" s="371">
        <v>0</v>
      </c>
      <c r="V21" s="521">
        <v>0</v>
      </c>
      <c r="W21" s="648">
        <v>0</v>
      </c>
      <c r="X21" s="644">
        <v>0</v>
      </c>
      <c r="Y21" s="645">
        <f t="shared" ref="Y21" si="35">IFERROR($Z20/($D21*(1+$V$1)/100),0)</f>
        <v>4662.3376623376626</v>
      </c>
      <c r="Z21" s="646">
        <f t="shared" ref="Z21" si="36">$D21/100*INT($Y21)</f>
        <v>7.1794799999999999</v>
      </c>
      <c r="AA21" s="699"/>
    </row>
    <row r="22" spans="1:29" ht="12.75" customHeight="1">
      <c r="A22" s="566" t="str">
        <f>$A$5</f>
        <v>AL30C - 48hs</v>
      </c>
      <c r="B22" s="581">
        <f t="shared" si="22"/>
        <v>1593</v>
      </c>
      <c r="C22" s="573">
        <f t="shared" si="0"/>
        <v>37.549999999999997</v>
      </c>
      <c r="D22" s="375">
        <f t="shared" si="1"/>
        <v>37.799999999999997</v>
      </c>
      <c r="E22" s="572">
        <f t="shared" si="2"/>
        <v>80829</v>
      </c>
      <c r="F22" s="449">
        <f t="shared" si="3"/>
        <v>37.799999999999997</v>
      </c>
      <c r="G22" s="583">
        <f t="shared" si="4"/>
        <v>-2.5699999999999997E-2</v>
      </c>
      <c r="H22" s="333">
        <f t="shared" si="5"/>
        <v>38.799999999999997</v>
      </c>
      <c r="I22" s="325">
        <f t="shared" si="6"/>
        <v>39.700000000000003</v>
      </c>
      <c r="J22" s="469">
        <f t="shared" si="7"/>
        <v>37.5</v>
      </c>
      <c r="K22" s="329">
        <f t="shared" si="8"/>
        <v>38.799999999999997</v>
      </c>
      <c r="L22" s="377">
        <f t="shared" si="9"/>
        <v>264033</v>
      </c>
      <c r="M22" s="329">
        <f t="shared" si="10"/>
        <v>691466</v>
      </c>
      <c r="N22" s="377">
        <f t="shared" si="11"/>
        <v>88</v>
      </c>
      <c r="O22" s="457">
        <f t="shared" si="12"/>
        <v>45294.699884259258</v>
      </c>
      <c r="P22" s="474">
        <v>21</v>
      </c>
      <c r="Q22" s="478">
        <v>0</v>
      </c>
      <c r="R22" s="433">
        <v>0</v>
      </c>
      <c r="S22" s="443">
        <v>0</v>
      </c>
      <c r="T22" s="381">
        <v>0</v>
      </c>
      <c r="U22" s="372">
        <v>0</v>
      </c>
      <c r="V22" s="506">
        <v>0</v>
      </c>
      <c r="W22" s="589">
        <v>0</v>
      </c>
      <c r="X22" s="598">
        <v>0</v>
      </c>
      <c r="Y22" s="522">
        <v>100</v>
      </c>
      <c r="Z22" s="562">
        <f t="shared" ref="Z22" si="37">IFERROR($C22*(1-$V$1)/100*$Y22,"")</f>
        <v>37.549999999999997</v>
      </c>
      <c r="AA22" s="695">
        <f t="shared" ref="AA22" si="38">IFERROR($Z22-$Z23,"")</f>
        <v>6.4999999999997726E-2</v>
      </c>
    </row>
    <row r="23" spans="1:29" ht="12.75" customHeight="1">
      <c r="A23" s="750" t="str">
        <f>$AA$3</f>
        <v>GD35C - 48hs</v>
      </c>
      <c r="B23" s="574">
        <f t="shared" si="22"/>
        <v>25000</v>
      </c>
      <c r="C23" s="571">
        <f t="shared" si="0"/>
        <v>36.75</v>
      </c>
      <c r="D23" s="575">
        <f t="shared" si="1"/>
        <v>36.75</v>
      </c>
      <c r="E23" s="579">
        <f t="shared" si="2"/>
        <v>0</v>
      </c>
      <c r="F23" s="341">
        <f t="shared" si="3"/>
        <v>0</v>
      </c>
      <c r="G23" s="584">
        <f t="shared" si="4"/>
        <v>0</v>
      </c>
      <c r="H23" s="352">
        <f t="shared" si="5"/>
        <v>0</v>
      </c>
      <c r="I23" s="353">
        <f t="shared" si="6"/>
        <v>0</v>
      </c>
      <c r="J23" s="470">
        <f t="shared" si="7"/>
        <v>0</v>
      </c>
      <c r="K23" s="354">
        <f t="shared" si="8"/>
        <v>36.75</v>
      </c>
      <c r="L23" s="401">
        <f t="shared" si="9"/>
        <v>0</v>
      </c>
      <c r="M23" s="354">
        <f t="shared" si="10"/>
        <v>0</v>
      </c>
      <c r="N23" s="401">
        <f t="shared" si="11"/>
        <v>0</v>
      </c>
      <c r="O23" s="458">
        <f t="shared" si="12"/>
        <v>0</v>
      </c>
      <c r="P23" s="473">
        <v>22</v>
      </c>
      <c r="Q23" s="479">
        <v>0</v>
      </c>
      <c r="R23" s="434">
        <v>0</v>
      </c>
      <c r="S23" s="444">
        <v>0</v>
      </c>
      <c r="T23" s="355">
        <v>0</v>
      </c>
      <c r="U23" s="371">
        <v>0</v>
      </c>
      <c r="V23" s="507">
        <v>0</v>
      </c>
      <c r="W23" s="590">
        <v>0</v>
      </c>
      <c r="X23" s="599">
        <v>0</v>
      </c>
      <c r="Y23" s="523">
        <f>IFERROR(INT($Z22/($D23*(1+$V$1)/100)),0)</f>
        <v>102</v>
      </c>
      <c r="Z23" s="563">
        <f t="shared" ref="Z23" si="39">$D23/100*INT($Y23)</f>
        <v>37.484999999999999</v>
      </c>
      <c r="AA23" s="696"/>
    </row>
    <row r="24" spans="1:29" ht="12.75" customHeight="1">
      <c r="A24" s="623" t="str">
        <f>A3</f>
        <v>GD35D - 48hs</v>
      </c>
      <c r="B24" s="581">
        <f t="shared" si="22"/>
        <v>138</v>
      </c>
      <c r="C24" s="573">
        <f t="shared" si="0"/>
        <v>36</v>
      </c>
      <c r="D24" s="570">
        <f t="shared" si="1"/>
        <v>36.299999999999997</v>
      </c>
      <c r="E24" s="576">
        <f t="shared" si="2"/>
        <v>17350</v>
      </c>
      <c r="F24" s="449">
        <f t="shared" si="3"/>
        <v>36</v>
      </c>
      <c r="G24" s="583">
        <f t="shared" si="4"/>
        <v>-1.3600000000000001E-2</v>
      </c>
      <c r="H24" s="331">
        <f t="shared" si="5"/>
        <v>36.5</v>
      </c>
      <c r="I24" s="322">
        <f t="shared" si="6"/>
        <v>37.04</v>
      </c>
      <c r="J24" s="322">
        <f t="shared" si="7"/>
        <v>35.5</v>
      </c>
      <c r="K24" s="326">
        <f t="shared" si="8"/>
        <v>36.5</v>
      </c>
      <c r="L24" s="398">
        <f t="shared" si="9"/>
        <v>321798</v>
      </c>
      <c r="M24" s="326">
        <f t="shared" si="10"/>
        <v>895078</v>
      </c>
      <c r="N24" s="398">
        <f t="shared" si="11"/>
        <v>255</v>
      </c>
      <c r="O24" s="455">
        <f t="shared" si="12"/>
        <v>45294.708541666667</v>
      </c>
      <c r="P24" s="474">
        <v>23</v>
      </c>
      <c r="Q24" s="480">
        <v>0</v>
      </c>
      <c r="R24" s="430">
        <v>0</v>
      </c>
      <c r="S24" s="441">
        <v>0</v>
      </c>
      <c r="T24" s="351">
        <v>0</v>
      </c>
      <c r="U24" s="372">
        <v>0</v>
      </c>
      <c r="V24" s="506">
        <v>0</v>
      </c>
      <c r="W24" s="591">
        <v>0</v>
      </c>
      <c r="X24" s="600">
        <v>0</v>
      </c>
      <c r="Y24" s="524">
        <f t="shared" ref="Y24" si="40">Y23</f>
        <v>102</v>
      </c>
      <c r="Z24" s="564">
        <f t="shared" ref="Z24" si="41">$C24*(1-$V$1)/100*INT($Y24)</f>
        <v>36.72</v>
      </c>
      <c r="AA24" s="697">
        <f t="shared" ref="AA24" si="42">IFERROR($Z24-$Z25,"")</f>
        <v>4.8000000000001819E-2</v>
      </c>
    </row>
    <row r="25" spans="1:29" ht="12.75" customHeight="1">
      <c r="A25" s="749" t="str">
        <f>$AA$5</f>
        <v>AL30D - 48hs</v>
      </c>
      <c r="B25" s="577">
        <f t="shared" si="22"/>
        <v>5645</v>
      </c>
      <c r="C25" s="415">
        <f t="shared" si="0"/>
        <v>38</v>
      </c>
      <c r="D25" s="578">
        <f t="shared" si="1"/>
        <v>38.200000000000003</v>
      </c>
      <c r="E25" s="580">
        <f t="shared" si="2"/>
        <v>28229</v>
      </c>
      <c r="F25" s="582">
        <f t="shared" si="3"/>
        <v>38.200000000000003</v>
      </c>
      <c r="G25" s="585">
        <f t="shared" si="4"/>
        <v>-6.5000000000000006E-3</v>
      </c>
      <c r="H25" s="408">
        <f t="shared" si="5"/>
        <v>38.012</v>
      </c>
      <c r="I25" s="409">
        <f t="shared" si="6"/>
        <v>38.57</v>
      </c>
      <c r="J25" s="468">
        <f t="shared" si="7"/>
        <v>37.450000000000003</v>
      </c>
      <c r="K25" s="411">
        <f t="shared" si="8"/>
        <v>38.450000000000003</v>
      </c>
      <c r="L25" s="410">
        <f t="shared" si="9"/>
        <v>15158273</v>
      </c>
      <c r="M25" s="411">
        <f t="shared" si="10"/>
        <v>39796841</v>
      </c>
      <c r="N25" s="410">
        <f t="shared" si="11"/>
        <v>12137</v>
      </c>
      <c r="O25" s="456">
        <f t="shared" si="12"/>
        <v>45294.708645833336</v>
      </c>
      <c r="P25" s="625">
        <v>24</v>
      </c>
      <c r="Q25" s="477">
        <v>0</v>
      </c>
      <c r="R25" s="432">
        <v>0</v>
      </c>
      <c r="S25" s="442">
        <v>0</v>
      </c>
      <c r="T25" s="412">
        <v>0</v>
      </c>
      <c r="U25" s="371">
        <v>0</v>
      </c>
      <c r="V25" s="507">
        <v>0</v>
      </c>
      <c r="W25" s="592">
        <v>0</v>
      </c>
      <c r="X25" s="626">
        <v>0</v>
      </c>
      <c r="Y25" s="569">
        <f t="shared" ref="Y25" si="43">IFERROR($Z24/($D25*(1+$V$1)/100),0)</f>
        <v>96.125654450261777</v>
      </c>
      <c r="Z25" s="565">
        <f t="shared" ref="Z25" si="44">$D25/100*INT($Y25)</f>
        <v>36.671999999999997</v>
      </c>
      <c r="AA25" s="698"/>
    </row>
    <row r="26" spans="1:29" ht="12.75" customHeight="1">
      <c r="A26" s="566" t="s">
        <v>13</v>
      </c>
      <c r="B26" s="581">
        <f t="shared" si="22"/>
        <v>17460</v>
      </c>
      <c r="C26" s="573">
        <f t="shared" si="0"/>
        <v>38900</v>
      </c>
      <c r="D26" s="375">
        <f t="shared" si="1"/>
        <v>38999</v>
      </c>
      <c r="E26" s="572">
        <f t="shared" si="2"/>
        <v>24988</v>
      </c>
      <c r="F26" s="449">
        <f t="shared" si="3"/>
        <v>38901</v>
      </c>
      <c r="G26" s="583">
        <f t="shared" si="4"/>
        <v>2.64E-2</v>
      </c>
      <c r="H26" s="333">
        <f t="shared" si="5"/>
        <v>38900</v>
      </c>
      <c r="I26" s="325">
        <f t="shared" si="6"/>
        <v>39000</v>
      </c>
      <c r="J26" s="469">
        <f t="shared" si="7"/>
        <v>37532</v>
      </c>
      <c r="K26" s="329">
        <f t="shared" si="8"/>
        <v>37900</v>
      </c>
      <c r="L26" s="377">
        <f t="shared" si="9"/>
        <v>76293151090</v>
      </c>
      <c r="M26" s="329">
        <f t="shared" si="10"/>
        <v>200090851</v>
      </c>
      <c r="N26" s="377">
        <f t="shared" si="11"/>
        <v>73365</v>
      </c>
      <c r="O26" s="457">
        <f t="shared" si="12"/>
        <v>45294.6875</v>
      </c>
      <c r="P26" s="474">
        <v>25</v>
      </c>
      <c r="Q26" s="478">
        <v>0</v>
      </c>
      <c r="R26" s="433">
        <v>0</v>
      </c>
      <c r="S26" s="443">
        <v>0</v>
      </c>
      <c r="T26" s="358">
        <v>0</v>
      </c>
      <c r="U26" s="421">
        <v>0</v>
      </c>
      <c r="V26" s="424">
        <v>0</v>
      </c>
      <c r="W26" s="318">
        <v>0</v>
      </c>
      <c r="X26" s="604">
        <v>0</v>
      </c>
      <c r="Y26" s="560">
        <v>65</v>
      </c>
      <c r="Z26" s="596" t="str">
        <f>A27</f>
        <v>GD30 - spot</v>
      </c>
      <c r="AA26" s="620">
        <f>IFERROR(INT(VLOOKUP($A26,$A$42:$N$157,6,0)*$Y26/100)/(VLOOKUP($Z26,$A$42:$N$157,6,0)/100),"")</f>
        <v>60.577383804504073</v>
      </c>
    </row>
    <row r="27" spans="1:29" ht="12.75" customHeight="1">
      <c r="A27" s="624" t="s">
        <v>16</v>
      </c>
      <c r="B27" s="574">
        <f t="shared" si="22"/>
        <v>10</v>
      </c>
      <c r="C27" s="571">
        <f t="shared" si="0"/>
        <v>41120</v>
      </c>
      <c r="D27" s="575">
        <f t="shared" si="1"/>
        <v>41740</v>
      </c>
      <c r="E27" s="579">
        <f t="shared" si="2"/>
        <v>900</v>
      </c>
      <c r="F27" s="341">
        <f t="shared" si="3"/>
        <v>41740</v>
      </c>
      <c r="G27" s="584">
        <f t="shared" si="4"/>
        <v>4.4800000000000006E-2</v>
      </c>
      <c r="H27" s="352">
        <f t="shared" si="5"/>
        <v>40000</v>
      </c>
      <c r="I27" s="353">
        <f t="shared" si="6"/>
        <v>41749.5</v>
      </c>
      <c r="J27" s="470">
        <f t="shared" si="7"/>
        <v>39250</v>
      </c>
      <c r="K27" s="354">
        <f t="shared" si="8"/>
        <v>39950</v>
      </c>
      <c r="L27" s="401">
        <f t="shared" si="9"/>
        <v>6823991332</v>
      </c>
      <c r="M27" s="354">
        <f t="shared" si="10"/>
        <v>16949469</v>
      </c>
      <c r="N27" s="401">
        <f t="shared" si="11"/>
        <v>6055</v>
      </c>
      <c r="O27" s="458">
        <f t="shared" si="12"/>
        <v>45294.687800925924</v>
      </c>
      <c r="P27" s="473">
        <v>26</v>
      </c>
      <c r="Q27" s="479">
        <v>0</v>
      </c>
      <c r="R27" s="434">
        <v>0</v>
      </c>
      <c r="S27" s="440">
        <v>0</v>
      </c>
      <c r="T27" s="357">
        <v>0</v>
      </c>
      <c r="U27" s="422">
        <v>0</v>
      </c>
      <c r="V27" s="423">
        <v>0</v>
      </c>
      <c r="W27" s="279">
        <v>0</v>
      </c>
      <c r="X27" s="605">
        <v>0</v>
      </c>
      <c r="Y27" s="561">
        <v>64</v>
      </c>
      <c r="Z27" s="597" t="str">
        <f>A26</f>
        <v>AL30 - spot</v>
      </c>
      <c r="AA27" s="567">
        <f>IFERROR(INT(VLOOKUP($A27,$A$42:$N$157,6,0)*$Y27/100)/(VLOOKUP($Z27,$A$42:$N$157,6,0)/100),"")</f>
        <v>68.669185882110995</v>
      </c>
    </row>
    <row r="28" spans="1:29" ht="12.75" customHeight="1">
      <c r="A28" s="566" t="s">
        <v>2</v>
      </c>
      <c r="B28" s="581">
        <f t="shared" si="22"/>
        <v>30</v>
      </c>
      <c r="C28" s="573">
        <f t="shared" si="0"/>
        <v>39400</v>
      </c>
      <c r="D28" s="570">
        <f t="shared" si="1"/>
        <v>39410</v>
      </c>
      <c r="E28" s="576">
        <f t="shared" si="2"/>
        <v>78199</v>
      </c>
      <c r="F28" s="449">
        <f t="shared" si="3"/>
        <v>39400</v>
      </c>
      <c r="G28" s="583">
        <f t="shared" si="4"/>
        <v>3.5499999999999997E-2</v>
      </c>
      <c r="H28" s="331">
        <f t="shared" si="5"/>
        <v>38179</v>
      </c>
      <c r="I28" s="322">
        <f t="shared" si="6"/>
        <v>39410</v>
      </c>
      <c r="J28" s="322">
        <f t="shared" si="7"/>
        <v>37693.5</v>
      </c>
      <c r="K28" s="326">
        <f t="shared" si="8"/>
        <v>38048</v>
      </c>
      <c r="L28" s="398">
        <f t="shared" si="9"/>
        <v>52087601720</v>
      </c>
      <c r="M28" s="326">
        <f t="shared" si="10"/>
        <v>135287040</v>
      </c>
      <c r="N28" s="398">
        <f t="shared" si="11"/>
        <v>28555</v>
      </c>
      <c r="O28" s="455">
        <f t="shared" si="12"/>
        <v>45294.708414351851</v>
      </c>
      <c r="P28" s="474">
        <v>27</v>
      </c>
      <c r="Q28" s="480">
        <v>0</v>
      </c>
      <c r="R28" s="430">
        <v>0</v>
      </c>
      <c r="S28" s="445">
        <v>0</v>
      </c>
      <c r="T28" s="356">
        <v>0</v>
      </c>
      <c r="U28" s="421">
        <v>0</v>
      </c>
      <c r="V28" s="424">
        <v>0</v>
      </c>
      <c r="W28" s="363">
        <v>0</v>
      </c>
      <c r="X28" s="606">
        <v>0</v>
      </c>
      <c r="Y28" s="560">
        <v>63</v>
      </c>
      <c r="Z28" s="596" t="str">
        <f>A29</f>
        <v>GD30 - 48hs</v>
      </c>
      <c r="AA28" s="568">
        <f>IFERROR(INT(VLOOKUP($A28,$A$42:$N$157,6,0)*$Y28/100)/(VLOOKUP($Z28,$A$42:$N$157,6,0)/100),"")</f>
        <v>59.696969696969695</v>
      </c>
    </row>
    <row r="29" spans="1:29" ht="12.75" customHeight="1">
      <c r="A29" s="632" t="s">
        <v>5</v>
      </c>
      <c r="B29" s="577">
        <f t="shared" si="22"/>
        <v>189</v>
      </c>
      <c r="C29" s="415">
        <f t="shared" si="0"/>
        <v>41500</v>
      </c>
      <c r="D29" s="578">
        <f t="shared" si="1"/>
        <v>41590</v>
      </c>
      <c r="E29" s="580">
        <f t="shared" si="2"/>
        <v>400</v>
      </c>
      <c r="F29" s="582">
        <f t="shared" si="3"/>
        <v>41580</v>
      </c>
      <c r="G29" s="585">
        <f t="shared" si="4"/>
        <v>3.95E-2</v>
      </c>
      <c r="H29" s="408">
        <f t="shared" si="5"/>
        <v>40797</v>
      </c>
      <c r="I29" s="409">
        <f t="shared" si="6"/>
        <v>41580</v>
      </c>
      <c r="J29" s="468">
        <f t="shared" si="7"/>
        <v>39599.5</v>
      </c>
      <c r="K29" s="411">
        <f t="shared" si="8"/>
        <v>39999</v>
      </c>
      <c r="L29" s="410">
        <f t="shared" si="9"/>
        <v>14415206629</v>
      </c>
      <c r="M29" s="411">
        <f t="shared" si="10"/>
        <v>35636239</v>
      </c>
      <c r="N29" s="410">
        <f t="shared" si="11"/>
        <v>4392</v>
      </c>
      <c r="O29" s="456">
        <f t="shared" si="12"/>
        <v>45294.708645833336</v>
      </c>
      <c r="P29" s="625">
        <v>28</v>
      </c>
      <c r="Q29" s="477">
        <v>0</v>
      </c>
      <c r="R29" s="432">
        <v>0</v>
      </c>
      <c r="S29" s="442">
        <v>0</v>
      </c>
      <c r="T29" s="417">
        <v>0</v>
      </c>
      <c r="U29" s="422">
        <v>0</v>
      </c>
      <c r="V29" s="423">
        <v>0</v>
      </c>
      <c r="W29" s="448">
        <v>0</v>
      </c>
      <c r="X29" s="607">
        <v>0</v>
      </c>
      <c r="Y29" s="629">
        <v>62</v>
      </c>
      <c r="Z29" s="630" t="str">
        <f>A28</f>
        <v>AL30 - 48hs</v>
      </c>
      <c r="AA29" s="631">
        <f>IFERROR(INT(VLOOKUP($A29,$A$42:$N$157,6,0)*$Y29/100)/(VLOOKUP($Z29,$A$42:$N$157,6,0)/100),"")</f>
        <v>65.42893401015229</v>
      </c>
    </row>
    <row r="30" spans="1:29" ht="12.75" hidden="1" customHeight="1">
      <c r="A30" s="392" t="s">
        <v>630</v>
      </c>
      <c r="B30" s="335"/>
      <c r="C30" s="375"/>
      <c r="D30" s="375"/>
      <c r="E30" s="335"/>
      <c r="F30" s="376"/>
      <c r="G30" s="554"/>
      <c r="H30" s="333"/>
      <c r="I30" s="325"/>
      <c r="J30" s="469"/>
      <c r="K30" s="329"/>
      <c r="L30" s="377"/>
      <c r="M30" s="377"/>
      <c r="N30" s="377"/>
      <c r="O30" s="459"/>
      <c r="P30" s="474">
        <v>29</v>
      </c>
      <c r="Q30" s="405">
        <v>0</v>
      </c>
      <c r="R30" s="435">
        <v>0</v>
      </c>
      <c r="S30" s="443">
        <v>0</v>
      </c>
      <c r="T30" s="358">
        <v>0</v>
      </c>
      <c r="U30" s="421">
        <v>0</v>
      </c>
      <c r="V30" s="424">
        <v>0</v>
      </c>
      <c r="W30" s="318">
        <v>0</v>
      </c>
      <c r="X30" s="604">
        <v>0</v>
      </c>
      <c r="Y30" s="627">
        <v>0</v>
      </c>
      <c r="Z30" s="628">
        <v>0</v>
      </c>
      <c r="AA30" s="373"/>
    </row>
    <row r="31" spans="1:29" ht="12.75" hidden="1" customHeight="1">
      <c r="A31" s="393" t="s">
        <v>631</v>
      </c>
      <c r="B31" s="320"/>
      <c r="C31" s="336"/>
      <c r="D31" s="336"/>
      <c r="E31" s="320"/>
      <c r="F31" s="334"/>
      <c r="G31" s="556"/>
      <c r="H31" s="332"/>
      <c r="I31" s="323"/>
      <c r="J31" s="466"/>
      <c r="K31" s="327"/>
      <c r="L31" s="330"/>
      <c r="M31" s="330"/>
      <c r="N31" s="330"/>
      <c r="O31" s="460"/>
      <c r="P31" s="473">
        <v>30</v>
      </c>
      <c r="Q31" s="402">
        <v>0</v>
      </c>
      <c r="R31" s="436">
        <v>0</v>
      </c>
      <c r="S31" s="440">
        <v>0</v>
      </c>
      <c r="T31" s="357">
        <v>0</v>
      </c>
      <c r="U31" s="422">
        <v>0</v>
      </c>
      <c r="V31" s="423">
        <v>0</v>
      </c>
      <c r="W31" s="279">
        <v>0</v>
      </c>
      <c r="X31" s="605">
        <v>0</v>
      </c>
      <c r="Y31" s="526">
        <v>0</v>
      </c>
      <c r="Z31" s="537">
        <v>0</v>
      </c>
      <c r="AA31" s="373"/>
    </row>
    <row r="32" spans="1:29" ht="12.75" hidden="1" customHeight="1">
      <c r="A32" s="394" t="s">
        <v>570</v>
      </c>
      <c r="B32" s="359"/>
      <c r="C32" s="360"/>
      <c r="D32" s="360"/>
      <c r="E32" s="359"/>
      <c r="F32" s="361"/>
      <c r="G32" s="557"/>
      <c r="H32" s="345"/>
      <c r="I32" s="324"/>
      <c r="J32" s="472"/>
      <c r="K32" s="328"/>
      <c r="L32" s="362"/>
      <c r="M32" s="362"/>
      <c r="N32" s="362"/>
      <c r="O32" s="462"/>
      <c r="P32" s="474">
        <v>31</v>
      </c>
      <c r="Q32" s="403">
        <v>0</v>
      </c>
      <c r="R32" s="437">
        <v>0</v>
      </c>
      <c r="S32" s="445">
        <v>0</v>
      </c>
      <c r="T32" s="356">
        <v>0</v>
      </c>
      <c r="U32" s="421">
        <v>0</v>
      </c>
      <c r="V32" s="424">
        <v>0</v>
      </c>
      <c r="W32" s="363">
        <v>0</v>
      </c>
      <c r="X32" s="606">
        <v>0</v>
      </c>
      <c r="Y32" s="527">
        <v>0</v>
      </c>
      <c r="Z32" s="538">
        <v>0</v>
      </c>
      <c r="AA32" s="373"/>
    </row>
    <row r="33" spans="1:29" ht="12.75" hidden="1" customHeight="1">
      <c r="A33" s="393" t="s">
        <v>571</v>
      </c>
      <c r="B33" s="320"/>
      <c r="C33" s="336"/>
      <c r="D33" s="336"/>
      <c r="E33" s="320"/>
      <c r="F33" s="334"/>
      <c r="G33" s="556"/>
      <c r="H33" s="332"/>
      <c r="I33" s="323"/>
      <c r="J33" s="466"/>
      <c r="K33" s="327"/>
      <c r="L33" s="330"/>
      <c r="M33" s="330"/>
      <c r="N33" s="330"/>
      <c r="O33" s="460"/>
      <c r="P33" s="473">
        <v>32</v>
      </c>
      <c r="Q33" s="402">
        <v>0</v>
      </c>
      <c r="R33" s="436">
        <v>0</v>
      </c>
      <c r="S33" s="440">
        <v>0</v>
      </c>
      <c r="T33" s="357">
        <v>0</v>
      </c>
      <c r="U33" s="422">
        <v>0</v>
      </c>
      <c r="V33" s="423">
        <v>0</v>
      </c>
      <c r="W33" s="279">
        <v>0</v>
      </c>
      <c r="X33" s="605">
        <v>0</v>
      </c>
      <c r="Y33" s="526">
        <v>0</v>
      </c>
      <c r="Z33" s="537">
        <v>0</v>
      </c>
      <c r="AA33" s="373"/>
    </row>
    <row r="34" spans="1:29" ht="12.75" hidden="1" customHeight="1">
      <c r="A34" s="394" t="s">
        <v>577</v>
      </c>
      <c r="B34" s="359"/>
      <c r="C34" s="360"/>
      <c r="D34" s="360"/>
      <c r="E34" s="359"/>
      <c r="F34" s="361"/>
      <c r="G34" s="557"/>
      <c r="H34" s="345"/>
      <c r="I34" s="324"/>
      <c r="J34" s="472"/>
      <c r="K34" s="328"/>
      <c r="L34" s="362"/>
      <c r="M34" s="362"/>
      <c r="N34" s="362"/>
      <c r="O34" s="462"/>
      <c r="P34" s="474">
        <v>33</v>
      </c>
      <c r="Q34" s="403">
        <v>0</v>
      </c>
      <c r="R34" s="437">
        <v>0</v>
      </c>
      <c r="S34" s="445">
        <v>0</v>
      </c>
      <c r="T34" s="356">
        <v>0</v>
      </c>
      <c r="U34" s="421">
        <v>0</v>
      </c>
      <c r="V34" s="424">
        <v>0</v>
      </c>
      <c r="W34" s="363">
        <v>0</v>
      </c>
      <c r="X34" s="606">
        <v>0</v>
      </c>
      <c r="Y34" s="527">
        <v>0</v>
      </c>
      <c r="Z34" s="538">
        <v>0</v>
      </c>
      <c r="AA34" s="373"/>
    </row>
    <row r="35" spans="1:29" ht="12.75" hidden="1" customHeight="1">
      <c r="A35" s="393" t="s">
        <v>572</v>
      </c>
      <c r="B35" s="320"/>
      <c r="C35" s="336"/>
      <c r="D35" s="336"/>
      <c r="E35" s="320"/>
      <c r="F35" s="334"/>
      <c r="G35" s="556"/>
      <c r="H35" s="332"/>
      <c r="I35" s="323"/>
      <c r="J35" s="466"/>
      <c r="K35" s="327"/>
      <c r="L35" s="330"/>
      <c r="M35" s="330"/>
      <c r="N35" s="330"/>
      <c r="O35" s="460"/>
      <c r="P35" s="473">
        <v>34</v>
      </c>
      <c r="Q35" s="402">
        <v>0</v>
      </c>
      <c r="R35" s="436">
        <v>0</v>
      </c>
      <c r="S35" s="440">
        <v>0</v>
      </c>
      <c r="T35" s="357">
        <v>0</v>
      </c>
      <c r="U35" s="422">
        <v>0</v>
      </c>
      <c r="V35" s="423">
        <v>0</v>
      </c>
      <c r="W35" s="279">
        <v>0</v>
      </c>
      <c r="X35" s="605">
        <v>0</v>
      </c>
      <c r="Y35" s="526">
        <v>0</v>
      </c>
      <c r="Z35" s="537">
        <v>0</v>
      </c>
      <c r="AA35" s="373"/>
    </row>
    <row r="36" spans="1:29" ht="12.75" hidden="1" customHeight="1">
      <c r="A36" s="394" t="s">
        <v>573</v>
      </c>
      <c r="B36" s="359"/>
      <c r="C36" s="360"/>
      <c r="D36" s="360"/>
      <c r="E36" s="359"/>
      <c r="F36" s="361"/>
      <c r="G36" s="557"/>
      <c r="H36" s="345"/>
      <c r="I36" s="324"/>
      <c r="J36" s="472"/>
      <c r="K36" s="328"/>
      <c r="L36" s="362"/>
      <c r="M36" s="362"/>
      <c r="N36" s="362"/>
      <c r="O36" s="462"/>
      <c r="P36" s="474">
        <v>35</v>
      </c>
      <c r="Q36" s="403">
        <v>0</v>
      </c>
      <c r="R36" s="437">
        <v>0</v>
      </c>
      <c r="S36" s="445">
        <v>0</v>
      </c>
      <c r="T36" s="356">
        <v>0</v>
      </c>
      <c r="U36" s="421">
        <v>0</v>
      </c>
      <c r="V36" s="424">
        <v>0</v>
      </c>
      <c r="W36" s="363">
        <v>0</v>
      </c>
      <c r="X36" s="606">
        <v>0</v>
      </c>
      <c r="Y36" s="527">
        <v>0</v>
      </c>
      <c r="Z36" s="538">
        <v>0</v>
      </c>
      <c r="AA36" s="373"/>
    </row>
    <row r="37" spans="1:29" ht="12.75" hidden="1" customHeight="1">
      <c r="A37" s="393" t="s">
        <v>574</v>
      </c>
      <c r="B37" s="320"/>
      <c r="C37" s="336"/>
      <c r="D37" s="336"/>
      <c r="E37" s="320"/>
      <c r="F37" s="334"/>
      <c r="G37" s="556"/>
      <c r="H37" s="332"/>
      <c r="I37" s="323"/>
      <c r="J37" s="466"/>
      <c r="K37" s="327"/>
      <c r="L37" s="330"/>
      <c r="M37" s="330"/>
      <c r="N37" s="330"/>
      <c r="O37" s="460"/>
      <c r="P37" s="473">
        <v>36</v>
      </c>
      <c r="Q37" s="402">
        <v>0</v>
      </c>
      <c r="R37" s="436">
        <v>0</v>
      </c>
      <c r="S37" s="440">
        <v>0</v>
      </c>
      <c r="T37" s="357">
        <v>0</v>
      </c>
      <c r="U37" s="422">
        <v>0</v>
      </c>
      <c r="V37" s="423">
        <v>0</v>
      </c>
      <c r="W37" s="279">
        <v>0</v>
      </c>
      <c r="X37" s="605">
        <v>0</v>
      </c>
      <c r="Y37" s="526">
        <v>0</v>
      </c>
      <c r="Z37" s="537">
        <v>0</v>
      </c>
      <c r="AA37" s="373"/>
    </row>
    <row r="38" spans="1:29" ht="12.75" hidden="1" customHeight="1">
      <c r="A38" s="394" t="s">
        <v>578</v>
      </c>
      <c r="B38" s="359"/>
      <c r="C38" s="360"/>
      <c r="D38" s="360"/>
      <c r="E38" s="359"/>
      <c r="F38" s="361"/>
      <c r="G38" s="557"/>
      <c r="H38" s="345"/>
      <c r="I38" s="324"/>
      <c r="J38" s="472"/>
      <c r="K38" s="328"/>
      <c r="L38" s="362"/>
      <c r="M38" s="362"/>
      <c r="N38" s="362"/>
      <c r="O38" s="462"/>
      <c r="P38" s="474">
        <v>37</v>
      </c>
      <c r="Q38" s="403">
        <v>0</v>
      </c>
      <c r="R38" s="437">
        <v>0</v>
      </c>
      <c r="S38" s="445">
        <v>0</v>
      </c>
      <c r="T38" s="356">
        <v>0</v>
      </c>
      <c r="U38" s="421">
        <v>0</v>
      </c>
      <c r="V38" s="424">
        <v>0</v>
      </c>
      <c r="W38" s="363">
        <v>0</v>
      </c>
      <c r="X38" s="606">
        <v>0</v>
      </c>
      <c r="Y38" s="527">
        <v>0</v>
      </c>
      <c r="Z38" s="538">
        <v>0</v>
      </c>
      <c r="AA38" s="373"/>
    </row>
    <row r="39" spans="1:29" ht="12.75" hidden="1" customHeight="1">
      <c r="A39" s="393" t="s">
        <v>575</v>
      </c>
      <c r="B39" s="320"/>
      <c r="C39" s="336"/>
      <c r="D39" s="336"/>
      <c r="E39" s="320"/>
      <c r="F39" s="334"/>
      <c r="G39" s="556"/>
      <c r="H39" s="332"/>
      <c r="I39" s="323"/>
      <c r="J39" s="466"/>
      <c r="K39" s="327"/>
      <c r="L39" s="330"/>
      <c r="M39" s="330"/>
      <c r="N39" s="330"/>
      <c r="O39" s="460"/>
      <c r="P39" s="473">
        <v>38</v>
      </c>
      <c r="Q39" s="402">
        <v>0</v>
      </c>
      <c r="R39" s="436">
        <v>0</v>
      </c>
      <c r="S39" s="440">
        <v>0</v>
      </c>
      <c r="T39" s="357">
        <v>0</v>
      </c>
      <c r="U39" s="422">
        <v>0</v>
      </c>
      <c r="V39" s="423">
        <v>0</v>
      </c>
      <c r="W39" s="279">
        <v>0</v>
      </c>
      <c r="X39" s="605">
        <v>0</v>
      </c>
      <c r="Y39" s="526">
        <v>0</v>
      </c>
      <c r="Z39" s="537">
        <v>0</v>
      </c>
      <c r="AA39" s="373"/>
    </row>
    <row r="40" spans="1:29" ht="12.75" hidden="1" customHeight="1">
      <c r="A40" s="394" t="s">
        <v>576</v>
      </c>
      <c r="B40" s="359"/>
      <c r="C40" s="360"/>
      <c r="D40" s="360"/>
      <c r="E40" s="359"/>
      <c r="F40" s="361"/>
      <c r="G40" s="557"/>
      <c r="H40" s="345"/>
      <c r="I40" s="324"/>
      <c r="J40" s="472"/>
      <c r="K40" s="328"/>
      <c r="L40" s="362"/>
      <c r="M40" s="362"/>
      <c r="N40" s="362"/>
      <c r="O40" s="462"/>
      <c r="P40" s="474">
        <v>39</v>
      </c>
      <c r="Q40" s="403">
        <v>0</v>
      </c>
      <c r="R40" s="437">
        <v>0</v>
      </c>
      <c r="S40" s="445">
        <v>0</v>
      </c>
      <c r="T40" s="356">
        <v>0</v>
      </c>
      <c r="U40" s="421">
        <v>0</v>
      </c>
      <c r="V40" s="424">
        <v>0</v>
      </c>
      <c r="W40" s="363">
        <v>0</v>
      </c>
      <c r="X40" s="606">
        <v>0</v>
      </c>
      <c r="Y40" s="527">
        <v>0</v>
      </c>
      <c r="Z40" s="538">
        <v>0</v>
      </c>
      <c r="AA40" s="373"/>
    </row>
    <row r="41" spans="1:29" ht="12.75" hidden="1" customHeight="1">
      <c r="A41" s="414" t="s">
        <v>579</v>
      </c>
      <c r="B41" s="413"/>
      <c r="C41" s="415"/>
      <c r="D41" s="415"/>
      <c r="E41" s="413"/>
      <c r="F41" s="416"/>
      <c r="G41" s="555"/>
      <c r="H41" s="408"/>
      <c r="I41" s="409"/>
      <c r="J41" s="468"/>
      <c r="K41" s="411"/>
      <c r="L41" s="410"/>
      <c r="M41" s="410"/>
      <c r="N41" s="410"/>
      <c r="O41" s="461"/>
      <c r="P41" s="473">
        <v>40</v>
      </c>
      <c r="Q41" s="482">
        <v>0</v>
      </c>
      <c r="R41" s="438">
        <v>0</v>
      </c>
      <c r="S41" s="442">
        <v>0</v>
      </c>
      <c r="T41" s="417">
        <v>0</v>
      </c>
      <c r="U41" s="422">
        <v>0</v>
      </c>
      <c r="V41" s="423">
        <v>0</v>
      </c>
      <c r="W41" s="448">
        <v>0</v>
      </c>
      <c r="X41" s="607">
        <v>0</v>
      </c>
      <c r="Y41" s="528">
        <v>0</v>
      </c>
      <c r="Z41" s="539">
        <v>0</v>
      </c>
      <c r="AA41" s="373"/>
    </row>
    <row r="42" spans="1:29" ht="12.75" hidden="1" customHeight="1">
      <c r="A42" s="428" t="s">
        <v>335</v>
      </c>
      <c r="B42" s="367"/>
      <c r="C42" s="321"/>
      <c r="D42" s="382"/>
      <c r="E42" s="367"/>
      <c r="F42" s="383"/>
      <c r="G42" s="554"/>
      <c r="H42" s="333"/>
      <c r="I42" s="325"/>
      <c r="J42" s="469"/>
      <c r="K42" s="329"/>
      <c r="L42" s="377"/>
      <c r="M42" s="329"/>
      <c r="N42" s="377"/>
      <c r="O42" s="459"/>
      <c r="P42" s="474">
        <v>41</v>
      </c>
      <c r="Q42" s="405">
        <v>0</v>
      </c>
      <c r="R42" s="435">
        <v>0</v>
      </c>
      <c r="S42" s="443">
        <v>0</v>
      </c>
      <c r="T42" s="358">
        <v>0</v>
      </c>
      <c r="U42" s="421">
        <v>0</v>
      </c>
      <c r="V42" s="424">
        <v>0</v>
      </c>
      <c r="W42" s="447">
        <v>0</v>
      </c>
      <c r="X42" s="604">
        <v>0</v>
      </c>
      <c r="Y42" s="529">
        <f>(C43*(1-$V$1))-D42</f>
        <v>0</v>
      </c>
      <c r="Z42" s="540">
        <f>($F42/100*$X$1)-($F43/100*$W$1)+($F43/100*$W$1*($AE$1*$AD$1))</f>
        <v>0</v>
      </c>
      <c r="AA42" s="693" t="str">
        <f>MID($A42,1,5)</f>
        <v xml:space="preserve">GGAL </v>
      </c>
    </row>
    <row r="43" spans="1:29" ht="12.75" hidden="1" customHeight="1">
      <c r="A43" s="485" t="s">
        <v>336</v>
      </c>
      <c r="B43" s="418"/>
      <c r="C43" s="419"/>
      <c r="D43" s="419"/>
      <c r="E43" s="418"/>
      <c r="F43" s="387"/>
      <c r="G43" s="558"/>
      <c r="H43" s="378"/>
      <c r="I43" s="379"/>
      <c r="J43" s="471"/>
      <c r="K43" s="380"/>
      <c r="L43" s="384"/>
      <c r="M43" s="380"/>
      <c r="N43" s="384"/>
      <c r="O43" s="463"/>
      <c r="P43" s="473">
        <v>42</v>
      </c>
      <c r="Q43" s="404">
        <v>0</v>
      </c>
      <c r="R43" s="439">
        <v>0</v>
      </c>
      <c r="S43" s="446">
        <v>0</v>
      </c>
      <c r="T43" s="385">
        <v>0</v>
      </c>
      <c r="U43" s="422">
        <v>0</v>
      </c>
      <c r="V43" s="423">
        <v>0</v>
      </c>
      <c r="W43" s="420">
        <v>0</v>
      </c>
      <c r="X43" s="608">
        <v>0</v>
      </c>
      <c r="Y43" s="530">
        <f>IFERROR(((C43-D42)/100)/D42*100,0)</f>
        <v>0</v>
      </c>
      <c r="Z43" s="541">
        <f>$F43/100*$W$1*($AE$1*$AD$1)</f>
        <v>0</v>
      </c>
      <c r="AA43" s="694"/>
    </row>
    <row r="44" spans="1:29" ht="12.75" hidden="1" customHeight="1">
      <c r="A44" s="428" t="s">
        <v>615</v>
      </c>
      <c r="B44" s="367"/>
      <c r="C44" s="321"/>
      <c r="D44" s="382"/>
      <c r="E44" s="367"/>
      <c r="F44" s="449"/>
      <c r="G44" s="554"/>
      <c r="H44" s="333"/>
      <c r="I44" s="325"/>
      <c r="J44" s="469"/>
      <c r="K44" s="329"/>
      <c r="L44" s="377"/>
      <c r="M44" s="329"/>
      <c r="N44" s="377"/>
      <c r="O44" s="459"/>
      <c r="P44" s="474">
        <v>43</v>
      </c>
      <c r="Q44" s="405">
        <v>0</v>
      </c>
      <c r="R44" s="435">
        <v>0</v>
      </c>
      <c r="S44" s="443">
        <v>0</v>
      </c>
      <c r="T44" s="358">
        <v>0</v>
      </c>
      <c r="U44" s="421">
        <v>0</v>
      </c>
      <c r="V44" s="424">
        <v>0</v>
      </c>
      <c r="W44" s="450">
        <v>0</v>
      </c>
      <c r="X44" s="609">
        <v>0</v>
      </c>
      <c r="Y44" s="531">
        <f>($F45*(1-$V$1))-$F44</f>
        <v>0</v>
      </c>
      <c r="Z44" s="542">
        <f>($F44/100*$X$1)-($F45/100*$W$1)+($F45/100*$W$1*($AE$1*$AD$1))</f>
        <v>0</v>
      </c>
      <c r="AA44" s="700" t="str">
        <f>MID($A44,1,5)</f>
        <v xml:space="preserve">PAMP </v>
      </c>
    </row>
    <row r="45" spans="1:29" ht="12.75" hidden="1" customHeight="1">
      <c r="A45" s="427" t="s">
        <v>616</v>
      </c>
      <c r="B45" s="486"/>
      <c r="C45" s="487"/>
      <c r="D45" s="487"/>
      <c r="E45" s="486"/>
      <c r="F45" s="488"/>
      <c r="G45" s="555"/>
      <c r="H45" s="408"/>
      <c r="I45" s="409"/>
      <c r="J45" s="468"/>
      <c r="K45" s="411"/>
      <c r="L45" s="410"/>
      <c r="M45" s="411"/>
      <c r="N45" s="410"/>
      <c r="O45" s="489"/>
      <c r="P45" s="473">
        <v>44</v>
      </c>
      <c r="Q45" s="482">
        <v>0</v>
      </c>
      <c r="R45" s="438">
        <v>0</v>
      </c>
      <c r="S45" s="442">
        <v>0</v>
      </c>
      <c r="T45" s="417">
        <v>0</v>
      </c>
      <c r="U45" s="422">
        <v>0</v>
      </c>
      <c r="V45" s="423">
        <v>0</v>
      </c>
      <c r="W45" s="490">
        <v>0</v>
      </c>
      <c r="X45" s="610">
        <v>0</v>
      </c>
      <c r="Y45" s="532">
        <f>IFERROR((($F45-$F44)/100)/$F44*100,0)</f>
        <v>0</v>
      </c>
      <c r="Z45" s="543">
        <f>$F45/100*$W$1*($AE$1*$AD$1)</f>
        <v>0</v>
      </c>
      <c r="AA45" s="701"/>
    </row>
    <row r="46" spans="1:29" ht="12.75" customHeight="1">
      <c r="A46" s="428" t="s">
        <v>13</v>
      </c>
      <c r="B46" s="365">
        <v>17460</v>
      </c>
      <c r="C46" s="321">
        <v>38900</v>
      </c>
      <c r="D46" s="386">
        <v>38999</v>
      </c>
      <c r="E46" s="365">
        <v>24988</v>
      </c>
      <c r="F46" s="503">
        <v>38901</v>
      </c>
      <c r="G46" s="583">
        <v>2.64E-2</v>
      </c>
      <c r="H46" s="333">
        <v>38900</v>
      </c>
      <c r="I46" s="325">
        <v>39000</v>
      </c>
      <c r="J46" s="469">
        <v>37532</v>
      </c>
      <c r="K46" s="329">
        <v>37900</v>
      </c>
      <c r="L46" s="377">
        <v>76293151090</v>
      </c>
      <c r="M46" s="329">
        <v>200090851</v>
      </c>
      <c r="N46" s="377">
        <v>73365</v>
      </c>
      <c r="O46" s="459">
        <v>45294.6875</v>
      </c>
      <c r="P46" s="474">
        <v>45</v>
      </c>
      <c r="Q46" s="405">
        <v>0</v>
      </c>
      <c r="R46" s="435">
        <v>0</v>
      </c>
      <c r="S46" s="443">
        <v>0</v>
      </c>
      <c r="T46" s="358">
        <v>0</v>
      </c>
      <c r="U46" s="421">
        <v>0</v>
      </c>
      <c r="V46" s="508">
        <v>0</v>
      </c>
      <c r="W46" s="512" t="str">
        <f>IF(X46&gt;0,(F46*V46/100)-(V46*X46),"")</f>
        <v/>
      </c>
      <c r="X46" s="611">
        <v>0</v>
      </c>
      <c r="Y46" s="691">
        <f>IF(D46&lt;&gt;0,($C47*(1-$V$1))-$D46,0)</f>
        <v>401</v>
      </c>
      <c r="Z46" s="544">
        <f>$F47*($AE$1*$AD$1)</f>
        <v>171.84876712328767</v>
      </c>
      <c r="AA46" s="621"/>
      <c r="AB46" s="38"/>
      <c r="AC46" s="364"/>
    </row>
    <row r="47" spans="1:29" ht="12.75" customHeight="1">
      <c r="A47" s="426" t="s">
        <v>2</v>
      </c>
      <c r="B47" s="338">
        <v>30</v>
      </c>
      <c r="C47" s="340">
        <v>39400</v>
      </c>
      <c r="D47" s="340">
        <v>39410</v>
      </c>
      <c r="E47" s="501">
        <v>78199</v>
      </c>
      <c r="F47" s="504">
        <v>39400</v>
      </c>
      <c r="G47" s="586">
        <v>3.5499999999999997E-2</v>
      </c>
      <c r="H47" s="332">
        <v>38179</v>
      </c>
      <c r="I47" s="323">
        <v>39410</v>
      </c>
      <c r="J47" s="466">
        <v>37693.5</v>
      </c>
      <c r="K47" s="327">
        <v>38048</v>
      </c>
      <c r="L47" s="330">
        <v>52087601720</v>
      </c>
      <c r="M47" s="327">
        <v>135287040</v>
      </c>
      <c r="N47" s="330">
        <v>28555</v>
      </c>
      <c r="O47" s="460">
        <v>45294.708414351851</v>
      </c>
      <c r="P47" s="473">
        <v>46</v>
      </c>
      <c r="Q47" s="402">
        <v>0</v>
      </c>
      <c r="R47" s="436">
        <v>0</v>
      </c>
      <c r="S47" s="440">
        <v>0</v>
      </c>
      <c r="T47" s="357">
        <v>0</v>
      </c>
      <c r="U47" s="422">
        <v>0</v>
      </c>
      <c r="V47" s="509">
        <v>0</v>
      </c>
      <c r="W47" s="513" t="str">
        <f>IF(X47&gt;0,(F47*V47/100)-(V47*X47),"")</f>
        <v/>
      </c>
      <c r="X47" s="612">
        <v>0</v>
      </c>
      <c r="Y47" s="692"/>
      <c r="Z47" s="545">
        <v>0</v>
      </c>
      <c r="AA47" s="622"/>
      <c r="AB47" s="38"/>
      <c r="AC47" s="370"/>
    </row>
    <row r="48" spans="1:29" ht="12.75" customHeight="1">
      <c r="A48" s="348" t="s">
        <v>15</v>
      </c>
      <c r="B48" s="342">
        <v>152000</v>
      </c>
      <c r="C48" s="343">
        <v>37.25</v>
      </c>
      <c r="D48" s="343">
        <v>37.999000000000002</v>
      </c>
      <c r="E48" s="342">
        <v>265</v>
      </c>
      <c r="F48" s="344">
        <v>37.26</v>
      </c>
      <c r="G48" s="587">
        <v>-4.4600000000000001E-2</v>
      </c>
      <c r="H48" s="345">
        <v>38.99</v>
      </c>
      <c r="I48" s="324">
        <v>39</v>
      </c>
      <c r="J48" s="472">
        <v>37</v>
      </c>
      <c r="K48" s="328">
        <v>39</v>
      </c>
      <c r="L48" s="362">
        <v>2305593</v>
      </c>
      <c r="M48" s="328">
        <v>6047772</v>
      </c>
      <c r="N48" s="362">
        <v>894</v>
      </c>
      <c r="O48" s="462">
        <v>45294.687696759262</v>
      </c>
      <c r="P48" s="474">
        <v>47</v>
      </c>
      <c r="Q48" s="403">
        <v>0</v>
      </c>
      <c r="R48" s="437">
        <v>0</v>
      </c>
      <c r="S48" s="445">
        <v>0</v>
      </c>
      <c r="T48" s="356">
        <v>0</v>
      </c>
      <c r="U48" s="421">
        <v>0</v>
      </c>
      <c r="V48" s="511">
        <v>0</v>
      </c>
      <c r="W48" s="512" t="str">
        <f t="shared" ref="W48:W51" si="45">IF(X48&gt;0,(F48*V48/100)-(V48*X48),"")</f>
        <v/>
      </c>
      <c r="X48" s="613">
        <v>0</v>
      </c>
      <c r="Y48" s="687">
        <f>IF(D48&lt;&gt;0,($C49*(1-$V$1))-$D48,0)</f>
        <v>-0.44900000000000517</v>
      </c>
      <c r="Z48" s="536">
        <f>IFERROR(D46/C48,"")</f>
        <v>1046.9530201342282</v>
      </c>
      <c r="AA48" s="548">
        <f>IFERROR($AB$1/(D48/100)*(C46/100),"")</f>
        <v>538410.64238532598</v>
      </c>
      <c r="AB48" s="38"/>
      <c r="AC48" s="370"/>
    </row>
    <row r="49" spans="1:29" ht="12.75" customHeight="1">
      <c r="A49" s="484" t="s">
        <v>3</v>
      </c>
      <c r="B49" s="337">
        <v>1593</v>
      </c>
      <c r="C49" s="339">
        <v>37.549999999999997</v>
      </c>
      <c r="D49" s="339">
        <v>37.799999999999997</v>
      </c>
      <c r="E49" s="337">
        <v>80829</v>
      </c>
      <c r="F49" s="341">
        <v>37.799999999999997</v>
      </c>
      <c r="G49" s="586">
        <v>-2.5699999999999997E-2</v>
      </c>
      <c r="H49" s="332">
        <v>38.799999999999997</v>
      </c>
      <c r="I49" s="323">
        <v>39.700000000000003</v>
      </c>
      <c r="J49" s="466">
        <v>37.5</v>
      </c>
      <c r="K49" s="327">
        <v>38.799999999999997</v>
      </c>
      <c r="L49" s="330">
        <v>264033</v>
      </c>
      <c r="M49" s="327">
        <v>691466</v>
      </c>
      <c r="N49" s="330">
        <v>88</v>
      </c>
      <c r="O49" s="460">
        <v>45294.699884259258</v>
      </c>
      <c r="P49" s="473">
        <v>48</v>
      </c>
      <c r="Q49" s="402">
        <v>0</v>
      </c>
      <c r="R49" s="436">
        <v>0</v>
      </c>
      <c r="S49" s="440">
        <v>0</v>
      </c>
      <c r="T49" s="357">
        <v>0</v>
      </c>
      <c r="U49" s="422">
        <v>0</v>
      </c>
      <c r="V49" s="510">
        <v>0</v>
      </c>
      <c r="W49" s="513" t="str">
        <f t="shared" si="45"/>
        <v/>
      </c>
      <c r="X49" s="612">
        <v>0</v>
      </c>
      <c r="Y49" s="688"/>
      <c r="Z49" s="535">
        <f>IFERROR(D47/C49,"")</f>
        <v>1049.5339547270307</v>
      </c>
      <c r="AA49" s="552">
        <f>IFERROR($AB$1/(D49/100)*(C47/100),"")</f>
        <v>548202.01058201073</v>
      </c>
      <c r="AB49" s="38"/>
      <c r="AC49" s="370"/>
    </row>
    <row r="50" spans="1:29" ht="12.75" customHeight="1">
      <c r="A50" s="348" t="s">
        <v>14</v>
      </c>
      <c r="B50" s="346">
        <v>256524</v>
      </c>
      <c r="C50" s="343">
        <v>38.1</v>
      </c>
      <c r="D50" s="343">
        <v>38.15</v>
      </c>
      <c r="E50" s="346">
        <v>2133</v>
      </c>
      <c r="F50" s="344">
        <v>38.1</v>
      </c>
      <c r="G50" s="587">
        <v>-1.34E-2</v>
      </c>
      <c r="H50" s="345">
        <v>38.270000000000003</v>
      </c>
      <c r="I50" s="324">
        <v>38.598999999999997</v>
      </c>
      <c r="J50" s="472">
        <v>37.409999999999997</v>
      </c>
      <c r="K50" s="328">
        <v>38.619999999999997</v>
      </c>
      <c r="L50" s="362">
        <v>66503905</v>
      </c>
      <c r="M50" s="328">
        <v>174759301</v>
      </c>
      <c r="N50" s="362">
        <v>70810</v>
      </c>
      <c r="O50" s="462">
        <v>45294.6877662037</v>
      </c>
      <c r="P50" s="474">
        <v>49</v>
      </c>
      <c r="Q50" s="403">
        <v>0</v>
      </c>
      <c r="R50" s="437">
        <v>0</v>
      </c>
      <c r="S50" s="445">
        <v>0</v>
      </c>
      <c r="T50" s="356">
        <v>0</v>
      </c>
      <c r="U50" s="421">
        <v>0</v>
      </c>
      <c r="V50" s="505">
        <v>0</v>
      </c>
      <c r="W50" s="512" t="str">
        <f t="shared" si="45"/>
        <v/>
      </c>
      <c r="X50" s="613">
        <v>0</v>
      </c>
      <c r="Y50" s="689">
        <f>IF(D50&lt;&gt;0,($C51*(1-$V$1))-$D50,0)</f>
        <v>-0.14999999999999858</v>
      </c>
      <c r="Z50" s="534">
        <f>IFERROR(D46/C50,"")</f>
        <v>1023.5958005249344</v>
      </c>
      <c r="AA50" s="548">
        <f>IFERROR($AB$1/(D50/100)*(C46/100),"")</f>
        <v>536279.58060288348</v>
      </c>
      <c r="AB50" s="38"/>
      <c r="AC50" s="370"/>
    </row>
    <row r="51" spans="1:29" ht="12.75" customHeight="1">
      <c r="A51" s="429" t="s">
        <v>4</v>
      </c>
      <c r="B51" s="389">
        <v>5645</v>
      </c>
      <c r="C51" s="390">
        <v>38</v>
      </c>
      <c r="D51" s="390">
        <v>38.200000000000003</v>
      </c>
      <c r="E51" s="389">
        <v>28229</v>
      </c>
      <c r="F51" s="387">
        <v>38.200000000000003</v>
      </c>
      <c r="G51" s="588">
        <v>-6.5000000000000006E-3</v>
      </c>
      <c r="H51" s="378">
        <v>38.012</v>
      </c>
      <c r="I51" s="379">
        <v>38.57</v>
      </c>
      <c r="J51" s="471">
        <v>37.450000000000003</v>
      </c>
      <c r="K51" s="380">
        <v>38.450000000000003</v>
      </c>
      <c r="L51" s="384">
        <v>15158273</v>
      </c>
      <c r="M51" s="380">
        <v>39796841</v>
      </c>
      <c r="N51" s="384">
        <v>12137</v>
      </c>
      <c r="O51" s="463">
        <v>45294.708645833336</v>
      </c>
      <c r="P51" s="473">
        <v>50</v>
      </c>
      <c r="Q51" s="404">
        <v>0</v>
      </c>
      <c r="R51" s="439">
        <v>0</v>
      </c>
      <c r="S51" s="446">
        <v>0</v>
      </c>
      <c r="T51" s="385">
        <v>0</v>
      </c>
      <c r="U51" s="422">
        <v>0</v>
      </c>
      <c r="V51" s="423">
        <v>0</v>
      </c>
      <c r="W51" s="514" t="str">
        <f t="shared" si="45"/>
        <v/>
      </c>
      <c r="X51" s="614">
        <v>0</v>
      </c>
      <c r="Y51" s="690"/>
      <c r="Z51" s="546">
        <f>IFERROR(D47/C51,"")</f>
        <v>1037.1052631578948</v>
      </c>
      <c r="AA51" s="553">
        <f>IFERROR($AB$1/(D51/100)*(C47/100),"")</f>
        <v>542461.67539267021</v>
      </c>
      <c r="AB51" s="38"/>
      <c r="AC51" s="370"/>
    </row>
    <row r="52" spans="1:29" ht="12.75" customHeight="1">
      <c r="A52" s="428" t="s">
        <v>16</v>
      </c>
      <c r="B52" s="365">
        <v>10</v>
      </c>
      <c r="C52" s="321">
        <v>41120</v>
      </c>
      <c r="D52" s="386">
        <v>41740</v>
      </c>
      <c r="E52" s="365">
        <v>900</v>
      </c>
      <c r="F52" s="503">
        <v>41740</v>
      </c>
      <c r="G52" s="583">
        <v>4.4800000000000006E-2</v>
      </c>
      <c r="H52" s="333">
        <v>40000</v>
      </c>
      <c r="I52" s="325">
        <v>41749.5</v>
      </c>
      <c r="J52" s="469">
        <v>39250</v>
      </c>
      <c r="K52" s="329">
        <v>39950</v>
      </c>
      <c r="L52" s="377">
        <v>6823991332</v>
      </c>
      <c r="M52" s="329">
        <v>16949469</v>
      </c>
      <c r="N52" s="377">
        <v>6055</v>
      </c>
      <c r="O52" s="459">
        <v>45294.687800925924</v>
      </c>
      <c r="P52" s="474">
        <v>51</v>
      </c>
      <c r="Q52" s="405">
        <v>0</v>
      </c>
      <c r="R52" s="435">
        <v>0</v>
      </c>
      <c r="S52" s="443">
        <v>0</v>
      </c>
      <c r="T52" s="358">
        <v>0</v>
      </c>
      <c r="U52" s="421">
        <v>0</v>
      </c>
      <c r="V52" s="508">
        <v>0</v>
      </c>
      <c r="W52" s="512" t="str">
        <f>IF(X52&gt;0,(F52*V52/100)-(V52*X52),"")</f>
        <v/>
      </c>
      <c r="X52" s="611">
        <v>0</v>
      </c>
      <c r="Y52" s="691">
        <f>IF(D52&lt;&gt;0,($C53*(1-$V$1))-$D52,0)</f>
        <v>-240</v>
      </c>
      <c r="Z52" s="544">
        <f>$D52*($AE$1*$AD$1)</f>
        <v>182.05501369863012</v>
      </c>
      <c r="AA52" s="621"/>
      <c r="AB52" s="38"/>
      <c r="AC52" s="370"/>
    </row>
    <row r="53" spans="1:29" ht="12.75" customHeight="1">
      <c r="A53" s="426" t="s">
        <v>5</v>
      </c>
      <c r="B53" s="338">
        <v>189</v>
      </c>
      <c r="C53" s="340">
        <v>41500</v>
      </c>
      <c r="D53" s="340">
        <v>41590</v>
      </c>
      <c r="E53" s="338">
        <v>400</v>
      </c>
      <c r="F53" s="504">
        <v>41580</v>
      </c>
      <c r="G53" s="586">
        <v>3.95E-2</v>
      </c>
      <c r="H53" s="332">
        <v>40797</v>
      </c>
      <c r="I53" s="323">
        <v>41580</v>
      </c>
      <c r="J53" s="466">
        <v>39599.5</v>
      </c>
      <c r="K53" s="327">
        <v>39999</v>
      </c>
      <c r="L53" s="330">
        <v>14415206629</v>
      </c>
      <c r="M53" s="327">
        <v>35636239</v>
      </c>
      <c r="N53" s="330">
        <v>4392</v>
      </c>
      <c r="O53" s="460">
        <v>45294.708645833336</v>
      </c>
      <c r="P53" s="473">
        <v>52</v>
      </c>
      <c r="Q53" s="402">
        <v>0</v>
      </c>
      <c r="R53" s="436">
        <v>0</v>
      </c>
      <c r="S53" s="440">
        <v>0</v>
      </c>
      <c r="T53" s="357">
        <v>0</v>
      </c>
      <c r="U53" s="422">
        <v>0</v>
      </c>
      <c r="V53" s="509">
        <v>0</v>
      </c>
      <c r="W53" s="513" t="str">
        <f>IF(X53&gt;0,(F53*V53/100)-(V53*X53),"")</f>
        <v/>
      </c>
      <c r="X53" s="612">
        <v>0</v>
      </c>
      <c r="Y53" s="692"/>
      <c r="Z53" s="545">
        <v>0</v>
      </c>
      <c r="AA53" s="622"/>
      <c r="AB53" s="38"/>
      <c r="AC53" s="370"/>
    </row>
    <row r="54" spans="1:29" ht="12.75" customHeight="1">
      <c r="A54" s="348" t="s">
        <v>17</v>
      </c>
      <c r="B54" s="342">
        <v>886</v>
      </c>
      <c r="C54" s="343">
        <v>39</v>
      </c>
      <c r="D54" s="343">
        <v>40.200000000000003</v>
      </c>
      <c r="E54" s="342">
        <v>1076</v>
      </c>
      <c r="F54" s="344">
        <v>39.9</v>
      </c>
      <c r="G54" s="587">
        <v>-2.6800000000000001E-2</v>
      </c>
      <c r="H54" s="345">
        <v>41.99</v>
      </c>
      <c r="I54" s="324">
        <v>41.99</v>
      </c>
      <c r="J54" s="472">
        <v>39.6</v>
      </c>
      <c r="K54" s="328">
        <v>41</v>
      </c>
      <c r="L54" s="362">
        <v>105206</v>
      </c>
      <c r="M54" s="328">
        <v>255740</v>
      </c>
      <c r="N54" s="362">
        <v>130</v>
      </c>
      <c r="O54" s="462">
        <v>45294.685335648152</v>
      </c>
      <c r="P54" s="474">
        <v>53</v>
      </c>
      <c r="Q54" s="403">
        <v>0</v>
      </c>
      <c r="R54" s="437">
        <v>0</v>
      </c>
      <c r="S54" s="445">
        <v>0</v>
      </c>
      <c r="T54" s="356">
        <v>0</v>
      </c>
      <c r="U54" s="421">
        <v>0</v>
      </c>
      <c r="V54" s="511">
        <v>0</v>
      </c>
      <c r="W54" s="512" t="str">
        <f t="shared" ref="W54:W117" si="46">IF(X54&gt;0,(F54*V54/100)-(V54*X54),"")</f>
        <v/>
      </c>
      <c r="X54" s="613">
        <v>0</v>
      </c>
      <c r="Y54" s="687">
        <f>IF(D54&lt;&gt;0,($C55*(1-$V$1))-$D54,0)</f>
        <v>-1.7000000000000028</v>
      </c>
      <c r="Z54" s="536">
        <f t="shared" ref="Z54:Z55" si="47">IFERROR(D52/C54,"")</f>
        <v>1070.2564102564102</v>
      </c>
      <c r="AA54" s="548">
        <f>IFERROR($AB$1/(D54/100)*(C52/100),"")</f>
        <v>537976.43781094521</v>
      </c>
      <c r="AB54" s="38"/>
      <c r="AC54" s="370"/>
    </row>
    <row r="55" spans="1:29" ht="12.75" customHeight="1">
      <c r="A55" s="484" t="s">
        <v>6</v>
      </c>
      <c r="B55" s="337">
        <v>250000</v>
      </c>
      <c r="C55" s="339">
        <v>38.5</v>
      </c>
      <c r="D55" s="339">
        <v>40.450000000000003</v>
      </c>
      <c r="E55" s="337">
        <v>16854</v>
      </c>
      <c r="F55" s="341">
        <v>41.7</v>
      </c>
      <c r="G55" s="586">
        <v>-6.8999999999999999E-3</v>
      </c>
      <c r="H55" s="332">
        <v>41.99</v>
      </c>
      <c r="I55" s="323">
        <v>41.99</v>
      </c>
      <c r="J55" s="466">
        <v>41.5</v>
      </c>
      <c r="K55" s="327">
        <v>41.99</v>
      </c>
      <c r="L55" s="330">
        <v>6772</v>
      </c>
      <c r="M55" s="327">
        <v>16178</v>
      </c>
      <c r="N55" s="330">
        <v>7</v>
      </c>
      <c r="O55" s="460">
        <v>45294.565810185188</v>
      </c>
      <c r="P55" s="473">
        <v>54</v>
      </c>
      <c r="Q55" s="402">
        <v>0</v>
      </c>
      <c r="R55" s="436">
        <v>0</v>
      </c>
      <c r="S55" s="440">
        <v>0</v>
      </c>
      <c r="T55" s="357">
        <v>0</v>
      </c>
      <c r="U55" s="422">
        <v>0</v>
      </c>
      <c r="V55" s="510">
        <v>0</v>
      </c>
      <c r="W55" s="513" t="str">
        <f t="shared" si="46"/>
        <v/>
      </c>
      <c r="X55" s="612">
        <v>0</v>
      </c>
      <c r="Y55" s="688"/>
      <c r="Z55" s="535">
        <f t="shared" si="47"/>
        <v>1080.2597402597403</v>
      </c>
      <c r="AA55" s="552">
        <f>IFERROR($AB$1/(D55/100)*(C53/100),"")</f>
        <v>539592.33621755254</v>
      </c>
      <c r="AB55" s="38"/>
      <c r="AC55" s="370"/>
    </row>
    <row r="56" spans="1:29" ht="12.75" customHeight="1">
      <c r="A56" s="348" t="s">
        <v>18</v>
      </c>
      <c r="B56" s="346">
        <v>443</v>
      </c>
      <c r="C56" s="343">
        <v>40.003</v>
      </c>
      <c r="D56" s="343">
        <v>40.880000000000003</v>
      </c>
      <c r="E56" s="346">
        <v>1200</v>
      </c>
      <c r="F56" s="344">
        <v>40.311</v>
      </c>
      <c r="G56" s="587">
        <v>-1.4000000000000002E-3</v>
      </c>
      <c r="H56" s="345">
        <v>40.25</v>
      </c>
      <c r="I56" s="324">
        <v>41</v>
      </c>
      <c r="J56" s="472">
        <v>39.22</v>
      </c>
      <c r="K56" s="328">
        <v>40.371000000000002</v>
      </c>
      <c r="L56" s="362">
        <v>2968741</v>
      </c>
      <c r="M56" s="328">
        <v>7347393</v>
      </c>
      <c r="N56" s="362">
        <v>4279</v>
      </c>
      <c r="O56" s="462">
        <v>45294.687835648147</v>
      </c>
      <c r="P56" s="474">
        <v>55</v>
      </c>
      <c r="Q56" s="403">
        <v>0</v>
      </c>
      <c r="R56" s="437">
        <v>0</v>
      </c>
      <c r="S56" s="445">
        <v>0</v>
      </c>
      <c r="T56" s="356">
        <v>0</v>
      </c>
      <c r="U56" s="421">
        <v>0</v>
      </c>
      <c r="V56" s="505">
        <v>0</v>
      </c>
      <c r="W56" s="512" t="str">
        <f t="shared" si="46"/>
        <v/>
      </c>
      <c r="X56" s="613">
        <v>0</v>
      </c>
      <c r="Y56" s="689">
        <f>IF(D56&lt;&gt;0,($C57*(1-$V$1))-$D56,0)</f>
        <v>-0.67999999999999972</v>
      </c>
      <c r="Z56" s="534">
        <f t="shared" ref="Z56:Z57" si="48">IFERROR(D52/C56,"")</f>
        <v>1043.4217433692472</v>
      </c>
      <c r="AA56" s="548">
        <f>IFERROR($AB$1/(D56/100)*(C52/100),"")</f>
        <v>529027.71037181991</v>
      </c>
      <c r="AB56" s="38"/>
    </row>
    <row r="57" spans="1:29" ht="12.75" customHeight="1">
      <c r="A57" s="429" t="s">
        <v>7</v>
      </c>
      <c r="B57" s="391">
        <v>3000</v>
      </c>
      <c r="C57" s="390">
        <v>40.200000000000003</v>
      </c>
      <c r="D57" s="390">
        <v>40.448</v>
      </c>
      <c r="E57" s="389">
        <v>7000</v>
      </c>
      <c r="F57" s="387">
        <v>40.201000000000001</v>
      </c>
      <c r="G57" s="588">
        <v>-3.5999999999999999E-3</v>
      </c>
      <c r="H57" s="378">
        <v>39.799999999999997</v>
      </c>
      <c r="I57" s="379">
        <v>41.1</v>
      </c>
      <c r="J57" s="471">
        <v>39.799999999999997</v>
      </c>
      <c r="K57" s="380">
        <v>40.35</v>
      </c>
      <c r="L57" s="406">
        <v>669924</v>
      </c>
      <c r="M57" s="380">
        <v>1661335</v>
      </c>
      <c r="N57" s="384">
        <v>881</v>
      </c>
      <c r="O57" s="463">
        <v>45294.706226851849</v>
      </c>
      <c r="P57" s="473">
        <v>56</v>
      </c>
      <c r="Q57" s="404">
        <v>0</v>
      </c>
      <c r="R57" s="439">
        <v>0</v>
      </c>
      <c r="S57" s="446">
        <v>0</v>
      </c>
      <c r="T57" s="385">
        <v>0</v>
      </c>
      <c r="U57" s="422">
        <v>0</v>
      </c>
      <c r="V57" s="423">
        <v>0</v>
      </c>
      <c r="W57" s="514" t="str">
        <f t="shared" si="46"/>
        <v/>
      </c>
      <c r="X57" s="614">
        <v>0</v>
      </c>
      <c r="Y57" s="690"/>
      <c r="Z57" s="546">
        <f t="shared" si="48"/>
        <v>1034.5771144278606</v>
      </c>
      <c r="AA57" s="553">
        <f>IFERROR($AB$1/(D57/100)*(C53/100),"")</f>
        <v>539619.01700949366</v>
      </c>
      <c r="AB57" s="38"/>
    </row>
    <row r="58" spans="1:29" ht="12.75" customHeight="1">
      <c r="A58" s="428" t="s">
        <v>549</v>
      </c>
      <c r="B58" s="365">
        <v>95446540</v>
      </c>
      <c r="C58" s="321">
        <v>156.35</v>
      </c>
      <c r="D58" s="386">
        <v>156.5</v>
      </c>
      <c r="E58" s="365">
        <v>115267</v>
      </c>
      <c r="F58" s="449">
        <v>156.35</v>
      </c>
      <c r="G58" s="583">
        <v>-4.6999999999999993E-3</v>
      </c>
      <c r="H58" s="333">
        <v>157</v>
      </c>
      <c r="I58" s="325">
        <v>157.69999999999999</v>
      </c>
      <c r="J58" s="469">
        <v>156.00200000000001</v>
      </c>
      <c r="K58" s="329">
        <v>157.1</v>
      </c>
      <c r="L58" s="377">
        <v>23286088754</v>
      </c>
      <c r="M58" s="329">
        <v>14849069612</v>
      </c>
      <c r="N58" s="377">
        <v>4305</v>
      </c>
      <c r="O58" s="459">
        <v>45294.687615740739</v>
      </c>
      <c r="P58" s="474">
        <v>57</v>
      </c>
      <c r="Q58" s="405">
        <v>0</v>
      </c>
      <c r="R58" s="435">
        <v>0</v>
      </c>
      <c r="S58" s="443">
        <v>0</v>
      </c>
      <c r="T58" s="358">
        <v>0</v>
      </c>
      <c r="U58" s="421">
        <v>0</v>
      </c>
      <c r="V58" s="508">
        <v>0</v>
      </c>
      <c r="W58" s="512" t="str">
        <f t="shared" si="46"/>
        <v/>
      </c>
      <c r="X58" s="611">
        <v>0</v>
      </c>
      <c r="Y58" s="691">
        <f>IF(D58&lt;&gt;0,($C59*(1-$V$1))-$D58,0)*100</f>
        <v>69.999999999998863</v>
      </c>
      <c r="Z58" s="544">
        <f>$D58*($AE$1*$AD$1)*100</f>
        <v>68.259726027397264</v>
      </c>
      <c r="AA58" s="621"/>
      <c r="AB58" s="38"/>
      <c r="AC58"/>
    </row>
    <row r="59" spans="1:29" ht="12.75" customHeight="1">
      <c r="A59" s="426" t="s">
        <v>550</v>
      </c>
      <c r="B59" s="366">
        <v>6996716</v>
      </c>
      <c r="C59" s="340">
        <v>157.19999999999999</v>
      </c>
      <c r="D59" s="340">
        <v>157.4</v>
      </c>
      <c r="E59" s="338">
        <v>47909990</v>
      </c>
      <c r="F59" s="341">
        <v>157.19999999999999</v>
      </c>
      <c r="G59" s="586">
        <v>-5.9999999999999995E-4</v>
      </c>
      <c r="H59" s="332">
        <v>157.35</v>
      </c>
      <c r="I59" s="323">
        <v>158.30000000000001</v>
      </c>
      <c r="J59" s="466">
        <v>157.05000000000001</v>
      </c>
      <c r="K59" s="327">
        <v>157.30000000000001</v>
      </c>
      <c r="L59" s="330">
        <v>1657055674</v>
      </c>
      <c r="M59" s="327">
        <v>1052958023</v>
      </c>
      <c r="N59" s="330">
        <v>1817</v>
      </c>
      <c r="O59" s="460">
        <v>45294.708645833336</v>
      </c>
      <c r="P59" s="473">
        <v>58</v>
      </c>
      <c r="Q59" s="402">
        <v>0</v>
      </c>
      <c r="R59" s="436">
        <v>0</v>
      </c>
      <c r="S59" s="440">
        <v>0</v>
      </c>
      <c r="T59" s="357">
        <v>0</v>
      </c>
      <c r="U59" s="422">
        <v>0</v>
      </c>
      <c r="V59" s="509">
        <v>0</v>
      </c>
      <c r="W59" s="513" t="str">
        <f t="shared" si="46"/>
        <v/>
      </c>
      <c r="X59" s="612">
        <v>0</v>
      </c>
      <c r="Y59" s="692"/>
      <c r="Z59" s="545">
        <v>0</v>
      </c>
      <c r="AA59" s="622"/>
      <c r="AB59" s="38"/>
      <c r="AC59"/>
    </row>
    <row r="60" spans="1:29" ht="12.75" customHeight="1">
      <c r="A60" s="348" t="s">
        <v>551</v>
      </c>
      <c r="B60" s="367">
        <v>1000000</v>
      </c>
      <c r="C60" s="343">
        <v>0.151</v>
      </c>
      <c r="D60" s="343">
        <v>0.152</v>
      </c>
      <c r="E60" s="342">
        <v>103450001</v>
      </c>
      <c r="F60" s="344">
        <v>0.152</v>
      </c>
      <c r="G60" s="587">
        <v>-5.5899999999999998E-2</v>
      </c>
      <c r="H60" s="345">
        <v>0.16400000000000001</v>
      </c>
      <c r="I60" s="324">
        <v>0.16400000000000001</v>
      </c>
      <c r="J60" s="472">
        <v>0.152</v>
      </c>
      <c r="K60" s="328">
        <v>0.161</v>
      </c>
      <c r="L60" s="362">
        <v>10753128</v>
      </c>
      <c r="M60" s="328">
        <v>6865109818</v>
      </c>
      <c r="N60" s="362">
        <v>2121</v>
      </c>
      <c r="O60" s="462">
        <v>45294.687696759262</v>
      </c>
      <c r="P60" s="474">
        <v>59</v>
      </c>
      <c r="Q60" s="403">
        <v>0</v>
      </c>
      <c r="R60" s="437">
        <v>0</v>
      </c>
      <c r="S60" s="445">
        <v>0</v>
      </c>
      <c r="T60" s="356">
        <v>0</v>
      </c>
      <c r="U60" s="421">
        <v>0</v>
      </c>
      <c r="V60" s="511">
        <v>0</v>
      </c>
      <c r="W60" s="512" t="str">
        <f t="shared" si="46"/>
        <v/>
      </c>
      <c r="X60" s="613">
        <v>0</v>
      </c>
      <c r="Y60" s="687">
        <f>IF(D60&lt;&gt;0,($C61*(1-$V$1))-$D60,0)</f>
        <v>2.0000000000000018E-3</v>
      </c>
      <c r="Z60" s="536">
        <f t="shared" ref="Z60:Z61" si="49">IFERROR(D58/C60,"")</f>
        <v>1036.4238410596026</v>
      </c>
      <c r="AA60" s="548">
        <f>IFERROR($AB$1/(D60/100)*(C58/100),"")</f>
        <v>540991.57236842113</v>
      </c>
      <c r="AB60" s="38"/>
      <c r="AC60"/>
    </row>
    <row r="61" spans="1:29" ht="12.75" customHeight="1">
      <c r="A61" s="484" t="s">
        <v>552</v>
      </c>
      <c r="B61" s="337">
        <v>637768</v>
      </c>
      <c r="C61" s="339">
        <v>0.154</v>
      </c>
      <c r="D61" s="339"/>
      <c r="E61" s="337"/>
      <c r="F61" s="341"/>
      <c r="G61" s="586"/>
      <c r="H61" s="332"/>
      <c r="I61" s="323"/>
      <c r="J61" s="466"/>
      <c r="K61" s="327">
        <v>0.16800000000000001</v>
      </c>
      <c r="L61" s="330"/>
      <c r="M61" s="327"/>
      <c r="N61" s="330"/>
      <c r="O61" s="460"/>
      <c r="P61" s="473">
        <v>60</v>
      </c>
      <c r="Q61" s="402">
        <v>0</v>
      </c>
      <c r="R61" s="436">
        <v>0</v>
      </c>
      <c r="S61" s="440">
        <v>0</v>
      </c>
      <c r="T61" s="357">
        <v>0</v>
      </c>
      <c r="U61" s="422">
        <v>0</v>
      </c>
      <c r="V61" s="510">
        <v>0</v>
      </c>
      <c r="W61" s="513" t="str">
        <f t="shared" si="46"/>
        <v/>
      </c>
      <c r="X61" s="612">
        <v>0</v>
      </c>
      <c r="Y61" s="688"/>
      <c r="Z61" s="535">
        <f t="shared" si="49"/>
        <v>1022.0779220779222</v>
      </c>
      <c r="AA61" s="552" t="str">
        <f>IFERROR($AB$1/(D61/100)*(C59/100),"")</f>
        <v/>
      </c>
      <c r="AB61" s="38"/>
      <c r="AC61"/>
    </row>
    <row r="62" spans="1:29" ht="12.75" customHeight="1">
      <c r="A62" s="348" t="s">
        <v>553</v>
      </c>
      <c r="B62" s="346">
        <v>150000000</v>
      </c>
      <c r="C62" s="343">
        <v>0.15</v>
      </c>
      <c r="D62" s="343">
        <v>0.154</v>
      </c>
      <c r="E62" s="346">
        <v>30713738</v>
      </c>
      <c r="F62" s="344">
        <v>0.154</v>
      </c>
      <c r="G62" s="587">
        <v>-3.7499999999999999E-2</v>
      </c>
      <c r="H62" s="345">
        <v>0.16400000000000001</v>
      </c>
      <c r="I62" s="324">
        <v>0.16400000000000001</v>
      </c>
      <c r="J62" s="472">
        <v>0.151</v>
      </c>
      <c r="K62" s="328">
        <v>0.16</v>
      </c>
      <c r="L62" s="362">
        <v>11562277</v>
      </c>
      <c r="M62" s="328">
        <v>7360028133</v>
      </c>
      <c r="N62" s="362">
        <v>1514</v>
      </c>
      <c r="O62" s="462">
        <v>45294.684953703705</v>
      </c>
      <c r="P62" s="474">
        <v>61</v>
      </c>
      <c r="Q62" s="403">
        <v>0</v>
      </c>
      <c r="R62" s="437">
        <v>0</v>
      </c>
      <c r="S62" s="445">
        <v>0</v>
      </c>
      <c r="T62" s="356">
        <v>0</v>
      </c>
      <c r="U62" s="421">
        <v>0</v>
      </c>
      <c r="V62" s="505">
        <v>0</v>
      </c>
      <c r="W62" s="512" t="str">
        <f t="shared" si="46"/>
        <v/>
      </c>
      <c r="X62" s="613"/>
      <c r="Y62" s="689">
        <f>IF(D62&lt;&gt;0,($C63*(1-$V$1))-$D62,0)</f>
        <v>0</v>
      </c>
      <c r="Z62" s="534">
        <f t="shared" ref="Z62:Z63" si="50">IFERROR(D58/C62,"")</f>
        <v>1043.3333333333335</v>
      </c>
      <c r="AA62" s="548">
        <f>IFERROR($AB$1/(D62/100)*(C58/100),"")</f>
        <v>533965.70779220783</v>
      </c>
      <c r="AB62" s="38"/>
      <c r="AC62"/>
    </row>
    <row r="63" spans="1:29" ht="12.75" customHeight="1">
      <c r="A63" s="429" t="s">
        <v>554</v>
      </c>
      <c r="B63" s="389">
        <v>16204</v>
      </c>
      <c r="C63" s="390">
        <v>0.154</v>
      </c>
      <c r="D63" s="390">
        <v>0.155</v>
      </c>
      <c r="E63" s="389">
        <v>1034842</v>
      </c>
      <c r="F63" s="387">
        <v>0.154</v>
      </c>
      <c r="G63" s="588">
        <v>-5.5199999999999999E-2</v>
      </c>
      <c r="H63" s="378">
        <v>0.161</v>
      </c>
      <c r="I63" s="379">
        <v>0.16300000000000001</v>
      </c>
      <c r="J63" s="471">
        <v>0.154</v>
      </c>
      <c r="K63" s="380">
        <v>0.16300000000000001</v>
      </c>
      <c r="L63" s="384">
        <v>27431</v>
      </c>
      <c r="M63" s="380">
        <v>17440239</v>
      </c>
      <c r="N63" s="384">
        <v>74</v>
      </c>
      <c r="O63" s="463">
        <v>45294.702060185184</v>
      </c>
      <c r="P63" s="473">
        <v>62</v>
      </c>
      <c r="Q63" s="404">
        <v>0</v>
      </c>
      <c r="R63" s="439">
        <v>0</v>
      </c>
      <c r="S63" s="446">
        <v>0</v>
      </c>
      <c r="T63" s="385">
        <v>0</v>
      </c>
      <c r="U63" s="422">
        <v>0</v>
      </c>
      <c r="V63" s="423">
        <v>0</v>
      </c>
      <c r="W63" s="514" t="str">
        <f t="shared" si="46"/>
        <v/>
      </c>
      <c r="X63" s="614">
        <v>0</v>
      </c>
      <c r="Y63" s="690"/>
      <c r="Z63" s="546">
        <f t="shared" si="50"/>
        <v>1022.0779220779222</v>
      </c>
      <c r="AA63" s="553">
        <f>IFERROR($AB$1/(D63/100)*(C59/100),"")</f>
        <v>533404.95483870967</v>
      </c>
      <c r="AB63" s="38"/>
      <c r="AC63"/>
    </row>
    <row r="64" spans="1:29" ht="12.75" customHeight="1">
      <c r="A64" s="428" t="s">
        <v>624</v>
      </c>
      <c r="B64" s="365">
        <v>2063525</v>
      </c>
      <c r="C64" s="321">
        <v>96.5</v>
      </c>
      <c r="D64" s="386">
        <v>96.67</v>
      </c>
      <c r="E64" s="365">
        <v>275001</v>
      </c>
      <c r="F64" s="449">
        <v>96.67</v>
      </c>
      <c r="G64" s="583">
        <v>1.1999999999999999E-3</v>
      </c>
      <c r="H64" s="333">
        <v>96.9</v>
      </c>
      <c r="I64" s="325">
        <v>96.9</v>
      </c>
      <c r="J64" s="469">
        <v>95.9</v>
      </c>
      <c r="K64" s="329">
        <v>96.55</v>
      </c>
      <c r="L64" s="377">
        <v>219472337</v>
      </c>
      <c r="M64" s="329">
        <v>227411114</v>
      </c>
      <c r="N64" s="377">
        <v>344</v>
      </c>
      <c r="O64" s="459">
        <v>45294.687708333331</v>
      </c>
      <c r="P64" s="474">
        <v>63</v>
      </c>
      <c r="Q64" s="483">
        <v>0</v>
      </c>
      <c r="R64" s="435">
        <v>0</v>
      </c>
      <c r="S64" s="443">
        <v>0</v>
      </c>
      <c r="T64" s="358">
        <v>0</v>
      </c>
      <c r="U64" s="421">
        <v>0</v>
      </c>
      <c r="V64" s="508">
        <v>0</v>
      </c>
      <c r="W64" s="512" t="str">
        <f t="shared" si="46"/>
        <v/>
      </c>
      <c r="X64" s="611">
        <v>0</v>
      </c>
      <c r="Y64" s="691">
        <f>IF(D64&lt;&gt;0,($C65*(1-$V$1))-$D64,0)</f>
        <v>0.29999999999999716</v>
      </c>
      <c r="Z64" s="544">
        <f>$D64*($AE$1*$AD$1)</f>
        <v>0.42164010958904108</v>
      </c>
      <c r="AA64" s="621"/>
      <c r="AB64" s="38"/>
      <c r="AC64"/>
    </row>
    <row r="65" spans="1:29" ht="12.75" customHeight="1">
      <c r="A65" s="426" t="s">
        <v>625</v>
      </c>
      <c r="B65" s="338">
        <v>3623954</v>
      </c>
      <c r="C65" s="340">
        <v>96.97</v>
      </c>
      <c r="D65" s="340">
        <v>97</v>
      </c>
      <c r="E65" s="338">
        <v>100137487</v>
      </c>
      <c r="F65" s="341">
        <v>96.97</v>
      </c>
      <c r="G65" s="586">
        <v>7.000000000000001E-4</v>
      </c>
      <c r="H65" s="332">
        <v>95.14</v>
      </c>
      <c r="I65" s="323">
        <v>97.879000000000005</v>
      </c>
      <c r="J65" s="466">
        <v>95.14</v>
      </c>
      <c r="K65" s="327">
        <v>96.9</v>
      </c>
      <c r="L65" s="330">
        <v>2179051088</v>
      </c>
      <c r="M65" s="327">
        <v>2246456232</v>
      </c>
      <c r="N65" s="330">
        <v>1264</v>
      </c>
      <c r="O65" s="460">
        <v>45294.708599537036</v>
      </c>
      <c r="P65" s="473">
        <v>64</v>
      </c>
      <c r="Q65" s="402">
        <v>0</v>
      </c>
      <c r="R65" s="436">
        <v>0</v>
      </c>
      <c r="S65" s="440">
        <v>0</v>
      </c>
      <c r="T65" s="357">
        <v>0</v>
      </c>
      <c r="U65" s="422">
        <v>0</v>
      </c>
      <c r="V65" s="509">
        <v>0</v>
      </c>
      <c r="W65" s="513" t="str">
        <f t="shared" si="46"/>
        <v/>
      </c>
      <c r="X65" s="612">
        <v>0</v>
      </c>
      <c r="Y65" s="692"/>
      <c r="Z65" s="545">
        <v>0</v>
      </c>
      <c r="AA65" s="622"/>
      <c r="AB65" s="38"/>
      <c r="AC65"/>
    </row>
    <row r="66" spans="1:29" ht="12.75" customHeight="1">
      <c r="A66" s="348" t="s">
        <v>626</v>
      </c>
      <c r="B66" s="342"/>
      <c r="C66" s="343"/>
      <c r="D66" s="343"/>
      <c r="E66" s="342"/>
      <c r="F66" s="344"/>
      <c r="G66" s="587"/>
      <c r="H66" s="345"/>
      <c r="I66" s="324"/>
      <c r="J66" s="472"/>
      <c r="K66" s="328">
        <v>0.10100000000000001</v>
      </c>
      <c r="L66" s="362"/>
      <c r="M66" s="328"/>
      <c r="N66" s="362"/>
      <c r="O66" s="462"/>
      <c r="P66" s="474">
        <v>65</v>
      </c>
      <c r="Q66" s="403">
        <v>0</v>
      </c>
      <c r="R66" s="437">
        <v>0</v>
      </c>
      <c r="S66" s="445">
        <v>0</v>
      </c>
      <c r="T66" s="356">
        <v>0</v>
      </c>
      <c r="U66" s="421">
        <v>0</v>
      </c>
      <c r="V66" s="511">
        <v>0</v>
      </c>
      <c r="W66" s="512" t="str">
        <f t="shared" si="46"/>
        <v/>
      </c>
      <c r="X66" s="613">
        <v>0</v>
      </c>
      <c r="Y66" s="687">
        <f>IF(D66&lt;&gt;0,($C67*(1-$V$1))-$D66,0)</f>
        <v>0</v>
      </c>
      <c r="Z66" s="536" t="str">
        <f t="shared" ref="Z66:Z67" si="51">IFERROR(D64/C66,"")</f>
        <v/>
      </c>
      <c r="AA66" s="548" t="str">
        <f>IFERROR($AB$1/(D66/100)*(C64/100),"")</f>
        <v/>
      </c>
      <c r="AB66" s="38"/>
      <c r="AC66"/>
    </row>
    <row r="67" spans="1:29" ht="12.75" customHeight="1">
      <c r="A67" s="484" t="s">
        <v>627</v>
      </c>
      <c r="B67" s="337"/>
      <c r="C67" s="339"/>
      <c r="D67" s="339"/>
      <c r="E67" s="337"/>
      <c r="F67" s="341"/>
      <c r="G67" s="586"/>
      <c r="H67" s="332"/>
      <c r="I67" s="323"/>
      <c r="J67" s="466"/>
      <c r="K67" s="327"/>
      <c r="L67" s="330"/>
      <c r="M67" s="327"/>
      <c r="N67" s="330"/>
      <c r="O67" s="460"/>
      <c r="P67" s="473">
        <v>66</v>
      </c>
      <c r="Q67" s="402">
        <v>0</v>
      </c>
      <c r="R67" s="436">
        <v>0</v>
      </c>
      <c r="S67" s="440">
        <v>0</v>
      </c>
      <c r="T67" s="357">
        <v>0</v>
      </c>
      <c r="U67" s="422">
        <v>0</v>
      </c>
      <c r="V67" s="510">
        <v>0</v>
      </c>
      <c r="W67" s="513" t="str">
        <f t="shared" si="46"/>
        <v/>
      </c>
      <c r="X67" s="612">
        <v>0</v>
      </c>
      <c r="Y67" s="688"/>
      <c r="Z67" s="535" t="str">
        <f t="shared" si="51"/>
        <v/>
      </c>
      <c r="AA67" s="552" t="str">
        <f>IFERROR($AB$1/(D67/100)*(C65/100),"")</f>
        <v/>
      </c>
      <c r="AB67" s="38"/>
      <c r="AC67"/>
    </row>
    <row r="68" spans="1:29" ht="12.75" customHeight="1">
      <c r="A68" s="348" t="s">
        <v>628</v>
      </c>
      <c r="B68" s="346">
        <v>100000</v>
      </c>
      <c r="C68" s="343">
        <v>9.5000000000000001E-2</v>
      </c>
      <c r="D68" s="343">
        <v>9.7000000000000003E-2</v>
      </c>
      <c r="E68" s="346">
        <v>3098750</v>
      </c>
      <c r="F68" s="344">
        <v>9.7000000000000003E-2</v>
      </c>
      <c r="G68" s="587"/>
      <c r="H68" s="345">
        <v>9.7000000000000003E-2</v>
      </c>
      <c r="I68" s="324">
        <v>9.7000000000000003E-2</v>
      </c>
      <c r="J68" s="472">
        <v>9.7000000000000003E-2</v>
      </c>
      <c r="K68" s="328">
        <v>9.7000000000000003E-2</v>
      </c>
      <c r="L68" s="362">
        <v>1844</v>
      </c>
      <c r="M68" s="328">
        <v>1901250</v>
      </c>
      <c r="N68" s="362">
        <v>1</v>
      </c>
      <c r="O68" s="462">
        <v>45294.566446759258</v>
      </c>
      <c r="P68" s="474">
        <v>67</v>
      </c>
      <c r="Q68" s="403">
        <v>0</v>
      </c>
      <c r="R68" s="437">
        <v>0</v>
      </c>
      <c r="S68" s="445">
        <v>0</v>
      </c>
      <c r="T68" s="356">
        <v>0</v>
      </c>
      <c r="U68" s="421">
        <v>0</v>
      </c>
      <c r="V68" s="505">
        <v>0</v>
      </c>
      <c r="W68" s="512" t="str">
        <f t="shared" si="46"/>
        <v/>
      </c>
      <c r="X68" s="613">
        <v>0</v>
      </c>
      <c r="Y68" s="689">
        <f>IF(D68&lt;&gt;0,($C69*(1-$V$1))-$D68,0)</f>
        <v>-9.7000000000000003E-2</v>
      </c>
      <c r="Z68" s="534">
        <f t="shared" ref="Z68:Z69" si="52">IFERROR(D64/C68,"")</f>
        <v>1017.578947368421</v>
      </c>
      <c r="AA68" s="548">
        <f>IFERROR($AB$1/(D68/100)*(C64/100),"")</f>
        <v>523228.96907216491</v>
      </c>
      <c r="AB68" s="38"/>
      <c r="AC68"/>
    </row>
    <row r="69" spans="1:29" ht="12.75" customHeight="1">
      <c r="A69" s="429" t="s">
        <v>629</v>
      </c>
      <c r="B69" s="389"/>
      <c r="C69" s="390"/>
      <c r="D69" s="390">
        <v>0.109</v>
      </c>
      <c r="E69" s="389">
        <v>1993215</v>
      </c>
      <c r="F69" s="387">
        <v>0.107</v>
      </c>
      <c r="G69" s="588">
        <v>5.9400000000000001E-2</v>
      </c>
      <c r="H69" s="378">
        <v>0.104</v>
      </c>
      <c r="I69" s="379">
        <v>0.107</v>
      </c>
      <c r="J69" s="471">
        <v>0.104</v>
      </c>
      <c r="K69" s="380">
        <v>0.10100000000000001</v>
      </c>
      <c r="L69" s="384">
        <v>7</v>
      </c>
      <c r="M69" s="380">
        <v>6785</v>
      </c>
      <c r="N69" s="384">
        <v>2</v>
      </c>
      <c r="O69" s="463">
        <v>45294.688414351855</v>
      </c>
      <c r="P69" s="473">
        <v>68</v>
      </c>
      <c r="Q69" s="404">
        <v>0</v>
      </c>
      <c r="R69" s="439">
        <v>0</v>
      </c>
      <c r="S69" s="446">
        <v>0</v>
      </c>
      <c r="T69" s="385">
        <v>0</v>
      </c>
      <c r="U69" s="422">
        <v>0</v>
      </c>
      <c r="V69" s="423">
        <v>0</v>
      </c>
      <c r="W69" s="514" t="s">
        <v>623</v>
      </c>
      <c r="X69" s="614">
        <v>0</v>
      </c>
      <c r="Y69" s="690"/>
      <c r="Z69" s="546" t="str">
        <f t="shared" si="52"/>
        <v/>
      </c>
      <c r="AA69" s="553">
        <f>IFERROR($AB$1/(D69/100)*(C65/100),"")</f>
        <v>467893.59449541289</v>
      </c>
      <c r="AB69" s="38"/>
      <c r="AC69"/>
    </row>
    <row r="70" spans="1:29" ht="12.75" customHeight="1">
      <c r="A70" s="428" t="s">
        <v>609</v>
      </c>
      <c r="B70" s="365">
        <v>22</v>
      </c>
      <c r="C70" s="321">
        <v>77320</v>
      </c>
      <c r="D70" s="386">
        <v>78500</v>
      </c>
      <c r="E70" s="365">
        <v>5780</v>
      </c>
      <c r="F70" s="449">
        <v>78100</v>
      </c>
      <c r="G70" s="583">
        <v>5.6799999999999996E-2</v>
      </c>
      <c r="H70" s="333">
        <v>73000</v>
      </c>
      <c r="I70" s="325">
        <v>80000</v>
      </c>
      <c r="J70" s="469">
        <v>73000</v>
      </c>
      <c r="K70" s="329">
        <v>73899.5</v>
      </c>
      <c r="L70" s="377">
        <v>38628587</v>
      </c>
      <c r="M70" s="329">
        <v>50846</v>
      </c>
      <c r="N70" s="377">
        <v>278</v>
      </c>
      <c r="O70" s="459">
        <v>45294.687685185185</v>
      </c>
      <c r="P70" s="474">
        <v>69</v>
      </c>
      <c r="Q70" s="405">
        <v>0</v>
      </c>
      <c r="R70" s="435">
        <v>0</v>
      </c>
      <c r="S70" s="443">
        <v>0</v>
      </c>
      <c r="T70" s="358">
        <v>0</v>
      </c>
      <c r="U70" s="421">
        <v>0</v>
      </c>
      <c r="V70" s="508">
        <v>0</v>
      </c>
      <c r="W70" s="512" t="str">
        <f t="shared" si="46"/>
        <v/>
      </c>
      <c r="X70" s="611">
        <v>0</v>
      </c>
      <c r="Y70" s="691">
        <f t="shared" ref="Y70" si="53">IF(D70&lt;&gt;0,($C71*(1-$V$1))-$D70,0)</f>
        <v>-50</v>
      </c>
      <c r="Z70" s="544">
        <f>$D70*($AE$1*$AD$1)</f>
        <v>342.38904109589038</v>
      </c>
      <c r="AA70" s="621"/>
      <c r="AB70" s="38"/>
      <c r="AC70"/>
    </row>
    <row r="71" spans="1:29" ht="12.75" customHeight="1">
      <c r="A71" s="426" t="s">
        <v>610</v>
      </c>
      <c r="B71" s="338">
        <v>153</v>
      </c>
      <c r="C71" s="340">
        <v>78450</v>
      </c>
      <c r="D71" s="340">
        <v>78500</v>
      </c>
      <c r="E71" s="338">
        <v>1346</v>
      </c>
      <c r="F71" s="341">
        <v>78500</v>
      </c>
      <c r="G71" s="586">
        <v>5.3600000000000002E-2</v>
      </c>
      <c r="H71" s="332">
        <v>73500</v>
      </c>
      <c r="I71" s="323">
        <v>79000</v>
      </c>
      <c r="J71" s="466">
        <v>73500</v>
      </c>
      <c r="K71" s="327">
        <v>74500</v>
      </c>
      <c r="L71" s="330">
        <v>326072678</v>
      </c>
      <c r="M71" s="327">
        <v>424657</v>
      </c>
      <c r="N71" s="330">
        <v>1361</v>
      </c>
      <c r="O71" s="460">
        <v>45294.708495370367</v>
      </c>
      <c r="P71" s="473">
        <v>70</v>
      </c>
      <c r="Q71" s="402">
        <v>0</v>
      </c>
      <c r="R71" s="436">
        <v>0</v>
      </c>
      <c r="S71" s="440">
        <v>0</v>
      </c>
      <c r="T71" s="357">
        <v>0</v>
      </c>
      <c r="U71" s="422">
        <v>0</v>
      </c>
      <c r="V71" s="509">
        <v>0</v>
      </c>
      <c r="W71" s="513" t="str">
        <f t="shared" si="46"/>
        <v/>
      </c>
      <c r="X71" s="612">
        <v>0</v>
      </c>
      <c r="Y71" s="692"/>
      <c r="Z71" s="545">
        <v>0</v>
      </c>
      <c r="AA71" s="622"/>
      <c r="AB71" s="38"/>
      <c r="AC71"/>
    </row>
    <row r="72" spans="1:29" ht="12.75" customHeight="1">
      <c r="A72" s="348" t="s">
        <v>611</v>
      </c>
      <c r="B72" s="342"/>
      <c r="C72" s="343"/>
      <c r="D72" s="343"/>
      <c r="E72" s="342"/>
      <c r="F72" s="344"/>
      <c r="G72" s="587"/>
      <c r="H72" s="345"/>
      <c r="I72" s="324"/>
      <c r="J72" s="324"/>
      <c r="K72" s="400">
        <v>72.757000000000005</v>
      </c>
      <c r="L72" s="362"/>
      <c r="M72" s="328"/>
      <c r="N72" s="362"/>
      <c r="O72" s="462"/>
      <c r="P72" s="474">
        <v>71</v>
      </c>
      <c r="Q72" s="403">
        <v>0</v>
      </c>
      <c r="R72" s="437">
        <v>0</v>
      </c>
      <c r="S72" s="445">
        <v>0</v>
      </c>
      <c r="T72" s="356">
        <v>0</v>
      </c>
      <c r="U72" s="421">
        <v>0</v>
      </c>
      <c r="V72" s="511">
        <v>0</v>
      </c>
      <c r="W72" s="512" t="str">
        <f t="shared" si="46"/>
        <v/>
      </c>
      <c r="X72" s="613">
        <v>0</v>
      </c>
      <c r="Y72" s="687">
        <f t="shared" ref="Y72" si="54">IF(D72&lt;&gt;0,($C73*(1-$V$1))-$D72,0)</f>
        <v>0</v>
      </c>
      <c r="Z72" s="536" t="str">
        <f t="shared" ref="Z72:Z73" si="55">IFERROR(D70/C72,"")</f>
        <v/>
      </c>
      <c r="AA72" s="548" t="str">
        <f>IFERROR($AB$1/(D72/100)*(C70/100),"")</f>
        <v/>
      </c>
      <c r="AB72" s="38"/>
      <c r="AC72"/>
    </row>
    <row r="73" spans="1:29" ht="12.75" customHeight="1">
      <c r="A73" s="484" t="s">
        <v>612</v>
      </c>
      <c r="B73" s="337"/>
      <c r="C73" s="339"/>
      <c r="D73" s="339"/>
      <c r="E73" s="337"/>
      <c r="F73" s="341"/>
      <c r="G73" s="586"/>
      <c r="H73" s="332"/>
      <c r="I73" s="323"/>
      <c r="J73" s="323"/>
      <c r="K73" s="396"/>
      <c r="L73" s="330"/>
      <c r="M73" s="327"/>
      <c r="N73" s="330"/>
      <c r="O73" s="460"/>
      <c r="P73" s="473">
        <v>72</v>
      </c>
      <c r="Q73" s="402">
        <v>0</v>
      </c>
      <c r="R73" s="436">
        <v>0</v>
      </c>
      <c r="S73" s="440">
        <v>0</v>
      </c>
      <c r="T73" s="357">
        <v>0</v>
      </c>
      <c r="U73" s="422">
        <v>0</v>
      </c>
      <c r="V73" s="510">
        <v>0</v>
      </c>
      <c r="W73" s="513" t="str">
        <f t="shared" si="46"/>
        <v/>
      </c>
      <c r="X73" s="612">
        <v>0</v>
      </c>
      <c r="Y73" s="688"/>
      <c r="Z73" s="535" t="str">
        <f t="shared" si="55"/>
        <v/>
      </c>
      <c r="AA73" s="552" t="str">
        <f>IFERROR($AB$1/(D73/100)*(C71/100),"")</f>
        <v/>
      </c>
      <c r="AB73" s="38"/>
      <c r="AC73"/>
    </row>
    <row r="74" spans="1:29" ht="12.75" customHeight="1">
      <c r="A74" s="348" t="s">
        <v>613</v>
      </c>
      <c r="B74" s="346">
        <v>626</v>
      </c>
      <c r="C74" s="343">
        <v>77</v>
      </c>
      <c r="D74" s="343">
        <v>77.3</v>
      </c>
      <c r="E74" s="346">
        <v>320</v>
      </c>
      <c r="F74" s="344">
        <v>77.3</v>
      </c>
      <c r="G74" s="587">
        <v>2.4500000000000001E-2</v>
      </c>
      <c r="H74" s="345">
        <v>75.45</v>
      </c>
      <c r="I74" s="324">
        <v>77.39</v>
      </c>
      <c r="J74" s="324">
        <v>75.349999999999994</v>
      </c>
      <c r="K74" s="400">
        <v>75.45</v>
      </c>
      <c r="L74" s="362">
        <v>142316</v>
      </c>
      <c r="M74" s="328">
        <v>185315</v>
      </c>
      <c r="N74" s="362">
        <v>61</v>
      </c>
      <c r="O74" s="462">
        <v>45294.687627314815</v>
      </c>
      <c r="P74" s="474">
        <v>73</v>
      </c>
      <c r="Q74" s="403">
        <v>0</v>
      </c>
      <c r="R74" s="437">
        <v>0</v>
      </c>
      <c r="S74" s="445">
        <v>0</v>
      </c>
      <c r="T74" s="356">
        <v>0</v>
      </c>
      <c r="U74" s="421">
        <v>0</v>
      </c>
      <c r="V74" s="505">
        <v>0</v>
      </c>
      <c r="W74" s="512" t="str">
        <f t="shared" si="46"/>
        <v/>
      </c>
      <c r="X74" s="613">
        <v>0</v>
      </c>
      <c r="Y74" s="689">
        <f t="shared" ref="Y74" si="56">IF(D74&lt;&gt;0,($C75*(1-$V$1))-$D74,0)</f>
        <v>-0.67999999999999261</v>
      </c>
      <c r="Z74" s="534">
        <f t="shared" ref="Z74:Z75" si="57">IFERROR(D70/C74,"")</f>
        <v>1019.4805194805194</v>
      </c>
      <c r="AA74" s="548">
        <f>IFERROR($AB$1/(D74/100)*(C70/100),"")</f>
        <v>526076.07761966367</v>
      </c>
      <c r="AB74" s="38"/>
      <c r="AC74"/>
    </row>
    <row r="75" spans="1:29" ht="12.75" customHeight="1">
      <c r="A75" s="429" t="s">
        <v>614</v>
      </c>
      <c r="B75" s="389">
        <v>698</v>
      </c>
      <c r="C75" s="390">
        <v>76.62</v>
      </c>
      <c r="D75" s="390">
        <v>78.099999999999994</v>
      </c>
      <c r="E75" s="389">
        <v>8579</v>
      </c>
      <c r="F75" s="387">
        <v>78.099999999999994</v>
      </c>
      <c r="G75" s="588">
        <v>2.5000000000000001E-3</v>
      </c>
      <c r="H75" s="378">
        <v>77.650000000000006</v>
      </c>
      <c r="I75" s="379">
        <v>78.099999999999994</v>
      </c>
      <c r="J75" s="379">
        <v>75</v>
      </c>
      <c r="K75" s="397">
        <v>77.900000000000006</v>
      </c>
      <c r="L75" s="384">
        <v>327548</v>
      </c>
      <c r="M75" s="380">
        <v>427603</v>
      </c>
      <c r="N75" s="384">
        <v>571</v>
      </c>
      <c r="O75" s="463">
        <v>45294.708622685182</v>
      </c>
      <c r="P75" s="473">
        <v>74</v>
      </c>
      <c r="Q75" s="404">
        <v>0</v>
      </c>
      <c r="R75" s="439">
        <v>0</v>
      </c>
      <c r="S75" s="446">
        <v>0</v>
      </c>
      <c r="T75" s="385">
        <v>0</v>
      </c>
      <c r="U75" s="422">
        <v>0</v>
      </c>
      <c r="V75" s="423">
        <v>0</v>
      </c>
      <c r="W75" s="514" t="str">
        <f t="shared" si="46"/>
        <v/>
      </c>
      <c r="X75" s="614">
        <v>0</v>
      </c>
      <c r="Y75" s="690"/>
      <c r="Z75" s="546">
        <f t="shared" si="57"/>
        <v>1024.5366744975202</v>
      </c>
      <c r="AA75" s="553">
        <f>IFERROR($AB$1/(D75/100)*(C71/100),"")</f>
        <v>528296.96542893734</v>
      </c>
      <c r="AB75" s="38"/>
      <c r="AC75"/>
    </row>
    <row r="76" spans="1:29" ht="12.75" customHeight="1">
      <c r="A76" s="428" t="s">
        <v>617</v>
      </c>
      <c r="B76" s="365">
        <v>1655</v>
      </c>
      <c r="C76" s="321">
        <v>30600</v>
      </c>
      <c r="D76" s="386">
        <v>31969</v>
      </c>
      <c r="E76" s="365">
        <v>1000</v>
      </c>
      <c r="F76" s="449">
        <v>31996</v>
      </c>
      <c r="G76" s="583">
        <v>8.1000000000000003E-2</v>
      </c>
      <c r="H76" s="333">
        <v>29020</v>
      </c>
      <c r="I76" s="325">
        <v>32500</v>
      </c>
      <c r="J76" s="325">
        <v>29020</v>
      </c>
      <c r="K76" s="399">
        <v>29598</v>
      </c>
      <c r="L76" s="377">
        <v>4343358</v>
      </c>
      <c r="M76" s="329">
        <v>14098</v>
      </c>
      <c r="N76" s="407">
        <v>35</v>
      </c>
      <c r="O76" s="459">
        <v>45294.661423611113</v>
      </c>
      <c r="P76" s="474">
        <v>75</v>
      </c>
      <c r="Q76" s="405">
        <v>0</v>
      </c>
      <c r="R76" s="435">
        <v>0</v>
      </c>
      <c r="S76" s="443">
        <v>0</v>
      </c>
      <c r="T76" s="358">
        <v>0</v>
      </c>
      <c r="U76" s="421">
        <v>0</v>
      </c>
      <c r="V76" s="508">
        <v>0</v>
      </c>
      <c r="W76" s="512" t="str">
        <f t="shared" si="46"/>
        <v/>
      </c>
      <c r="X76" s="611">
        <v>0</v>
      </c>
      <c r="Y76" s="691">
        <f t="shared" ref="Y76" si="58">IF(D76&lt;&gt;0,($C77*(1-$V$1))-$D76,0)</f>
        <v>-869</v>
      </c>
      <c r="Z76" s="544">
        <f>$D76*($AE$1*$AD$1)</f>
        <v>139.43739178082191</v>
      </c>
      <c r="AA76" s="621"/>
      <c r="AB76" s="38"/>
      <c r="AC76"/>
    </row>
    <row r="77" spans="1:29" ht="12.75" customHeight="1">
      <c r="A77" s="426" t="s">
        <v>618</v>
      </c>
      <c r="B77" s="338">
        <v>100</v>
      </c>
      <c r="C77" s="340">
        <v>31100</v>
      </c>
      <c r="D77" s="340">
        <v>31800</v>
      </c>
      <c r="E77" s="338">
        <v>2502</v>
      </c>
      <c r="F77" s="341">
        <v>31800</v>
      </c>
      <c r="G77" s="586">
        <v>6.3500000000000001E-2</v>
      </c>
      <c r="H77" s="332">
        <v>29900</v>
      </c>
      <c r="I77" s="323">
        <v>32600</v>
      </c>
      <c r="J77" s="323">
        <v>29700</v>
      </c>
      <c r="K77" s="396">
        <v>29900</v>
      </c>
      <c r="L77" s="330">
        <v>93891204</v>
      </c>
      <c r="M77" s="327">
        <v>308170</v>
      </c>
      <c r="N77" s="330">
        <v>448</v>
      </c>
      <c r="O77" s="460">
        <v>45294.705914351849</v>
      </c>
      <c r="P77" s="473">
        <v>76</v>
      </c>
      <c r="Q77" s="402">
        <v>0</v>
      </c>
      <c r="R77" s="436">
        <v>0</v>
      </c>
      <c r="S77" s="440">
        <v>0</v>
      </c>
      <c r="T77" s="357">
        <v>0</v>
      </c>
      <c r="U77" s="422">
        <v>0</v>
      </c>
      <c r="V77" s="509">
        <v>0</v>
      </c>
      <c r="W77" s="513" t="str">
        <f t="shared" si="46"/>
        <v/>
      </c>
      <c r="X77" s="612">
        <v>0</v>
      </c>
      <c r="Y77" s="692"/>
      <c r="Z77" s="545">
        <v>0</v>
      </c>
      <c r="AA77" s="622"/>
      <c r="AB77" s="38"/>
      <c r="AC77"/>
    </row>
    <row r="78" spans="1:29" ht="12.75" customHeight="1">
      <c r="A78" s="348" t="s">
        <v>619</v>
      </c>
      <c r="B78" s="342"/>
      <c r="C78" s="343"/>
      <c r="D78" s="343"/>
      <c r="E78" s="342"/>
      <c r="F78" s="344"/>
      <c r="G78" s="587"/>
      <c r="H78" s="345"/>
      <c r="I78" s="324"/>
      <c r="J78" s="324"/>
      <c r="K78" s="400">
        <v>30.7</v>
      </c>
      <c r="L78" s="362"/>
      <c r="M78" s="328"/>
      <c r="N78" s="362"/>
      <c r="O78" s="462"/>
      <c r="P78" s="474">
        <v>77</v>
      </c>
      <c r="Q78" s="403">
        <v>0</v>
      </c>
      <c r="R78" s="437">
        <v>0</v>
      </c>
      <c r="S78" s="445">
        <v>0</v>
      </c>
      <c r="T78" s="356">
        <v>0</v>
      </c>
      <c r="U78" s="421">
        <v>0</v>
      </c>
      <c r="V78" s="511">
        <v>0</v>
      </c>
      <c r="W78" s="512" t="str">
        <f t="shared" si="46"/>
        <v/>
      </c>
      <c r="X78" s="613">
        <v>0</v>
      </c>
      <c r="Y78" s="687">
        <f t="shared" ref="Y78" si="59">IF(D78&lt;&gt;0,($C79*(1-$V$1))-$D78,0)</f>
        <v>0</v>
      </c>
      <c r="Z78" s="536" t="str">
        <f t="shared" ref="Z78:Z79" si="60">IFERROR(D76/C78,"")</f>
        <v/>
      </c>
      <c r="AA78" s="549" t="str">
        <f>IFERROR($AB$1/(D78/100)*(C76/100),"")</f>
        <v/>
      </c>
      <c r="AB78" s="38"/>
      <c r="AC78"/>
    </row>
    <row r="79" spans="1:29" ht="12.75" customHeight="1">
      <c r="A79" s="484" t="s">
        <v>620</v>
      </c>
      <c r="B79" s="337">
        <v>2700</v>
      </c>
      <c r="C79" s="339">
        <v>29</v>
      </c>
      <c r="D79" s="339"/>
      <c r="E79" s="337"/>
      <c r="F79" s="341"/>
      <c r="G79" s="586"/>
      <c r="H79" s="332"/>
      <c r="I79" s="323"/>
      <c r="J79" s="323"/>
      <c r="K79" s="396">
        <v>30</v>
      </c>
      <c r="L79" s="330"/>
      <c r="M79" s="327"/>
      <c r="N79" s="330"/>
      <c r="O79" s="460"/>
      <c r="P79" s="473">
        <v>78</v>
      </c>
      <c r="Q79" s="402">
        <v>0</v>
      </c>
      <c r="R79" s="436">
        <v>0</v>
      </c>
      <c r="S79" s="440">
        <v>0</v>
      </c>
      <c r="T79" s="357">
        <v>0</v>
      </c>
      <c r="U79" s="422">
        <v>0</v>
      </c>
      <c r="V79" s="510">
        <v>0</v>
      </c>
      <c r="W79" s="513" t="str">
        <f t="shared" si="46"/>
        <v/>
      </c>
      <c r="X79" s="612">
        <v>0</v>
      </c>
      <c r="Y79" s="688"/>
      <c r="Z79" s="535">
        <f t="shared" si="60"/>
        <v>1096.5517241379309</v>
      </c>
      <c r="AA79" s="550" t="str">
        <f>IFERROR($AB$1/(D79/100)*(C77/100),"")</f>
        <v/>
      </c>
      <c r="AB79" s="38"/>
    </row>
    <row r="80" spans="1:29" ht="12.75" customHeight="1">
      <c r="A80" s="348" t="s">
        <v>621</v>
      </c>
      <c r="B80" s="346">
        <v>100</v>
      </c>
      <c r="C80" s="343">
        <v>30.31</v>
      </c>
      <c r="D80" s="343">
        <v>30.62</v>
      </c>
      <c r="E80" s="346">
        <v>70</v>
      </c>
      <c r="F80" s="344">
        <v>30.62</v>
      </c>
      <c r="G80" s="587">
        <v>3.7900000000000003E-2</v>
      </c>
      <c r="H80" s="345">
        <v>30.5</v>
      </c>
      <c r="I80" s="324">
        <v>30.7</v>
      </c>
      <c r="J80" s="324">
        <v>30.5</v>
      </c>
      <c r="K80" s="400">
        <v>29.5</v>
      </c>
      <c r="L80" s="362">
        <v>7356</v>
      </c>
      <c r="M80" s="328">
        <v>24100</v>
      </c>
      <c r="N80" s="362">
        <v>25</v>
      </c>
      <c r="O80" s="462">
        <v>45294.683009259257</v>
      </c>
      <c r="P80" s="474">
        <v>79</v>
      </c>
      <c r="Q80" s="403">
        <v>0</v>
      </c>
      <c r="R80" s="437">
        <v>0</v>
      </c>
      <c r="S80" s="445">
        <v>0</v>
      </c>
      <c r="T80" s="356">
        <v>0</v>
      </c>
      <c r="U80" s="421">
        <v>0</v>
      </c>
      <c r="V80" s="505">
        <v>0</v>
      </c>
      <c r="W80" s="512" t="str">
        <f t="shared" si="46"/>
        <v/>
      </c>
      <c r="X80" s="613">
        <v>0</v>
      </c>
      <c r="Y80" s="689">
        <f t="shared" ref="Y80" si="61">IF(D80&lt;&gt;0,($C81*(1-$V$1))-$D80,0)</f>
        <v>0.27999999999999758</v>
      </c>
      <c r="Z80" s="534">
        <f t="shared" ref="Z80:Z81" si="62">IFERROR(D76/C80,"")</f>
        <v>1054.7344110854503</v>
      </c>
      <c r="AA80" s="549">
        <f>IFERROR($AB$1/(D80/100)*(C76/100),"")</f>
        <v>525596.47289353365</v>
      </c>
      <c r="AB80" s="38"/>
      <c r="AC80" s="11"/>
    </row>
    <row r="81" spans="1:29" ht="12.75" customHeight="1">
      <c r="A81" s="429" t="s">
        <v>622</v>
      </c>
      <c r="B81" s="389">
        <v>500</v>
      </c>
      <c r="C81" s="390">
        <v>30.9</v>
      </c>
      <c r="D81" s="390">
        <v>31</v>
      </c>
      <c r="E81" s="389">
        <v>100</v>
      </c>
      <c r="F81" s="387">
        <v>31</v>
      </c>
      <c r="G81" s="588">
        <v>3.6699999999999997E-2</v>
      </c>
      <c r="H81" s="378">
        <v>30</v>
      </c>
      <c r="I81" s="379">
        <v>32.5</v>
      </c>
      <c r="J81" s="379">
        <v>29.9</v>
      </c>
      <c r="K81" s="397">
        <v>29.9</v>
      </c>
      <c r="L81" s="384">
        <v>55920</v>
      </c>
      <c r="M81" s="380">
        <v>184414</v>
      </c>
      <c r="N81" s="384">
        <v>204</v>
      </c>
      <c r="O81" s="463">
        <v>45294.708414351851</v>
      </c>
      <c r="P81" s="473">
        <v>80</v>
      </c>
      <c r="Q81" s="404">
        <v>0</v>
      </c>
      <c r="R81" s="439">
        <v>0</v>
      </c>
      <c r="S81" s="446">
        <v>0</v>
      </c>
      <c r="T81" s="385">
        <v>0</v>
      </c>
      <c r="U81" s="422">
        <v>0</v>
      </c>
      <c r="V81" s="423">
        <v>0</v>
      </c>
      <c r="W81" s="514" t="str">
        <f t="shared" si="46"/>
        <v/>
      </c>
      <c r="X81" s="614">
        <v>0</v>
      </c>
      <c r="Y81" s="690"/>
      <c r="Z81" s="546">
        <f t="shared" si="62"/>
        <v>1029.1262135922329</v>
      </c>
      <c r="AA81" s="551">
        <f>IFERROR($AB$1/(D81/100)*(C77/100),"")</f>
        <v>527636.58064516133</v>
      </c>
      <c r="AB81" s="38"/>
      <c r="AC81" s="11"/>
    </row>
    <row r="82" spans="1:29" ht="12.75" customHeight="1">
      <c r="A82" s="428" t="s">
        <v>543</v>
      </c>
      <c r="B82" s="365">
        <v>522</v>
      </c>
      <c r="C82" s="321">
        <v>41539</v>
      </c>
      <c r="D82" s="386">
        <v>41800</v>
      </c>
      <c r="E82" s="365">
        <v>130</v>
      </c>
      <c r="F82" s="449">
        <v>41716</v>
      </c>
      <c r="G82" s="583">
        <v>4.0399999999999998E-2</v>
      </c>
      <c r="H82" s="333">
        <v>39199</v>
      </c>
      <c r="I82" s="325">
        <v>41716</v>
      </c>
      <c r="J82" s="325">
        <v>39199</v>
      </c>
      <c r="K82" s="399">
        <v>40095</v>
      </c>
      <c r="L82" s="377">
        <v>6951954</v>
      </c>
      <c r="M82" s="329">
        <v>17151</v>
      </c>
      <c r="N82" s="377">
        <v>75</v>
      </c>
      <c r="O82" s="459">
        <v>45294.683148148149</v>
      </c>
      <c r="P82" s="474">
        <v>81</v>
      </c>
      <c r="Q82" s="405">
        <v>0</v>
      </c>
      <c r="R82" s="435">
        <v>0</v>
      </c>
      <c r="S82" s="443">
        <v>0</v>
      </c>
      <c r="T82" s="358">
        <v>0</v>
      </c>
      <c r="U82" s="421">
        <v>0</v>
      </c>
      <c r="V82" s="508">
        <v>0</v>
      </c>
      <c r="W82" s="512" t="str">
        <f t="shared" si="46"/>
        <v/>
      </c>
      <c r="X82" s="611">
        <v>0</v>
      </c>
      <c r="Y82" s="691">
        <f t="shared" ref="Y82" si="63">IF(D82&lt;&gt;0,($C83*(1-$V$1))-$D82,0)</f>
        <v>5</v>
      </c>
      <c r="Z82" s="544">
        <f>$D82*($AE$1*$AD$1)</f>
        <v>182.31671232876712</v>
      </c>
      <c r="AA82" s="621"/>
      <c r="AB82" s="38"/>
      <c r="AC82" s="11"/>
    </row>
    <row r="83" spans="1:29" ht="12.75" customHeight="1">
      <c r="A83" s="426" t="s">
        <v>544</v>
      </c>
      <c r="B83" s="338">
        <v>44</v>
      </c>
      <c r="C83" s="340">
        <v>41805</v>
      </c>
      <c r="D83" s="340">
        <v>41990</v>
      </c>
      <c r="E83" s="338">
        <v>1741</v>
      </c>
      <c r="F83" s="341">
        <v>41990</v>
      </c>
      <c r="G83" s="586">
        <v>3.1600000000000003E-2</v>
      </c>
      <c r="H83" s="332">
        <v>39400.5</v>
      </c>
      <c r="I83" s="323">
        <v>41990</v>
      </c>
      <c r="J83" s="323">
        <v>39400.5</v>
      </c>
      <c r="K83" s="396">
        <v>40700</v>
      </c>
      <c r="L83" s="330">
        <v>175954139</v>
      </c>
      <c r="M83" s="327">
        <v>431285</v>
      </c>
      <c r="N83" s="330">
        <v>410</v>
      </c>
      <c r="O83" s="460">
        <v>45294.708425925928</v>
      </c>
      <c r="P83" s="473">
        <v>82</v>
      </c>
      <c r="Q83" s="402">
        <v>0</v>
      </c>
      <c r="R83" s="436">
        <v>0</v>
      </c>
      <c r="S83" s="440">
        <v>0</v>
      </c>
      <c r="T83" s="357">
        <v>0</v>
      </c>
      <c r="U83" s="422">
        <v>0</v>
      </c>
      <c r="V83" s="509">
        <v>0</v>
      </c>
      <c r="W83" s="513" t="str">
        <f t="shared" si="46"/>
        <v/>
      </c>
      <c r="X83" s="612">
        <v>0</v>
      </c>
      <c r="Y83" s="692"/>
      <c r="Z83" s="545">
        <v>0</v>
      </c>
      <c r="AA83" s="622"/>
      <c r="AB83" s="38"/>
      <c r="AC83" s="11"/>
    </row>
    <row r="84" spans="1:29" ht="12.75" customHeight="1">
      <c r="A84" s="348" t="s">
        <v>545</v>
      </c>
      <c r="B84" s="342"/>
      <c r="C84" s="343"/>
      <c r="D84" s="343"/>
      <c r="E84" s="342"/>
      <c r="F84" s="344"/>
      <c r="G84" s="587"/>
      <c r="H84" s="345"/>
      <c r="I84" s="324"/>
      <c r="J84" s="324"/>
      <c r="K84" s="400">
        <v>40.950000000000003</v>
      </c>
      <c r="L84" s="362"/>
      <c r="M84" s="328"/>
      <c r="N84" s="362"/>
      <c r="O84" s="462"/>
      <c r="P84" s="474">
        <v>83</v>
      </c>
      <c r="Q84" s="403">
        <v>0</v>
      </c>
      <c r="R84" s="437">
        <v>0</v>
      </c>
      <c r="S84" s="445">
        <v>0</v>
      </c>
      <c r="T84" s="356">
        <v>0</v>
      </c>
      <c r="U84" s="421">
        <v>0</v>
      </c>
      <c r="V84" s="511">
        <v>0</v>
      </c>
      <c r="W84" s="512" t="str">
        <f t="shared" si="46"/>
        <v/>
      </c>
      <c r="X84" s="613">
        <v>0</v>
      </c>
      <c r="Y84" s="687">
        <f t="shared" ref="Y84" si="64">IF(D84&lt;&gt;0,($C85*(1-$V$1))-$D84,0)</f>
        <v>0</v>
      </c>
      <c r="Z84" s="536" t="str">
        <f t="shared" ref="Z84:Z85" si="65">IFERROR(D82/C84,"")</f>
        <v/>
      </c>
      <c r="AA84" s="548" t="str">
        <f>IFERROR($AB$1/(D84/100)*(C82/100),"")</f>
        <v/>
      </c>
      <c r="AB84" s="38"/>
      <c r="AC84" s="11"/>
    </row>
    <row r="85" spans="1:29" ht="12.75" customHeight="1">
      <c r="A85" s="484" t="s">
        <v>546</v>
      </c>
      <c r="B85" s="337"/>
      <c r="C85" s="339"/>
      <c r="D85" s="339"/>
      <c r="E85" s="337"/>
      <c r="F85" s="341"/>
      <c r="G85" s="586"/>
      <c r="H85" s="332"/>
      <c r="I85" s="323"/>
      <c r="J85" s="323"/>
      <c r="K85" s="396">
        <v>36.005000000000003</v>
      </c>
      <c r="L85" s="330"/>
      <c r="M85" s="327"/>
      <c r="N85" s="330"/>
      <c r="O85" s="460"/>
      <c r="P85" s="473">
        <v>84</v>
      </c>
      <c r="Q85" s="402">
        <v>0</v>
      </c>
      <c r="R85" s="436">
        <v>0</v>
      </c>
      <c r="S85" s="440">
        <v>0</v>
      </c>
      <c r="T85" s="357">
        <v>0</v>
      </c>
      <c r="U85" s="422">
        <v>0</v>
      </c>
      <c r="V85" s="510">
        <v>0</v>
      </c>
      <c r="W85" s="513" t="str">
        <f t="shared" si="46"/>
        <v/>
      </c>
      <c r="X85" s="612">
        <v>0</v>
      </c>
      <c r="Y85" s="688"/>
      <c r="Z85" s="535" t="str">
        <f t="shared" si="65"/>
        <v/>
      </c>
      <c r="AA85" s="552" t="str">
        <f>IFERROR($AB$1/(D85/100)*(C83/100),"")</f>
        <v/>
      </c>
      <c r="AB85" s="38"/>
      <c r="AC85" s="11"/>
    </row>
    <row r="86" spans="1:29" ht="12.75" customHeight="1">
      <c r="A86" s="348" t="s">
        <v>547</v>
      </c>
      <c r="B86" s="346">
        <v>1000</v>
      </c>
      <c r="C86" s="343">
        <v>40.15</v>
      </c>
      <c r="D86" s="343">
        <v>41.5</v>
      </c>
      <c r="E86" s="346">
        <v>100</v>
      </c>
      <c r="F86" s="344">
        <v>41.3</v>
      </c>
      <c r="G86" s="587">
        <v>-1.6399999999999998E-2</v>
      </c>
      <c r="H86" s="345">
        <v>41.9</v>
      </c>
      <c r="I86" s="324">
        <v>41.9</v>
      </c>
      <c r="J86" s="324">
        <v>41.3</v>
      </c>
      <c r="K86" s="400">
        <v>41.99</v>
      </c>
      <c r="L86" s="362">
        <v>56</v>
      </c>
      <c r="M86" s="328">
        <v>136</v>
      </c>
      <c r="N86" s="362">
        <v>2</v>
      </c>
      <c r="O86" s="462">
        <v>45294.679745370369</v>
      </c>
      <c r="P86" s="474">
        <v>85</v>
      </c>
      <c r="Q86" s="403">
        <v>0</v>
      </c>
      <c r="R86" s="437">
        <v>0</v>
      </c>
      <c r="S86" s="445">
        <v>0</v>
      </c>
      <c r="T86" s="356">
        <v>0</v>
      </c>
      <c r="U86" s="421">
        <v>0</v>
      </c>
      <c r="V86" s="505">
        <v>0</v>
      </c>
      <c r="W86" s="512" t="str">
        <f t="shared" si="46"/>
        <v/>
      </c>
      <c r="X86" s="613">
        <v>0</v>
      </c>
      <c r="Y86" s="689">
        <f t="shared" ref="Y86" si="66">IF(D86&lt;&gt;0,($C87*(1-$V$1))-$D86,0)</f>
        <v>-1.2000000000000028</v>
      </c>
      <c r="Z86" s="534">
        <f t="shared" ref="Z86:Z87" si="67">IFERROR(D82/C86,"")</f>
        <v>1041.0958904109589</v>
      </c>
      <c r="AA86" s="548">
        <f>IFERROR($AB$1/(D86/100)*(C82/100),"")</f>
        <v>526434.25686746987</v>
      </c>
      <c r="AB86" s="38"/>
      <c r="AC86" s="11"/>
    </row>
    <row r="87" spans="1:29" ht="12.75" customHeight="1">
      <c r="A87" s="429" t="s">
        <v>548</v>
      </c>
      <c r="B87" s="389">
        <v>100</v>
      </c>
      <c r="C87" s="390">
        <v>40.299999999999997</v>
      </c>
      <c r="D87" s="390">
        <v>41.3</v>
      </c>
      <c r="E87" s="389">
        <v>19732</v>
      </c>
      <c r="F87" s="387">
        <v>40.5</v>
      </c>
      <c r="G87" s="588">
        <v>-1.21E-2</v>
      </c>
      <c r="H87" s="378">
        <v>41.5</v>
      </c>
      <c r="I87" s="379">
        <v>41.5</v>
      </c>
      <c r="J87" s="379">
        <v>40.5</v>
      </c>
      <c r="K87" s="397">
        <v>41</v>
      </c>
      <c r="L87" s="384">
        <v>57687</v>
      </c>
      <c r="M87" s="380">
        <v>140827</v>
      </c>
      <c r="N87" s="384">
        <v>56</v>
      </c>
      <c r="O87" s="463">
        <v>45294.689421296294</v>
      </c>
      <c r="P87" s="473">
        <v>86</v>
      </c>
      <c r="Q87" s="404">
        <v>0</v>
      </c>
      <c r="R87" s="439">
        <v>0</v>
      </c>
      <c r="S87" s="446">
        <v>0</v>
      </c>
      <c r="T87" s="385">
        <v>0</v>
      </c>
      <c r="U87" s="422">
        <v>0</v>
      </c>
      <c r="V87" s="423">
        <v>0</v>
      </c>
      <c r="W87" s="514" t="str">
        <f t="shared" si="46"/>
        <v/>
      </c>
      <c r="X87" s="614">
        <v>0</v>
      </c>
      <c r="Y87" s="690"/>
      <c r="Z87" s="546">
        <f t="shared" si="67"/>
        <v>1041.9354838709678</v>
      </c>
      <c r="AA87" s="553">
        <f>IFERROR($AB$1/(D87/100)*(C83/100),"")</f>
        <v>532370.98547215515</v>
      </c>
      <c r="AB87" s="38"/>
    </row>
    <row r="88" spans="1:29" ht="12.75" customHeight="1">
      <c r="A88" s="428" t="s">
        <v>588</v>
      </c>
      <c r="B88" s="365">
        <v>2390</v>
      </c>
      <c r="C88" s="321">
        <v>39900</v>
      </c>
      <c r="D88" s="386">
        <v>40200</v>
      </c>
      <c r="E88" s="365">
        <v>5000</v>
      </c>
      <c r="F88" s="449">
        <v>40100</v>
      </c>
      <c r="G88" s="583">
        <v>4.7500000000000001E-2</v>
      </c>
      <c r="H88" s="333">
        <v>38779.5</v>
      </c>
      <c r="I88" s="325">
        <v>40100</v>
      </c>
      <c r="J88" s="325">
        <v>38182</v>
      </c>
      <c r="K88" s="399">
        <v>38280</v>
      </c>
      <c r="L88" s="377">
        <v>387286752</v>
      </c>
      <c r="M88" s="329">
        <v>988807</v>
      </c>
      <c r="N88" s="377">
        <v>955</v>
      </c>
      <c r="O88" s="459">
        <v>45294.685381944444</v>
      </c>
      <c r="P88" s="474">
        <v>87</v>
      </c>
      <c r="Q88" s="405">
        <v>0</v>
      </c>
      <c r="R88" s="435">
        <v>0</v>
      </c>
      <c r="S88" s="443">
        <v>0</v>
      </c>
      <c r="T88" s="358">
        <v>0</v>
      </c>
      <c r="U88" s="421">
        <v>0</v>
      </c>
      <c r="V88" s="508">
        <v>70</v>
      </c>
      <c r="W88" s="318">
        <f>IF(X88&gt;0,(F88/100*V88)-(V88*X88),"")</f>
        <v>3107.6499999999978</v>
      </c>
      <c r="X88" s="611">
        <v>356.60500000000002</v>
      </c>
      <c r="Y88" s="691">
        <f t="shared" ref="Y88" si="68">IF(D88&lt;&gt;0,($C89*(1-$V$1))-$D88,0)</f>
        <v>310</v>
      </c>
      <c r="Z88" s="544">
        <f>$D88*($AE$1*$AD$1)</f>
        <v>175.33808219178081</v>
      </c>
      <c r="AA88" s="621"/>
      <c r="AB88" s="38"/>
    </row>
    <row r="89" spans="1:29" ht="12.75" customHeight="1">
      <c r="A89" s="426" t="s">
        <v>183</v>
      </c>
      <c r="B89" s="338">
        <v>741</v>
      </c>
      <c r="C89" s="340">
        <v>40510</v>
      </c>
      <c r="D89" s="340">
        <v>40600</v>
      </c>
      <c r="E89" s="338">
        <v>2719</v>
      </c>
      <c r="F89" s="341">
        <v>40600</v>
      </c>
      <c r="G89" s="586">
        <v>4.6600000000000003E-2</v>
      </c>
      <c r="H89" s="332">
        <v>37700</v>
      </c>
      <c r="I89" s="323">
        <v>42500</v>
      </c>
      <c r="J89" s="323">
        <v>37700</v>
      </c>
      <c r="K89" s="396">
        <v>38790</v>
      </c>
      <c r="L89" s="330">
        <v>3526104088</v>
      </c>
      <c r="M89" s="327">
        <v>8917691</v>
      </c>
      <c r="N89" s="330">
        <v>2793</v>
      </c>
      <c r="O89" s="460">
        <v>45294.708391203705</v>
      </c>
      <c r="P89" s="473">
        <v>88</v>
      </c>
      <c r="Q89" s="402">
        <v>0</v>
      </c>
      <c r="R89" s="436">
        <v>0</v>
      </c>
      <c r="S89" s="440">
        <v>0</v>
      </c>
      <c r="T89" s="357">
        <v>0</v>
      </c>
      <c r="U89" s="422">
        <v>0</v>
      </c>
      <c r="V89" s="509">
        <v>0</v>
      </c>
      <c r="W89" s="513" t="str">
        <f t="shared" si="46"/>
        <v/>
      </c>
      <c r="X89" s="612">
        <v>0</v>
      </c>
      <c r="Y89" s="692"/>
      <c r="Z89" s="545">
        <v>0</v>
      </c>
      <c r="AA89" s="622"/>
      <c r="AB89" s="38"/>
    </row>
    <row r="90" spans="1:29" ht="12.75" customHeight="1">
      <c r="A90" s="348" t="s">
        <v>589</v>
      </c>
      <c r="B90" s="342"/>
      <c r="C90" s="343"/>
      <c r="D90" s="343"/>
      <c r="E90" s="342"/>
      <c r="F90" s="344"/>
      <c r="G90" s="587"/>
      <c r="H90" s="345"/>
      <c r="I90" s="324"/>
      <c r="J90" s="324"/>
      <c r="K90" s="400">
        <v>33</v>
      </c>
      <c r="L90" s="362"/>
      <c r="M90" s="328"/>
      <c r="N90" s="362"/>
      <c r="O90" s="462"/>
      <c r="P90" s="474">
        <v>89</v>
      </c>
      <c r="Q90" s="403">
        <v>0</v>
      </c>
      <c r="R90" s="437">
        <v>0</v>
      </c>
      <c r="S90" s="445">
        <v>0</v>
      </c>
      <c r="T90" s="356">
        <v>0</v>
      </c>
      <c r="U90" s="421">
        <v>0</v>
      </c>
      <c r="V90" s="511">
        <v>0</v>
      </c>
      <c r="W90" s="512" t="str">
        <f t="shared" si="46"/>
        <v/>
      </c>
      <c r="X90" s="613">
        <v>0</v>
      </c>
      <c r="Y90" s="687">
        <f t="shared" ref="Y90" si="69">IF(D90&lt;&gt;0,($C91*(1-$V$1))-$D90,0)</f>
        <v>0</v>
      </c>
      <c r="Z90" s="536" t="str">
        <f t="shared" ref="Z90:Z91" si="70">IFERROR(D88/C90,"")</f>
        <v/>
      </c>
      <c r="AA90" s="549" t="str">
        <f>IFERROR($AB$1/(D90/100)*(C88/100),"")</f>
        <v/>
      </c>
      <c r="AB90" s="38"/>
    </row>
    <row r="91" spans="1:29" ht="12.75" customHeight="1">
      <c r="A91" s="484" t="s">
        <v>230</v>
      </c>
      <c r="B91" s="337"/>
      <c r="C91" s="339"/>
      <c r="D91" s="339"/>
      <c r="E91" s="337"/>
      <c r="F91" s="341"/>
      <c r="G91" s="586"/>
      <c r="H91" s="332"/>
      <c r="I91" s="323"/>
      <c r="J91" s="323"/>
      <c r="K91" s="396">
        <v>38</v>
      </c>
      <c r="L91" s="330"/>
      <c r="M91" s="327"/>
      <c r="N91" s="330"/>
      <c r="O91" s="460"/>
      <c r="P91" s="473">
        <v>90</v>
      </c>
      <c r="Q91" s="402">
        <v>0</v>
      </c>
      <c r="R91" s="436">
        <v>0</v>
      </c>
      <c r="S91" s="440">
        <v>0</v>
      </c>
      <c r="T91" s="357">
        <v>0</v>
      </c>
      <c r="U91" s="422">
        <v>0</v>
      </c>
      <c r="V91" s="510">
        <v>0</v>
      </c>
      <c r="W91" s="513" t="str">
        <f t="shared" si="46"/>
        <v/>
      </c>
      <c r="X91" s="612">
        <v>0</v>
      </c>
      <c r="Y91" s="688"/>
      <c r="Z91" s="535" t="str">
        <f t="shared" si="70"/>
        <v/>
      </c>
      <c r="AA91" s="550" t="str">
        <f>IFERROR($AB$1/(D91/100)*(C89/100),"")</f>
        <v/>
      </c>
      <c r="AB91" s="38"/>
    </row>
    <row r="92" spans="1:29" ht="12.75" customHeight="1">
      <c r="A92" s="348" t="s">
        <v>590</v>
      </c>
      <c r="B92" s="346">
        <v>1404</v>
      </c>
      <c r="C92" s="343">
        <v>39.619999999999997</v>
      </c>
      <c r="D92" s="343">
        <v>39.700000000000003</v>
      </c>
      <c r="E92" s="346">
        <v>1162</v>
      </c>
      <c r="F92" s="344">
        <v>39.65</v>
      </c>
      <c r="G92" s="587">
        <v>-3.7000000000000002E-3</v>
      </c>
      <c r="H92" s="345">
        <v>39</v>
      </c>
      <c r="I92" s="324">
        <v>39.9</v>
      </c>
      <c r="J92" s="324">
        <v>38.869999999999997</v>
      </c>
      <c r="K92" s="400">
        <v>39.799999999999997</v>
      </c>
      <c r="L92" s="362">
        <v>168605</v>
      </c>
      <c r="M92" s="328">
        <v>425538</v>
      </c>
      <c r="N92" s="362">
        <v>213</v>
      </c>
      <c r="O92" s="462">
        <v>45294.687557870369</v>
      </c>
      <c r="P92" s="474">
        <v>91</v>
      </c>
      <c r="Q92" s="403">
        <v>0</v>
      </c>
      <c r="R92" s="437">
        <v>0</v>
      </c>
      <c r="S92" s="445">
        <v>0</v>
      </c>
      <c r="T92" s="356">
        <v>0</v>
      </c>
      <c r="U92" s="421">
        <v>0</v>
      </c>
      <c r="V92" s="505">
        <v>0</v>
      </c>
      <c r="W92" s="512">
        <f t="shared" si="46"/>
        <v>0</v>
      </c>
      <c r="X92" s="613">
        <v>39.340000000000003</v>
      </c>
      <c r="Y92" s="689">
        <f t="shared" ref="Y92" si="71">IF(D92&lt;&gt;0,($C93*(1-$V$1))-$D92,0)</f>
        <v>-0.5</v>
      </c>
      <c r="Z92" s="534">
        <f t="shared" ref="Z92:Z93" si="72">IFERROR(D88/C92,"")</f>
        <v>1014.6390711761737</v>
      </c>
      <c r="AA92" s="549">
        <f>IFERROR($AB$1/(D92/100)*(C88/100),"")</f>
        <v>528589.57178841322</v>
      </c>
      <c r="AB92" s="38"/>
    </row>
    <row r="93" spans="1:29" ht="12.75" customHeight="1">
      <c r="A93" s="429" t="s">
        <v>231</v>
      </c>
      <c r="B93" s="389">
        <v>980</v>
      </c>
      <c r="C93" s="390">
        <v>39.200000000000003</v>
      </c>
      <c r="D93" s="390">
        <v>39.997999999999998</v>
      </c>
      <c r="E93" s="389">
        <v>5000</v>
      </c>
      <c r="F93" s="387">
        <v>39.898000000000003</v>
      </c>
      <c r="G93" s="588">
        <v>7.1999999999999998E-3</v>
      </c>
      <c r="H93" s="378">
        <v>39.5</v>
      </c>
      <c r="I93" s="379">
        <v>40</v>
      </c>
      <c r="J93" s="379">
        <v>38.299999999999997</v>
      </c>
      <c r="K93" s="397">
        <v>39.610999999999997</v>
      </c>
      <c r="L93" s="384">
        <v>377534</v>
      </c>
      <c r="M93" s="380">
        <v>955366</v>
      </c>
      <c r="N93" s="384">
        <v>498</v>
      </c>
      <c r="O93" s="463">
        <v>45294.705578703702</v>
      </c>
      <c r="P93" s="473">
        <v>92</v>
      </c>
      <c r="Q93" s="404">
        <v>0</v>
      </c>
      <c r="R93" s="439">
        <v>0</v>
      </c>
      <c r="S93" s="446">
        <v>0</v>
      </c>
      <c r="T93" s="385">
        <v>0</v>
      </c>
      <c r="U93" s="422">
        <v>0</v>
      </c>
      <c r="V93" s="423">
        <v>0</v>
      </c>
      <c r="W93" s="514" t="str">
        <f t="shared" si="46"/>
        <v/>
      </c>
      <c r="X93" s="614">
        <v>0</v>
      </c>
      <c r="Y93" s="690"/>
      <c r="Z93" s="546">
        <f t="shared" si="72"/>
        <v>1035.7142857142856</v>
      </c>
      <c r="AA93" s="551">
        <f>IFERROR($AB$1/(D93/100)*(C89/100),"")</f>
        <v>532672.36861843104</v>
      </c>
      <c r="AB93" s="38"/>
    </row>
    <row r="94" spans="1:29" ht="12.75" customHeight="1">
      <c r="A94" s="428" t="s">
        <v>582</v>
      </c>
      <c r="B94" s="365">
        <v>2318</v>
      </c>
      <c r="C94" s="321">
        <v>38600</v>
      </c>
      <c r="D94" s="386">
        <v>39100</v>
      </c>
      <c r="E94" s="365">
        <v>634</v>
      </c>
      <c r="F94" s="449">
        <v>39000</v>
      </c>
      <c r="G94" s="583">
        <v>4.6199999999999998E-2</v>
      </c>
      <c r="H94" s="333">
        <v>36800</v>
      </c>
      <c r="I94" s="325">
        <v>39100</v>
      </c>
      <c r="J94" s="325">
        <v>36800</v>
      </c>
      <c r="K94" s="399">
        <v>37275.5</v>
      </c>
      <c r="L94" s="377">
        <v>105107680</v>
      </c>
      <c r="M94" s="329">
        <v>275739</v>
      </c>
      <c r="N94" s="377">
        <v>352</v>
      </c>
      <c r="O94" s="459">
        <v>45294.687754629631</v>
      </c>
      <c r="P94" s="474">
        <v>93</v>
      </c>
      <c r="Q94" s="405">
        <v>0</v>
      </c>
      <c r="R94" s="435">
        <v>0</v>
      </c>
      <c r="S94" s="443">
        <v>0</v>
      </c>
      <c r="T94" s="358">
        <v>0</v>
      </c>
      <c r="U94" s="421">
        <v>0</v>
      </c>
      <c r="V94" s="508">
        <v>0</v>
      </c>
      <c r="W94" s="512" t="str">
        <f t="shared" si="46"/>
        <v/>
      </c>
      <c r="X94" s="611">
        <v>0</v>
      </c>
      <c r="Y94" s="691">
        <f t="shared" ref="Y94" si="73">IF(D94&lt;&gt;0,($C95*(1-$V$1))-$D94,0)</f>
        <v>-100</v>
      </c>
      <c r="Z94" s="544">
        <f>$D94*($AE$1*$AD$1)</f>
        <v>170.54027397260273</v>
      </c>
      <c r="AA94" s="621"/>
      <c r="AB94" s="38"/>
    </row>
    <row r="95" spans="1:29" ht="12.75" customHeight="1">
      <c r="A95" s="426" t="s">
        <v>186</v>
      </c>
      <c r="B95" s="338">
        <v>50</v>
      </c>
      <c r="C95" s="340">
        <v>39000</v>
      </c>
      <c r="D95" s="340">
        <v>39234</v>
      </c>
      <c r="E95" s="338">
        <v>3077</v>
      </c>
      <c r="F95" s="341">
        <v>39234</v>
      </c>
      <c r="G95" s="586">
        <v>3.8399999999999997E-2</v>
      </c>
      <c r="H95" s="332">
        <v>36720</v>
      </c>
      <c r="I95" s="323">
        <v>39234</v>
      </c>
      <c r="J95" s="323">
        <v>36720</v>
      </c>
      <c r="K95" s="396">
        <v>37780</v>
      </c>
      <c r="L95" s="330">
        <v>219414701</v>
      </c>
      <c r="M95" s="327">
        <v>573625</v>
      </c>
      <c r="N95" s="330">
        <v>627</v>
      </c>
      <c r="O95" s="460">
        <v>45294.708460648151</v>
      </c>
      <c r="P95" s="473">
        <v>94</v>
      </c>
      <c r="Q95" s="402">
        <v>0</v>
      </c>
      <c r="R95" s="436">
        <v>0</v>
      </c>
      <c r="S95" s="440">
        <v>0</v>
      </c>
      <c r="T95" s="357">
        <v>0</v>
      </c>
      <c r="U95" s="422">
        <v>0</v>
      </c>
      <c r="V95" s="509">
        <v>0</v>
      </c>
      <c r="W95" s="513" t="str">
        <f t="shared" si="46"/>
        <v/>
      </c>
      <c r="X95" s="612">
        <v>0</v>
      </c>
      <c r="Y95" s="692"/>
      <c r="Z95" s="545"/>
      <c r="AA95" s="622"/>
      <c r="AB95" s="38"/>
    </row>
    <row r="96" spans="1:29" ht="12.75" customHeight="1">
      <c r="A96" s="348" t="s">
        <v>583</v>
      </c>
      <c r="B96" s="342">
        <v>1</v>
      </c>
      <c r="C96" s="343">
        <v>36</v>
      </c>
      <c r="D96" s="343"/>
      <c r="E96" s="342"/>
      <c r="F96" s="344"/>
      <c r="G96" s="587"/>
      <c r="H96" s="345"/>
      <c r="I96" s="324"/>
      <c r="J96" s="324"/>
      <c r="K96" s="400">
        <v>22.5</v>
      </c>
      <c r="L96" s="362"/>
      <c r="M96" s="328"/>
      <c r="N96" s="362"/>
      <c r="O96" s="462"/>
      <c r="P96" s="474">
        <v>95</v>
      </c>
      <c r="Q96" s="403">
        <v>0</v>
      </c>
      <c r="R96" s="437">
        <v>0</v>
      </c>
      <c r="S96" s="445">
        <v>0</v>
      </c>
      <c r="T96" s="356">
        <v>0</v>
      </c>
      <c r="U96" s="421">
        <v>0</v>
      </c>
      <c r="V96" s="511">
        <v>0</v>
      </c>
      <c r="W96" s="512" t="str">
        <f t="shared" si="46"/>
        <v/>
      </c>
      <c r="X96" s="613">
        <v>0</v>
      </c>
      <c r="Y96" s="687">
        <f t="shared" ref="Y96" si="74">IF(D96&lt;&gt;0,($C97*(1-$V$1))-$D96,0)</f>
        <v>0</v>
      </c>
      <c r="Z96" s="536">
        <f t="shared" ref="Z96:Z97" si="75">IFERROR(D94/C96,"")</f>
        <v>1086.1111111111111</v>
      </c>
      <c r="AA96" s="548" t="str">
        <f>IFERROR($AB$1/(D96/100)*(C94/100),"")</f>
        <v/>
      </c>
      <c r="AB96" s="38"/>
    </row>
    <row r="97" spans="1:28" ht="12.75" customHeight="1">
      <c r="A97" s="484" t="s">
        <v>238</v>
      </c>
      <c r="B97" s="337"/>
      <c r="C97" s="339"/>
      <c r="D97" s="339"/>
      <c r="E97" s="337"/>
      <c r="F97" s="341"/>
      <c r="G97" s="586"/>
      <c r="H97" s="332"/>
      <c r="I97" s="323"/>
      <c r="J97" s="323"/>
      <c r="K97" s="396">
        <v>38.5</v>
      </c>
      <c r="L97" s="330"/>
      <c r="M97" s="327"/>
      <c r="N97" s="330"/>
      <c r="O97" s="460"/>
      <c r="P97" s="473">
        <v>96</v>
      </c>
      <c r="Q97" s="402">
        <v>0</v>
      </c>
      <c r="R97" s="436">
        <v>0</v>
      </c>
      <c r="S97" s="440">
        <v>0</v>
      </c>
      <c r="T97" s="357">
        <v>0</v>
      </c>
      <c r="U97" s="422">
        <v>0</v>
      </c>
      <c r="V97" s="510">
        <v>0</v>
      </c>
      <c r="W97" s="513" t="str">
        <f t="shared" si="46"/>
        <v/>
      </c>
      <c r="X97" s="612">
        <v>0</v>
      </c>
      <c r="Y97" s="688"/>
      <c r="Z97" s="535" t="str">
        <f t="shared" si="75"/>
        <v/>
      </c>
      <c r="AA97" s="552" t="str">
        <f>IFERROR($AB$1/(D97/100)*(C95/100),"")</f>
        <v/>
      </c>
      <c r="AB97" s="38"/>
    </row>
    <row r="98" spans="1:28" ht="12.75" customHeight="1">
      <c r="A98" s="348" t="s">
        <v>584</v>
      </c>
      <c r="B98" s="346">
        <v>1000</v>
      </c>
      <c r="C98" s="343">
        <v>37.86</v>
      </c>
      <c r="D98" s="343">
        <v>38</v>
      </c>
      <c r="E98" s="346">
        <v>1053</v>
      </c>
      <c r="F98" s="344">
        <v>38</v>
      </c>
      <c r="G98" s="587">
        <v>-7.8000000000000005E-3</v>
      </c>
      <c r="H98" s="345">
        <v>37.500999999999998</v>
      </c>
      <c r="I98" s="324">
        <v>39.5</v>
      </c>
      <c r="J98" s="324">
        <v>37.5</v>
      </c>
      <c r="K98" s="400">
        <v>38.299999999999997</v>
      </c>
      <c r="L98" s="362">
        <v>44894</v>
      </c>
      <c r="M98" s="328">
        <v>116715</v>
      </c>
      <c r="N98" s="362">
        <v>143</v>
      </c>
      <c r="O98" s="462">
        <v>45294.68041666667</v>
      </c>
      <c r="P98" s="474">
        <v>97</v>
      </c>
      <c r="Q98" s="403">
        <v>0</v>
      </c>
      <c r="R98" s="437">
        <v>0</v>
      </c>
      <c r="S98" s="445">
        <v>0</v>
      </c>
      <c r="T98" s="356">
        <v>0</v>
      </c>
      <c r="U98" s="421">
        <v>0</v>
      </c>
      <c r="V98" s="505">
        <v>0</v>
      </c>
      <c r="W98" s="512" t="str">
        <f t="shared" si="46"/>
        <v/>
      </c>
      <c r="X98" s="613">
        <v>0</v>
      </c>
      <c r="Y98" s="689">
        <f t="shared" ref="Y98" si="76">IF(D98&lt;&gt;0,($C99*(1-$V$1))-$D98,0)</f>
        <v>-0.11999999999999744</v>
      </c>
      <c r="Z98" s="534">
        <f t="shared" ref="Z98:Z99" si="77">IFERROR(D94/C98,"")</f>
        <v>1032.7522451135762</v>
      </c>
      <c r="AA98" s="548">
        <f>IFERROR($AB$1/(D98/100)*(C94/100),"")</f>
        <v>534244.31578947371</v>
      </c>
      <c r="AB98" s="38"/>
    </row>
    <row r="99" spans="1:28" ht="12.75" customHeight="1">
      <c r="A99" s="429" t="s">
        <v>239</v>
      </c>
      <c r="B99" s="389">
        <v>174</v>
      </c>
      <c r="C99" s="390">
        <v>37.880000000000003</v>
      </c>
      <c r="D99" s="390">
        <v>37.950000000000003</v>
      </c>
      <c r="E99" s="389">
        <v>38</v>
      </c>
      <c r="F99" s="387">
        <v>37.880000000000003</v>
      </c>
      <c r="G99" s="588">
        <v>-1.1200000000000002E-2</v>
      </c>
      <c r="H99" s="378">
        <v>38</v>
      </c>
      <c r="I99" s="379">
        <v>39</v>
      </c>
      <c r="J99" s="379">
        <v>36.200000000000003</v>
      </c>
      <c r="K99" s="397">
        <v>38.31</v>
      </c>
      <c r="L99" s="384">
        <v>46441</v>
      </c>
      <c r="M99" s="380">
        <v>121318</v>
      </c>
      <c r="N99" s="384">
        <v>154</v>
      </c>
      <c r="O99" s="463">
        <v>45294.708472222221</v>
      </c>
      <c r="P99" s="473">
        <v>98</v>
      </c>
      <c r="Q99" s="404">
        <v>0</v>
      </c>
      <c r="R99" s="439">
        <v>0</v>
      </c>
      <c r="S99" s="446">
        <v>0</v>
      </c>
      <c r="T99" s="385">
        <v>0</v>
      </c>
      <c r="U99" s="422">
        <v>0</v>
      </c>
      <c r="V99" s="423">
        <v>0</v>
      </c>
      <c r="W99" s="514" t="str">
        <f t="shared" si="46"/>
        <v/>
      </c>
      <c r="X99" s="614">
        <v>0</v>
      </c>
      <c r="Y99" s="690"/>
      <c r="Z99" s="546">
        <f t="shared" si="77"/>
        <v>1035.7444561774023</v>
      </c>
      <c r="AA99" s="553">
        <f>IFERROR($AB$1/(D99/100)*(C95/100),"")</f>
        <v>540491.69960474316</v>
      </c>
      <c r="AB99" s="38"/>
    </row>
    <row r="100" spans="1:28" ht="12.75" customHeight="1">
      <c r="A100" s="428" t="s">
        <v>585</v>
      </c>
      <c r="B100" s="365">
        <v>1850</v>
      </c>
      <c r="C100" s="321">
        <v>35702</v>
      </c>
      <c r="D100" s="386">
        <v>35990</v>
      </c>
      <c r="E100" s="365">
        <v>970</v>
      </c>
      <c r="F100" s="449">
        <v>35702</v>
      </c>
      <c r="G100" s="583">
        <v>1.2800000000000001E-2</v>
      </c>
      <c r="H100" s="333">
        <v>34699</v>
      </c>
      <c r="I100" s="325">
        <v>35950</v>
      </c>
      <c r="J100" s="325">
        <v>34450.5</v>
      </c>
      <c r="K100" s="399">
        <v>35250</v>
      </c>
      <c r="L100" s="377">
        <v>436247457</v>
      </c>
      <c r="M100" s="329">
        <v>1251418</v>
      </c>
      <c r="N100" s="377">
        <v>681</v>
      </c>
      <c r="O100" s="459">
        <v>45294.687627314815</v>
      </c>
      <c r="P100" s="474">
        <v>99</v>
      </c>
      <c r="Q100" s="405">
        <v>0</v>
      </c>
      <c r="R100" s="435">
        <v>0</v>
      </c>
      <c r="S100" s="443">
        <v>0</v>
      </c>
      <c r="T100" s="358">
        <v>0</v>
      </c>
      <c r="U100" s="421">
        <v>0</v>
      </c>
      <c r="V100" s="508">
        <v>0</v>
      </c>
      <c r="W100" s="512" t="str">
        <f t="shared" si="46"/>
        <v/>
      </c>
      <c r="X100" s="611">
        <v>0</v>
      </c>
      <c r="Y100" s="691">
        <f t="shared" ref="Y100" si="78">IF(D100&lt;&gt;0,($C101*(1-$V$1))-$D100,0)</f>
        <v>-234</v>
      </c>
      <c r="Z100" s="544">
        <f>$D100*($AE$1*$AD$1)</f>
        <v>156.97556164383562</v>
      </c>
      <c r="AA100" s="621"/>
      <c r="AB100" s="38"/>
    </row>
    <row r="101" spans="1:28" ht="12.75" customHeight="1">
      <c r="A101" s="426" t="s">
        <v>184</v>
      </c>
      <c r="B101" s="338">
        <v>5833</v>
      </c>
      <c r="C101" s="340">
        <v>35756</v>
      </c>
      <c r="D101" s="340">
        <v>36200</v>
      </c>
      <c r="E101" s="338">
        <v>226104</v>
      </c>
      <c r="F101" s="341">
        <v>36200</v>
      </c>
      <c r="G101" s="586">
        <v>4.3200000000000002E-2</v>
      </c>
      <c r="H101" s="332">
        <v>34400</v>
      </c>
      <c r="I101" s="323">
        <v>36650</v>
      </c>
      <c r="J101" s="323">
        <v>34400</v>
      </c>
      <c r="K101" s="396">
        <v>34699</v>
      </c>
      <c r="L101" s="330">
        <v>3544443530</v>
      </c>
      <c r="M101" s="327">
        <v>10108250</v>
      </c>
      <c r="N101" s="330">
        <v>1382</v>
      </c>
      <c r="O101" s="460">
        <v>45294.708587962959</v>
      </c>
      <c r="P101" s="473">
        <v>100</v>
      </c>
      <c r="Q101" s="402">
        <v>0</v>
      </c>
      <c r="R101" s="436">
        <v>0</v>
      </c>
      <c r="S101" s="440">
        <v>0</v>
      </c>
      <c r="T101" s="357">
        <v>0</v>
      </c>
      <c r="U101" s="422">
        <v>0</v>
      </c>
      <c r="V101" s="509">
        <v>0</v>
      </c>
      <c r="W101" s="513" t="str">
        <f t="shared" si="46"/>
        <v/>
      </c>
      <c r="X101" s="612">
        <v>0</v>
      </c>
      <c r="Y101" s="692"/>
      <c r="Z101" s="545"/>
      <c r="AA101" s="622"/>
      <c r="AB101" s="38"/>
    </row>
    <row r="102" spans="1:28" ht="12.75" customHeight="1">
      <c r="A102" s="348" t="s">
        <v>586</v>
      </c>
      <c r="B102" s="342"/>
      <c r="C102" s="343"/>
      <c r="D102" s="343"/>
      <c r="E102" s="342"/>
      <c r="F102" s="344"/>
      <c r="G102" s="587"/>
      <c r="H102" s="345"/>
      <c r="I102" s="324"/>
      <c r="J102" s="324"/>
      <c r="K102" s="400">
        <v>28.25</v>
      </c>
      <c r="L102" s="362"/>
      <c r="M102" s="328"/>
      <c r="N102" s="362"/>
      <c r="O102" s="462"/>
      <c r="P102" s="474">
        <v>101</v>
      </c>
      <c r="Q102" s="403">
        <v>0</v>
      </c>
      <c r="R102" s="437">
        <v>0</v>
      </c>
      <c r="S102" s="445">
        <v>0</v>
      </c>
      <c r="T102" s="356">
        <v>0</v>
      </c>
      <c r="U102" s="421">
        <v>0</v>
      </c>
      <c r="V102" s="511">
        <v>0</v>
      </c>
      <c r="W102" s="512" t="str">
        <f t="shared" si="46"/>
        <v/>
      </c>
      <c r="X102" s="613">
        <v>0</v>
      </c>
      <c r="Y102" s="687">
        <f t="shared" ref="Y102" si="79">IF(D102&lt;&gt;0,($C103*(1-$V$1))-$D102,0)</f>
        <v>0</v>
      </c>
      <c r="Z102" s="536" t="str">
        <f t="shared" ref="Z102:Z103" si="80">IFERROR(D100/C102,"")</f>
        <v/>
      </c>
      <c r="AA102" s="548" t="str">
        <f>IFERROR($AB$1/(D102/100)*(C100/100),"")</f>
        <v/>
      </c>
      <c r="AB102" s="38"/>
    </row>
    <row r="103" spans="1:28" ht="12.75" customHeight="1">
      <c r="A103" s="484" t="s">
        <v>240</v>
      </c>
      <c r="B103" s="337">
        <v>9998</v>
      </c>
      <c r="C103" s="339">
        <v>34</v>
      </c>
      <c r="D103" s="339"/>
      <c r="E103" s="337"/>
      <c r="F103" s="341">
        <v>34</v>
      </c>
      <c r="G103" s="586">
        <v>-2.8500000000000001E-2</v>
      </c>
      <c r="H103" s="332">
        <v>34</v>
      </c>
      <c r="I103" s="323">
        <v>34</v>
      </c>
      <c r="J103" s="323">
        <v>34</v>
      </c>
      <c r="K103" s="396">
        <v>35</v>
      </c>
      <c r="L103" s="330">
        <v>1</v>
      </c>
      <c r="M103" s="327">
        <v>2</v>
      </c>
      <c r="N103" s="330">
        <v>1</v>
      </c>
      <c r="O103" s="460">
        <v>45294.494398148148</v>
      </c>
      <c r="P103" s="473">
        <v>102</v>
      </c>
      <c r="Q103" s="402">
        <v>0</v>
      </c>
      <c r="R103" s="436">
        <v>0</v>
      </c>
      <c r="S103" s="440">
        <v>0</v>
      </c>
      <c r="T103" s="357">
        <v>0</v>
      </c>
      <c r="U103" s="422">
        <v>0</v>
      </c>
      <c r="V103" s="510">
        <v>0</v>
      </c>
      <c r="W103" s="513" t="str">
        <f t="shared" si="46"/>
        <v/>
      </c>
      <c r="X103" s="612">
        <v>0</v>
      </c>
      <c r="Y103" s="688"/>
      <c r="Z103" s="535">
        <f t="shared" si="80"/>
        <v>1064.7058823529412</v>
      </c>
      <c r="AA103" s="552" t="str">
        <f>IFERROR($AB$1/(D103/100)*(C101/100),"")</f>
        <v/>
      </c>
      <c r="AB103" s="38"/>
    </row>
    <row r="104" spans="1:28" ht="12.75" customHeight="1">
      <c r="A104" s="348" t="s">
        <v>587</v>
      </c>
      <c r="B104" s="346">
        <v>200</v>
      </c>
      <c r="C104" s="343">
        <v>35.6</v>
      </c>
      <c r="D104" s="343">
        <v>36.19</v>
      </c>
      <c r="E104" s="346">
        <v>2000</v>
      </c>
      <c r="F104" s="344">
        <v>36.200000000000003</v>
      </c>
      <c r="G104" s="587">
        <v>5.5000000000000005E-3</v>
      </c>
      <c r="H104" s="345">
        <v>35.5</v>
      </c>
      <c r="I104" s="324">
        <v>36.35</v>
      </c>
      <c r="J104" s="324">
        <v>35.01</v>
      </c>
      <c r="K104" s="400">
        <v>36</v>
      </c>
      <c r="L104" s="362">
        <v>155827</v>
      </c>
      <c r="M104" s="328">
        <v>436822</v>
      </c>
      <c r="N104" s="362">
        <v>263</v>
      </c>
      <c r="O104" s="462">
        <v>45294.67528935185</v>
      </c>
      <c r="P104" s="474">
        <v>103</v>
      </c>
      <c r="Q104" s="403">
        <v>0</v>
      </c>
      <c r="R104" s="437">
        <v>0</v>
      </c>
      <c r="S104" s="445">
        <v>0</v>
      </c>
      <c r="T104" s="356">
        <v>0</v>
      </c>
      <c r="U104" s="421">
        <v>0</v>
      </c>
      <c r="V104" s="505">
        <v>0</v>
      </c>
      <c r="W104" s="512" t="str">
        <f t="shared" si="46"/>
        <v/>
      </c>
      <c r="X104" s="613">
        <v>0</v>
      </c>
      <c r="Y104" s="689">
        <f t="shared" ref="Y104" si="81">IF(D104&lt;&gt;0,($C105*(1-$V$1))-$D104,0)</f>
        <v>-0.43999999999999773</v>
      </c>
      <c r="Z104" s="534">
        <f t="shared" ref="Z104:Z105" si="82">IFERROR(D100/C104,"")</f>
        <v>1010.9550561797753</v>
      </c>
      <c r="AA104" s="548">
        <f>IFERROR($AB$1/(D104/100)*(C100/100),"")</f>
        <v>518848.02100027638</v>
      </c>
      <c r="AB104" s="38"/>
    </row>
    <row r="105" spans="1:28" ht="12.75" customHeight="1">
      <c r="A105" s="429" t="s">
        <v>241</v>
      </c>
      <c r="B105" s="389">
        <v>31</v>
      </c>
      <c r="C105" s="390">
        <v>35.75</v>
      </c>
      <c r="D105" s="390">
        <v>35.799999999999997</v>
      </c>
      <c r="E105" s="389">
        <v>343</v>
      </c>
      <c r="F105" s="387">
        <v>35.75</v>
      </c>
      <c r="G105" s="588">
        <v>-1.7299999999999999E-2</v>
      </c>
      <c r="H105" s="378">
        <v>36.369</v>
      </c>
      <c r="I105" s="379">
        <v>36.869999999999997</v>
      </c>
      <c r="J105" s="379">
        <v>35.090000000000003</v>
      </c>
      <c r="K105" s="397">
        <v>36.380000000000003</v>
      </c>
      <c r="L105" s="384">
        <v>129207</v>
      </c>
      <c r="M105" s="380">
        <v>361494</v>
      </c>
      <c r="N105" s="384">
        <v>248</v>
      </c>
      <c r="O105" s="463">
        <v>45294.708495370367</v>
      </c>
      <c r="P105" s="473">
        <v>104</v>
      </c>
      <c r="Q105" s="404">
        <v>0</v>
      </c>
      <c r="R105" s="439">
        <v>0</v>
      </c>
      <c r="S105" s="446">
        <v>0</v>
      </c>
      <c r="T105" s="385">
        <v>0</v>
      </c>
      <c r="U105" s="422">
        <v>0</v>
      </c>
      <c r="V105" s="423">
        <v>0</v>
      </c>
      <c r="W105" s="514" t="str">
        <f t="shared" si="46"/>
        <v/>
      </c>
      <c r="X105" s="614">
        <v>0</v>
      </c>
      <c r="Y105" s="690"/>
      <c r="Z105" s="546">
        <f t="shared" si="82"/>
        <v>1012.5874125874126</v>
      </c>
      <c r="AA105" s="553">
        <f>IFERROR($AB$1/(D105/100)*(C101/100),"")</f>
        <v>525293.59329608944</v>
      </c>
      <c r="AB105" s="38"/>
    </row>
    <row r="106" spans="1:28" ht="12.75" customHeight="1">
      <c r="A106" s="428" t="s">
        <v>591</v>
      </c>
      <c r="B106" s="365">
        <v>237</v>
      </c>
      <c r="C106" s="321">
        <v>36100</v>
      </c>
      <c r="D106" s="386">
        <v>38000</v>
      </c>
      <c r="E106" s="365">
        <v>21000</v>
      </c>
      <c r="F106" s="449">
        <v>36195</v>
      </c>
      <c r="G106" s="583">
        <v>2.53E-2</v>
      </c>
      <c r="H106" s="333">
        <v>35405.5</v>
      </c>
      <c r="I106" s="325">
        <v>36500</v>
      </c>
      <c r="J106" s="325">
        <v>34803</v>
      </c>
      <c r="K106" s="399">
        <v>35300</v>
      </c>
      <c r="L106" s="377">
        <v>46909369</v>
      </c>
      <c r="M106" s="329">
        <v>131801</v>
      </c>
      <c r="N106" s="377">
        <v>146</v>
      </c>
      <c r="O106" s="459">
        <v>45294.68408564815</v>
      </c>
      <c r="P106" s="474">
        <v>105</v>
      </c>
      <c r="Q106" s="405">
        <v>0</v>
      </c>
      <c r="R106" s="435">
        <v>0</v>
      </c>
      <c r="S106" s="443">
        <v>0</v>
      </c>
      <c r="T106" s="358">
        <v>0</v>
      </c>
      <c r="U106" s="421">
        <v>0</v>
      </c>
      <c r="V106" s="508">
        <v>0</v>
      </c>
      <c r="W106" s="512" t="str">
        <f t="shared" si="46"/>
        <v/>
      </c>
      <c r="X106" s="611">
        <v>0</v>
      </c>
      <c r="Y106" s="691">
        <f t="shared" ref="Y106" si="83">IF(D106&lt;&gt;0,($C107*(1-$V$1))-$D106,0)</f>
        <v>-1250</v>
      </c>
      <c r="Z106" s="544">
        <f>$D106*($AE$1*$AD$1)</f>
        <v>165.74246575342465</v>
      </c>
      <c r="AA106" s="621"/>
      <c r="AB106" s="38"/>
    </row>
    <row r="107" spans="1:28" ht="12.75" customHeight="1">
      <c r="A107" s="426" t="s">
        <v>185</v>
      </c>
      <c r="B107" s="338">
        <v>9980</v>
      </c>
      <c r="C107" s="340">
        <v>36750</v>
      </c>
      <c r="D107" s="340">
        <v>36899.5</v>
      </c>
      <c r="E107" s="338">
        <v>4949</v>
      </c>
      <c r="F107" s="341">
        <v>36899.5</v>
      </c>
      <c r="G107" s="586">
        <v>3.9399999999999998E-2</v>
      </c>
      <c r="H107" s="332">
        <v>35334</v>
      </c>
      <c r="I107" s="323">
        <v>37500</v>
      </c>
      <c r="J107" s="323">
        <v>34801</v>
      </c>
      <c r="K107" s="396">
        <v>35500</v>
      </c>
      <c r="L107" s="330">
        <v>168656525</v>
      </c>
      <c r="M107" s="327">
        <v>474136</v>
      </c>
      <c r="N107" s="330">
        <v>416</v>
      </c>
      <c r="O107" s="460">
        <v>45294.705810185187</v>
      </c>
      <c r="P107" s="473">
        <v>106</v>
      </c>
      <c r="Q107" s="402">
        <v>0</v>
      </c>
      <c r="R107" s="436">
        <v>0</v>
      </c>
      <c r="S107" s="440">
        <v>0</v>
      </c>
      <c r="T107" s="357">
        <v>0</v>
      </c>
      <c r="U107" s="422">
        <v>0</v>
      </c>
      <c r="V107" s="509">
        <v>0</v>
      </c>
      <c r="W107" s="513" t="str">
        <f t="shared" si="46"/>
        <v/>
      </c>
      <c r="X107" s="612">
        <v>0</v>
      </c>
      <c r="Y107" s="692"/>
      <c r="Z107" s="545"/>
      <c r="AA107" s="622"/>
      <c r="AB107" s="38"/>
    </row>
    <row r="108" spans="1:28" ht="12.75" customHeight="1">
      <c r="A108" s="348" t="s">
        <v>592</v>
      </c>
      <c r="B108" s="342"/>
      <c r="C108" s="343"/>
      <c r="D108" s="343"/>
      <c r="E108" s="342"/>
      <c r="F108" s="344"/>
      <c r="G108" s="587"/>
      <c r="H108" s="345"/>
      <c r="I108" s="324"/>
      <c r="J108" s="324"/>
      <c r="K108" s="400">
        <v>24.97</v>
      </c>
      <c r="L108" s="362"/>
      <c r="M108" s="328"/>
      <c r="N108" s="362"/>
      <c r="O108" s="462"/>
      <c r="P108" s="474">
        <v>107</v>
      </c>
      <c r="Q108" s="403">
        <v>0</v>
      </c>
      <c r="R108" s="437">
        <v>0</v>
      </c>
      <c r="S108" s="445">
        <v>0</v>
      </c>
      <c r="T108" s="356">
        <v>0</v>
      </c>
      <c r="U108" s="421">
        <v>0</v>
      </c>
      <c r="V108" s="511">
        <v>0</v>
      </c>
      <c r="W108" s="512" t="str">
        <f t="shared" si="46"/>
        <v/>
      </c>
      <c r="X108" s="613">
        <v>0</v>
      </c>
      <c r="Y108" s="687">
        <f t="shared" ref="Y108" si="84">IF(D108&lt;&gt;0,($C109*(1-$V$1))-$D108,0)</f>
        <v>0</v>
      </c>
      <c r="Z108" s="536" t="str">
        <f t="shared" ref="Z108:Z109" si="85">IFERROR(D106/C108,"")</f>
        <v/>
      </c>
      <c r="AA108" s="548" t="str">
        <f>IFERROR($AB$1/(D108/100)*(C106/100),"")</f>
        <v/>
      </c>
      <c r="AB108" s="38"/>
    </row>
    <row r="109" spans="1:28" ht="12.75" customHeight="1">
      <c r="A109" s="484" t="s">
        <v>242</v>
      </c>
      <c r="B109" s="337"/>
      <c r="C109" s="339"/>
      <c r="D109" s="339"/>
      <c r="E109" s="337"/>
      <c r="F109" s="341"/>
      <c r="G109" s="586"/>
      <c r="H109" s="332"/>
      <c r="I109" s="323"/>
      <c r="J109" s="323"/>
      <c r="K109" s="396">
        <v>27.75</v>
      </c>
      <c r="L109" s="330"/>
      <c r="M109" s="327"/>
      <c r="N109" s="330"/>
      <c r="O109" s="460"/>
      <c r="P109" s="473">
        <v>108</v>
      </c>
      <c r="Q109" s="402">
        <v>0</v>
      </c>
      <c r="R109" s="436">
        <v>0</v>
      </c>
      <c r="S109" s="440">
        <v>0</v>
      </c>
      <c r="T109" s="357">
        <v>0</v>
      </c>
      <c r="U109" s="422">
        <v>0</v>
      </c>
      <c r="V109" s="510">
        <v>0</v>
      </c>
      <c r="W109" s="513" t="str">
        <f t="shared" si="46"/>
        <v/>
      </c>
      <c r="X109" s="612">
        <v>0</v>
      </c>
      <c r="Y109" s="688"/>
      <c r="Z109" s="535" t="str">
        <f t="shared" si="85"/>
        <v/>
      </c>
      <c r="AA109" s="552" t="str">
        <f>IFERROR($AB$1/(D109/100)*(C107/100),"")</f>
        <v/>
      </c>
      <c r="AB109" s="38"/>
    </row>
    <row r="110" spans="1:28" ht="12.75" customHeight="1">
      <c r="A110" s="348" t="s">
        <v>593</v>
      </c>
      <c r="B110" s="346">
        <v>950</v>
      </c>
      <c r="C110" s="343">
        <v>35.700000000000003</v>
      </c>
      <c r="D110" s="343">
        <v>36</v>
      </c>
      <c r="E110" s="346">
        <v>1000</v>
      </c>
      <c r="F110" s="344">
        <v>35.700000000000003</v>
      </c>
      <c r="G110" s="587">
        <v>-5.5000000000000005E-3</v>
      </c>
      <c r="H110" s="345">
        <v>35.700000000000003</v>
      </c>
      <c r="I110" s="324">
        <v>36.200000000000003</v>
      </c>
      <c r="J110" s="324">
        <v>35.700000000000003</v>
      </c>
      <c r="K110" s="400">
        <v>35.9</v>
      </c>
      <c r="L110" s="362">
        <v>29411</v>
      </c>
      <c r="M110" s="328">
        <v>82278</v>
      </c>
      <c r="N110" s="362">
        <v>30</v>
      </c>
      <c r="O110" s="462">
        <v>45294.674259259256</v>
      </c>
      <c r="P110" s="474">
        <v>109</v>
      </c>
      <c r="Q110" s="403">
        <v>0</v>
      </c>
      <c r="R110" s="437">
        <v>0</v>
      </c>
      <c r="S110" s="445">
        <v>0</v>
      </c>
      <c r="T110" s="356">
        <v>0</v>
      </c>
      <c r="U110" s="421">
        <v>0</v>
      </c>
      <c r="V110" s="505">
        <v>0</v>
      </c>
      <c r="W110" s="512" t="str">
        <f t="shared" si="46"/>
        <v/>
      </c>
      <c r="X110" s="613">
        <v>0</v>
      </c>
      <c r="Y110" s="689">
        <f t="shared" ref="Y110" si="86">IF(D110&lt;&gt;0,($C111*(1-$V$1))-$D110,0)</f>
        <v>-0.29999999999999716</v>
      </c>
      <c r="Z110" s="534">
        <f t="shared" ref="Z110:Z111" si="87">IFERROR(D106/C110,"")</f>
        <v>1064.4257703081232</v>
      </c>
      <c r="AA110" s="548">
        <f>IFERROR($AB$1/(D110/100)*(C106/100),"")</f>
        <v>527400.9444444445</v>
      </c>
      <c r="AB110" s="38"/>
    </row>
    <row r="111" spans="1:28" ht="12.75" customHeight="1">
      <c r="A111" s="429" t="s">
        <v>243</v>
      </c>
      <c r="B111" s="389">
        <v>71677</v>
      </c>
      <c r="C111" s="390">
        <v>35.700000000000003</v>
      </c>
      <c r="D111" s="390">
        <v>36.15</v>
      </c>
      <c r="E111" s="389">
        <v>1815</v>
      </c>
      <c r="F111" s="387">
        <v>36.299999999999997</v>
      </c>
      <c r="G111" s="588">
        <v>2.2499999999999999E-2</v>
      </c>
      <c r="H111" s="378">
        <v>36.1</v>
      </c>
      <c r="I111" s="379">
        <v>36.299999999999997</v>
      </c>
      <c r="J111" s="379">
        <v>35.56</v>
      </c>
      <c r="K111" s="397">
        <v>35.5</v>
      </c>
      <c r="L111" s="384">
        <v>36314</v>
      </c>
      <c r="M111" s="380">
        <v>101655</v>
      </c>
      <c r="N111" s="384">
        <v>93</v>
      </c>
      <c r="O111" s="464">
        <v>45294.682962962965</v>
      </c>
      <c r="P111" s="473">
        <v>110</v>
      </c>
      <c r="Q111" s="404">
        <v>0</v>
      </c>
      <c r="R111" s="439">
        <v>0</v>
      </c>
      <c r="S111" s="446">
        <v>0</v>
      </c>
      <c r="T111" s="385">
        <v>0</v>
      </c>
      <c r="U111" s="422">
        <v>0</v>
      </c>
      <c r="V111" s="423">
        <v>0</v>
      </c>
      <c r="W111" s="514" t="str">
        <f t="shared" si="46"/>
        <v/>
      </c>
      <c r="X111" s="614">
        <v>0</v>
      </c>
      <c r="Y111" s="690"/>
      <c r="Z111" s="546">
        <f t="shared" si="87"/>
        <v>1033.5994397759102</v>
      </c>
      <c r="AA111" s="553">
        <f>IFERROR($AB$1/(D111/100)*(C107/100),"")</f>
        <v>534669.29460580926</v>
      </c>
      <c r="AB111" s="38"/>
    </row>
    <row r="112" spans="1:28" ht="12.75" customHeight="1">
      <c r="A112" s="428" t="s">
        <v>594</v>
      </c>
      <c r="B112" s="365">
        <v>1598</v>
      </c>
      <c r="C112" s="321">
        <v>40620</v>
      </c>
      <c r="D112" s="386">
        <v>40800</v>
      </c>
      <c r="E112" s="365">
        <v>10</v>
      </c>
      <c r="F112" s="449">
        <v>40620</v>
      </c>
      <c r="G112" s="583">
        <v>2.7200000000000002E-2</v>
      </c>
      <c r="H112" s="333">
        <v>39000</v>
      </c>
      <c r="I112" s="325">
        <v>40999.5</v>
      </c>
      <c r="J112" s="325">
        <v>38802.5</v>
      </c>
      <c r="K112" s="399">
        <v>39542</v>
      </c>
      <c r="L112" s="377">
        <v>10529719</v>
      </c>
      <c r="M112" s="329">
        <v>26231</v>
      </c>
      <c r="N112" s="407">
        <v>59</v>
      </c>
      <c r="O112" s="465">
        <v>45294.687754629631</v>
      </c>
      <c r="P112" s="474">
        <v>111</v>
      </c>
      <c r="Q112" s="405">
        <v>0</v>
      </c>
      <c r="R112" s="435">
        <v>0</v>
      </c>
      <c r="S112" s="443">
        <v>0</v>
      </c>
      <c r="T112" s="358">
        <v>0</v>
      </c>
      <c r="U112" s="421">
        <v>0</v>
      </c>
      <c r="V112" s="508">
        <v>0</v>
      </c>
      <c r="W112" s="512" t="str">
        <f t="shared" si="46"/>
        <v/>
      </c>
      <c r="X112" s="611">
        <v>0</v>
      </c>
      <c r="Y112" s="691">
        <f t="shared" ref="Y112" si="88">IF(D112&lt;&gt;0,($C113*(1-$V$1))-$D112,0)</f>
        <v>202</v>
      </c>
      <c r="Z112" s="544">
        <f>$D112*($AE$1*$AD$1)</f>
        <v>177.95506849315066</v>
      </c>
      <c r="AA112" s="621"/>
      <c r="AB112" s="38"/>
    </row>
    <row r="113" spans="1:28" ht="12.75" customHeight="1">
      <c r="A113" s="426" t="s">
        <v>187</v>
      </c>
      <c r="B113" s="338">
        <v>234</v>
      </c>
      <c r="C113" s="340">
        <v>41002</v>
      </c>
      <c r="D113" s="340">
        <v>42500</v>
      </c>
      <c r="E113" s="338">
        <v>3241</v>
      </c>
      <c r="F113" s="341">
        <v>41001</v>
      </c>
      <c r="G113" s="586">
        <v>2.9600000000000001E-2</v>
      </c>
      <c r="H113" s="332">
        <v>39820</v>
      </c>
      <c r="I113" s="323">
        <v>41001</v>
      </c>
      <c r="J113" s="323">
        <v>38500</v>
      </c>
      <c r="K113" s="396">
        <v>39821</v>
      </c>
      <c r="L113" s="330">
        <v>63194624</v>
      </c>
      <c r="M113" s="327">
        <v>155173</v>
      </c>
      <c r="N113" s="330">
        <v>156</v>
      </c>
      <c r="O113" s="460">
        <v>45294.702280092592</v>
      </c>
      <c r="P113" s="473">
        <v>112</v>
      </c>
      <c r="Q113" s="402">
        <v>0</v>
      </c>
      <c r="R113" s="436">
        <v>0</v>
      </c>
      <c r="S113" s="440">
        <v>0</v>
      </c>
      <c r="T113" s="357">
        <v>0</v>
      </c>
      <c r="U113" s="422">
        <v>0</v>
      </c>
      <c r="V113" s="509">
        <v>0</v>
      </c>
      <c r="W113" s="513" t="str">
        <f t="shared" si="46"/>
        <v/>
      </c>
      <c r="X113" s="612">
        <v>0</v>
      </c>
      <c r="Y113" s="692"/>
      <c r="Z113" s="545"/>
      <c r="AA113" s="622"/>
      <c r="AB113" s="38"/>
    </row>
    <row r="114" spans="1:28" ht="12.75" customHeight="1">
      <c r="A114" s="348" t="s">
        <v>595</v>
      </c>
      <c r="B114" s="342"/>
      <c r="C114" s="343"/>
      <c r="D114" s="343"/>
      <c r="E114" s="342"/>
      <c r="F114" s="344"/>
      <c r="G114" s="587"/>
      <c r="H114" s="345"/>
      <c r="I114" s="324"/>
      <c r="J114" s="324"/>
      <c r="K114" s="400">
        <v>23.8</v>
      </c>
      <c r="L114" s="362"/>
      <c r="M114" s="328"/>
      <c r="N114" s="362"/>
      <c r="O114" s="462"/>
      <c r="P114" s="474">
        <v>113</v>
      </c>
      <c r="Q114" s="403">
        <v>0</v>
      </c>
      <c r="R114" s="437">
        <v>0</v>
      </c>
      <c r="S114" s="445">
        <v>0</v>
      </c>
      <c r="T114" s="356">
        <v>0</v>
      </c>
      <c r="U114" s="421">
        <v>0</v>
      </c>
      <c r="V114" s="511">
        <v>0</v>
      </c>
      <c r="W114" s="512" t="str">
        <f t="shared" si="46"/>
        <v/>
      </c>
      <c r="X114" s="613">
        <v>0</v>
      </c>
      <c r="Y114" s="687">
        <f t="shared" ref="Y114" si="89">IF(D114&lt;&gt;0,($C115*(1-$V$1))-$D114,0)</f>
        <v>0</v>
      </c>
      <c r="Z114" s="536" t="str">
        <f t="shared" ref="Z114:Z115" si="90">IFERROR(D112/C114,"")</f>
        <v/>
      </c>
      <c r="AA114" s="548" t="str">
        <f>IFERROR($AB$1/(D114/100)*(C112/100),"")</f>
        <v/>
      </c>
      <c r="AB114" s="38"/>
    </row>
    <row r="115" spans="1:28" ht="12.75" customHeight="1">
      <c r="A115" s="484" t="s">
        <v>232</v>
      </c>
      <c r="B115" s="337"/>
      <c r="C115" s="339"/>
      <c r="D115" s="339"/>
      <c r="E115" s="337"/>
      <c r="F115" s="341"/>
      <c r="G115" s="586"/>
      <c r="H115" s="332"/>
      <c r="I115" s="323"/>
      <c r="J115" s="323"/>
      <c r="K115" s="396">
        <v>40.5</v>
      </c>
      <c r="L115" s="330"/>
      <c r="M115" s="327"/>
      <c r="N115" s="330"/>
      <c r="O115" s="460"/>
      <c r="P115" s="473">
        <v>114</v>
      </c>
      <c r="Q115" s="402">
        <v>0</v>
      </c>
      <c r="R115" s="436">
        <v>0</v>
      </c>
      <c r="S115" s="440">
        <v>0</v>
      </c>
      <c r="T115" s="357">
        <v>0</v>
      </c>
      <c r="U115" s="422">
        <v>0</v>
      </c>
      <c r="V115" s="510">
        <v>0</v>
      </c>
      <c r="W115" s="513" t="str">
        <f t="shared" si="46"/>
        <v/>
      </c>
      <c r="X115" s="612">
        <v>0</v>
      </c>
      <c r="Y115" s="688"/>
      <c r="Z115" s="535" t="str">
        <f t="shared" si="90"/>
        <v/>
      </c>
      <c r="AA115" s="552" t="str">
        <f>IFERROR($AB$1/(D115/100)*(C113/100),"")</f>
        <v/>
      </c>
      <c r="AB115" s="38"/>
    </row>
    <row r="116" spans="1:28" ht="12.75" customHeight="1">
      <c r="A116" s="348" t="s">
        <v>596</v>
      </c>
      <c r="B116" s="346">
        <v>11000</v>
      </c>
      <c r="C116" s="343">
        <v>39.880000000000003</v>
      </c>
      <c r="D116" s="343">
        <v>44</v>
      </c>
      <c r="E116" s="346">
        <v>1</v>
      </c>
      <c r="F116" s="344">
        <v>41.88</v>
      </c>
      <c r="G116" s="587">
        <v>-2.0000000000000001E-4</v>
      </c>
      <c r="H116" s="345">
        <v>41.49</v>
      </c>
      <c r="I116" s="324">
        <v>41.88</v>
      </c>
      <c r="J116" s="324">
        <v>39.83</v>
      </c>
      <c r="K116" s="400">
        <v>41.89</v>
      </c>
      <c r="L116" s="362">
        <v>9846</v>
      </c>
      <c r="M116" s="328">
        <v>24168</v>
      </c>
      <c r="N116" s="362">
        <v>28</v>
      </c>
      <c r="O116" s="462">
        <v>45294.679942129631</v>
      </c>
      <c r="P116" s="474">
        <v>115</v>
      </c>
      <c r="Q116" s="403">
        <v>0</v>
      </c>
      <c r="R116" s="437">
        <v>0</v>
      </c>
      <c r="S116" s="445">
        <v>0</v>
      </c>
      <c r="T116" s="356">
        <v>0</v>
      </c>
      <c r="U116" s="421">
        <v>0</v>
      </c>
      <c r="V116" s="505">
        <v>0</v>
      </c>
      <c r="W116" s="512" t="str">
        <f t="shared" si="46"/>
        <v/>
      </c>
      <c r="X116" s="613">
        <v>0</v>
      </c>
      <c r="Y116" s="689">
        <f t="shared" ref="Y116" si="91">IF(D116&lt;&gt;0,($C117*(1-$V$1))-$D116,0)</f>
        <v>-3.6000000000000014</v>
      </c>
      <c r="Z116" s="534">
        <f t="shared" ref="Z116:Z117" si="92">IFERROR(D112/C116,"")</f>
        <v>1023.0692076228686</v>
      </c>
      <c r="AA116" s="548">
        <f>IFERROR($AB$1/(D116/100)*(C112/100),"")</f>
        <v>485538.24545454548</v>
      </c>
      <c r="AB116" s="38"/>
    </row>
    <row r="117" spans="1:28" ht="12.75" customHeight="1">
      <c r="A117" s="429" t="s">
        <v>233</v>
      </c>
      <c r="B117" s="389">
        <v>3907</v>
      </c>
      <c r="C117" s="390">
        <v>40.4</v>
      </c>
      <c r="D117" s="390">
        <v>41.5</v>
      </c>
      <c r="E117" s="389">
        <v>780</v>
      </c>
      <c r="F117" s="387">
        <v>40.4</v>
      </c>
      <c r="G117" s="588">
        <v>1.5800000000000002E-2</v>
      </c>
      <c r="H117" s="378">
        <v>41.36</v>
      </c>
      <c r="I117" s="379">
        <v>42.1</v>
      </c>
      <c r="J117" s="379">
        <v>39.770000000000003</v>
      </c>
      <c r="K117" s="397">
        <v>39.770000000000003</v>
      </c>
      <c r="L117" s="384">
        <v>13779</v>
      </c>
      <c r="M117" s="380">
        <v>34005</v>
      </c>
      <c r="N117" s="384">
        <v>92</v>
      </c>
      <c r="O117" s="463">
        <v>45294.69054398148</v>
      </c>
      <c r="P117" s="473">
        <v>116</v>
      </c>
      <c r="Q117" s="404">
        <v>0</v>
      </c>
      <c r="R117" s="439">
        <v>0</v>
      </c>
      <c r="S117" s="446">
        <v>0</v>
      </c>
      <c r="T117" s="385">
        <v>0</v>
      </c>
      <c r="U117" s="422">
        <v>0</v>
      </c>
      <c r="V117" s="423">
        <v>0</v>
      </c>
      <c r="W117" s="514" t="str">
        <f t="shared" si="46"/>
        <v/>
      </c>
      <c r="X117" s="614">
        <v>0</v>
      </c>
      <c r="Y117" s="690"/>
      <c r="Z117" s="546">
        <f t="shared" si="92"/>
        <v>1051.9801980198019</v>
      </c>
      <c r="AA117" s="553">
        <f>IFERROR($AB$1/(D117/100)*(C113/100),"")</f>
        <v>519628.72000000003</v>
      </c>
      <c r="AB117" s="38"/>
    </row>
    <row r="118" spans="1:28" ht="12.75" customHeight="1">
      <c r="A118" s="428" t="s">
        <v>597</v>
      </c>
      <c r="B118" s="365">
        <v>6199</v>
      </c>
      <c r="C118" s="321">
        <v>35800</v>
      </c>
      <c r="D118" s="386">
        <v>36070</v>
      </c>
      <c r="E118" s="365">
        <v>5</v>
      </c>
      <c r="F118" s="449">
        <v>35800</v>
      </c>
      <c r="G118" s="583">
        <v>2.2799999999999997E-2</v>
      </c>
      <c r="H118" s="333">
        <v>35000</v>
      </c>
      <c r="I118" s="325">
        <v>36187.5</v>
      </c>
      <c r="J118" s="325">
        <v>34500</v>
      </c>
      <c r="K118" s="399">
        <v>34999.5</v>
      </c>
      <c r="L118" s="377">
        <v>766698588</v>
      </c>
      <c r="M118" s="329">
        <v>2169663</v>
      </c>
      <c r="N118" s="377">
        <v>1775</v>
      </c>
      <c r="O118" s="459">
        <v>45294.687615740739</v>
      </c>
      <c r="P118" s="474">
        <v>117</v>
      </c>
      <c r="Q118" s="405">
        <v>0</v>
      </c>
      <c r="R118" s="435">
        <v>0</v>
      </c>
      <c r="S118" s="443">
        <v>0</v>
      </c>
      <c r="T118" s="358">
        <v>0</v>
      </c>
      <c r="U118" s="421">
        <v>0</v>
      </c>
      <c r="V118" s="508">
        <v>0</v>
      </c>
      <c r="W118" s="512" t="str">
        <f t="shared" ref="W118:W135" si="93">IF(X118&gt;0,(F118*V118/100)-(V118*X118),"")</f>
        <v/>
      </c>
      <c r="X118" s="611">
        <v>0</v>
      </c>
      <c r="Y118" s="691">
        <f t="shared" ref="Y118" si="94">IF(D118&lt;&gt;0,($C119*(1-$V$1))-$D118,0)</f>
        <v>130</v>
      </c>
      <c r="Z118" s="544">
        <f>$D118*($AE$1*$AD$1)</f>
        <v>157.32449315068493</v>
      </c>
      <c r="AA118" s="621"/>
      <c r="AB118" s="38"/>
    </row>
    <row r="119" spans="1:28" ht="12.75" customHeight="1">
      <c r="A119" s="426" t="s">
        <v>164</v>
      </c>
      <c r="B119" s="338">
        <v>210</v>
      </c>
      <c r="C119" s="340">
        <v>36200</v>
      </c>
      <c r="D119" s="340">
        <v>36400</v>
      </c>
      <c r="E119" s="338">
        <v>83502</v>
      </c>
      <c r="F119" s="341">
        <v>36400</v>
      </c>
      <c r="G119" s="586">
        <v>2.7000000000000003E-2</v>
      </c>
      <c r="H119" s="332">
        <v>34505</v>
      </c>
      <c r="I119" s="323">
        <v>36600</v>
      </c>
      <c r="J119" s="323">
        <v>34505</v>
      </c>
      <c r="K119" s="396">
        <v>35440</v>
      </c>
      <c r="L119" s="330">
        <v>7226695762</v>
      </c>
      <c r="M119" s="327">
        <v>20383656</v>
      </c>
      <c r="N119" s="330">
        <v>3265</v>
      </c>
      <c r="O119" s="460">
        <v>45294.708495370367</v>
      </c>
      <c r="P119" s="473">
        <v>118</v>
      </c>
      <c r="Q119" s="402">
        <v>0</v>
      </c>
      <c r="R119" s="436">
        <v>0</v>
      </c>
      <c r="S119" s="440">
        <v>0</v>
      </c>
      <c r="T119" s="357">
        <v>0</v>
      </c>
      <c r="U119" s="422">
        <v>0</v>
      </c>
      <c r="V119" s="509">
        <v>0</v>
      </c>
      <c r="W119" s="513" t="str">
        <f t="shared" si="93"/>
        <v/>
      </c>
      <c r="X119" s="612">
        <v>0</v>
      </c>
      <c r="Y119" s="692"/>
      <c r="Z119" s="545"/>
      <c r="AA119" s="622"/>
      <c r="AB119" s="38"/>
    </row>
    <row r="120" spans="1:28" ht="12.75" customHeight="1">
      <c r="A120" s="348" t="s">
        <v>598</v>
      </c>
      <c r="B120" s="342"/>
      <c r="C120" s="343">
        <v>36.75</v>
      </c>
      <c r="D120" s="343">
        <v>36.75</v>
      </c>
      <c r="E120" s="342"/>
      <c r="F120" s="344"/>
      <c r="G120" s="587"/>
      <c r="H120" s="345"/>
      <c r="I120" s="324"/>
      <c r="J120" s="324"/>
      <c r="K120" s="400">
        <v>35.799999999999997</v>
      </c>
      <c r="L120" s="362"/>
      <c r="M120" s="328"/>
      <c r="N120" s="362"/>
      <c r="O120" s="462"/>
      <c r="P120" s="474">
        <v>119</v>
      </c>
      <c r="Q120" s="403">
        <v>0</v>
      </c>
      <c r="R120" s="437">
        <v>0</v>
      </c>
      <c r="S120" s="445">
        <v>0</v>
      </c>
      <c r="T120" s="356">
        <v>0</v>
      </c>
      <c r="U120" s="421">
        <v>0</v>
      </c>
      <c r="V120" s="511">
        <v>0</v>
      </c>
      <c r="W120" s="512" t="str">
        <f t="shared" si="93"/>
        <v/>
      </c>
      <c r="X120" s="613">
        <v>0</v>
      </c>
      <c r="Y120" s="687">
        <f t="shared" ref="Y120" si="95">IF(D120&lt;&gt;0,($C121*(1-$V$1))-$D120,0)</f>
        <v>0</v>
      </c>
      <c r="Z120" s="536">
        <f t="shared" ref="Z120:Z121" si="96">IFERROR(D118/C120,"")</f>
        <v>981.49659863945578</v>
      </c>
      <c r="AA120" s="548">
        <f>IFERROR($AB$1/(D120/100)*(C118/100),"")</f>
        <v>512344.27210884361</v>
      </c>
      <c r="AB120" s="38"/>
    </row>
    <row r="121" spans="1:28" ht="12.75" customHeight="1">
      <c r="A121" s="484" t="s">
        <v>220</v>
      </c>
      <c r="B121" s="337">
        <v>25000</v>
      </c>
      <c r="C121" s="339">
        <v>36.75</v>
      </c>
      <c r="D121" s="339">
        <v>36.75</v>
      </c>
      <c r="E121" s="337"/>
      <c r="F121" s="341"/>
      <c r="G121" s="586"/>
      <c r="H121" s="332"/>
      <c r="I121" s="323"/>
      <c r="J121" s="323"/>
      <c r="K121" s="396">
        <v>36.75</v>
      </c>
      <c r="L121" s="330"/>
      <c r="M121" s="327"/>
      <c r="N121" s="330"/>
      <c r="O121" s="460"/>
      <c r="P121" s="473">
        <v>120</v>
      </c>
      <c r="Q121" s="402">
        <v>0</v>
      </c>
      <c r="R121" s="436">
        <v>0</v>
      </c>
      <c r="S121" s="440">
        <v>0</v>
      </c>
      <c r="T121" s="357">
        <v>0</v>
      </c>
      <c r="U121" s="422">
        <v>0</v>
      </c>
      <c r="V121" s="510">
        <v>0</v>
      </c>
      <c r="W121" s="513" t="str">
        <f t="shared" si="93"/>
        <v/>
      </c>
      <c r="X121" s="612">
        <v>0</v>
      </c>
      <c r="Y121" s="688"/>
      <c r="Z121" s="535">
        <f t="shared" si="96"/>
        <v>990.47619047619048</v>
      </c>
      <c r="AA121" s="552">
        <f>IFERROR($AB$1/(D121/100)*(C119/100),"")</f>
        <v>518068.78911564633</v>
      </c>
      <c r="AB121" s="38"/>
    </row>
    <row r="122" spans="1:28" ht="12.75" customHeight="1">
      <c r="A122" s="348" t="s">
        <v>599</v>
      </c>
      <c r="B122" s="346">
        <v>309</v>
      </c>
      <c r="C122" s="343">
        <v>35.9</v>
      </c>
      <c r="D122" s="343">
        <v>36.79</v>
      </c>
      <c r="E122" s="346">
        <v>600</v>
      </c>
      <c r="F122" s="344">
        <v>35.9</v>
      </c>
      <c r="G122" s="587">
        <v>2.7000000000000001E-3</v>
      </c>
      <c r="H122" s="345">
        <v>35.5</v>
      </c>
      <c r="I122" s="324">
        <v>37</v>
      </c>
      <c r="J122" s="324">
        <v>35.5</v>
      </c>
      <c r="K122" s="400">
        <v>35.799999999999997</v>
      </c>
      <c r="L122" s="362">
        <v>99819</v>
      </c>
      <c r="M122" s="328">
        <v>278399</v>
      </c>
      <c r="N122" s="362">
        <v>327</v>
      </c>
      <c r="O122" s="462">
        <v>45294.6877662037</v>
      </c>
      <c r="P122" s="474">
        <v>121</v>
      </c>
      <c r="Q122" s="403">
        <v>0</v>
      </c>
      <c r="R122" s="437">
        <v>0</v>
      </c>
      <c r="S122" s="445">
        <v>0</v>
      </c>
      <c r="T122" s="356">
        <v>0</v>
      </c>
      <c r="U122" s="421">
        <v>0</v>
      </c>
      <c r="V122" s="505">
        <v>0</v>
      </c>
      <c r="W122" s="512" t="str">
        <f t="shared" si="93"/>
        <v/>
      </c>
      <c r="X122" s="613">
        <v>0</v>
      </c>
      <c r="Y122" s="689">
        <f t="shared" ref="Y122" si="97">IF(D122&lt;&gt;0,($C123*(1-$V$1))-$D122,0)</f>
        <v>-0.78999999999999915</v>
      </c>
      <c r="Z122" s="534">
        <f t="shared" ref="Z122:Z123" si="98">IFERROR(D118/C122,"")</f>
        <v>1004.7353760445683</v>
      </c>
      <c r="AA122" s="548">
        <f>IFERROR($AB$1/(D122/100)*(C118/100),"")</f>
        <v>511787.224789345</v>
      </c>
      <c r="AB122" s="38"/>
    </row>
    <row r="123" spans="1:28" ht="12.75" customHeight="1">
      <c r="A123" s="429" t="s">
        <v>221</v>
      </c>
      <c r="B123" s="389">
        <v>138</v>
      </c>
      <c r="C123" s="390">
        <v>36</v>
      </c>
      <c r="D123" s="390">
        <v>36.299999999999997</v>
      </c>
      <c r="E123" s="389">
        <v>17350</v>
      </c>
      <c r="F123" s="387">
        <v>36</v>
      </c>
      <c r="G123" s="588">
        <v>-1.3600000000000001E-2</v>
      </c>
      <c r="H123" s="378">
        <v>36.5</v>
      </c>
      <c r="I123" s="379">
        <v>37.04</v>
      </c>
      <c r="J123" s="379">
        <v>35.5</v>
      </c>
      <c r="K123" s="397">
        <v>36.5</v>
      </c>
      <c r="L123" s="384">
        <v>321798</v>
      </c>
      <c r="M123" s="380">
        <v>895078</v>
      </c>
      <c r="N123" s="384">
        <v>255</v>
      </c>
      <c r="O123" s="463">
        <v>45294.708541666667</v>
      </c>
      <c r="P123" s="473">
        <v>122</v>
      </c>
      <c r="Q123" s="404">
        <v>0</v>
      </c>
      <c r="R123" s="439">
        <v>0</v>
      </c>
      <c r="S123" s="446">
        <v>0</v>
      </c>
      <c r="T123" s="385">
        <v>0</v>
      </c>
      <c r="U123" s="422">
        <v>0</v>
      </c>
      <c r="V123" s="423">
        <v>0</v>
      </c>
      <c r="W123" s="514" t="str">
        <f t="shared" si="93"/>
        <v/>
      </c>
      <c r="X123" s="614">
        <v>0</v>
      </c>
      <c r="Y123" s="690"/>
      <c r="Z123" s="546">
        <f t="shared" si="98"/>
        <v>1011.1111111111111</v>
      </c>
      <c r="AA123" s="553">
        <f>IFERROR($AB$1/(D123/100)*(C119/100),"")</f>
        <v>524491.12947658414</v>
      </c>
      <c r="AB123" s="38"/>
    </row>
    <row r="124" spans="1:28" ht="12.75" customHeight="1">
      <c r="A124" s="428" t="s">
        <v>603</v>
      </c>
      <c r="B124" s="365">
        <v>38</v>
      </c>
      <c r="C124" s="321">
        <v>42295.5</v>
      </c>
      <c r="D124" s="386">
        <v>43900</v>
      </c>
      <c r="E124" s="365">
        <v>1003</v>
      </c>
      <c r="F124" s="449">
        <v>42295.5</v>
      </c>
      <c r="G124" s="583">
        <v>1.43E-2</v>
      </c>
      <c r="H124" s="333">
        <v>40400.5</v>
      </c>
      <c r="I124" s="325">
        <v>42449</v>
      </c>
      <c r="J124" s="325">
        <v>40400.5</v>
      </c>
      <c r="K124" s="399">
        <v>41699</v>
      </c>
      <c r="L124" s="377">
        <v>833294313</v>
      </c>
      <c r="M124" s="329">
        <v>1993607</v>
      </c>
      <c r="N124" s="377">
        <v>524</v>
      </c>
      <c r="O124" s="459">
        <v>45294.685115740744</v>
      </c>
      <c r="P124" s="474">
        <v>123</v>
      </c>
      <c r="Q124" s="405">
        <v>0</v>
      </c>
      <c r="R124" s="435">
        <v>0</v>
      </c>
      <c r="S124" s="443">
        <v>0</v>
      </c>
      <c r="T124" s="358">
        <v>0</v>
      </c>
      <c r="U124" s="421">
        <v>0</v>
      </c>
      <c r="V124" s="508">
        <v>0</v>
      </c>
      <c r="W124" s="512" t="str">
        <f t="shared" si="93"/>
        <v/>
      </c>
      <c r="X124" s="611">
        <v>0</v>
      </c>
      <c r="Y124" s="691">
        <f t="shared" ref="Y124" si="99">IF(D124&lt;&gt;0,($C125*(1-$V$1))-$D124,0)</f>
        <v>-1400</v>
      </c>
      <c r="Z124" s="544">
        <f>$D124*($AE$1*$AD$1)</f>
        <v>191.47616438356164</v>
      </c>
      <c r="AA124" s="621"/>
      <c r="AB124" s="38"/>
    </row>
    <row r="125" spans="1:28" ht="12.75" customHeight="1">
      <c r="A125" s="426" t="s">
        <v>190</v>
      </c>
      <c r="B125" s="338">
        <v>280</v>
      </c>
      <c r="C125" s="340">
        <v>42500</v>
      </c>
      <c r="D125" s="340">
        <v>42599</v>
      </c>
      <c r="E125" s="338">
        <v>10185</v>
      </c>
      <c r="F125" s="341">
        <v>42599</v>
      </c>
      <c r="G125" s="586">
        <v>-2.07E-2</v>
      </c>
      <c r="H125" s="332">
        <v>40350</v>
      </c>
      <c r="I125" s="323">
        <v>42900</v>
      </c>
      <c r="J125" s="323">
        <v>40350</v>
      </c>
      <c r="K125" s="396">
        <v>43500</v>
      </c>
      <c r="L125" s="330">
        <v>5238221861</v>
      </c>
      <c r="M125" s="327">
        <v>12640636</v>
      </c>
      <c r="N125" s="330">
        <v>1568</v>
      </c>
      <c r="O125" s="460">
        <v>45294.708541666667</v>
      </c>
      <c r="P125" s="473">
        <v>124</v>
      </c>
      <c r="Q125" s="402">
        <v>0</v>
      </c>
      <c r="R125" s="436">
        <v>0</v>
      </c>
      <c r="S125" s="440">
        <v>0</v>
      </c>
      <c r="T125" s="357">
        <v>0</v>
      </c>
      <c r="U125" s="422">
        <v>0</v>
      </c>
      <c r="V125" s="509">
        <v>0</v>
      </c>
      <c r="W125" s="513" t="str">
        <f t="shared" si="93"/>
        <v/>
      </c>
      <c r="X125" s="612">
        <v>0</v>
      </c>
      <c r="Y125" s="692"/>
      <c r="Z125" s="545"/>
      <c r="AA125" s="622"/>
      <c r="AB125" s="38"/>
    </row>
    <row r="126" spans="1:28" ht="12.75" customHeight="1">
      <c r="A126" s="348" t="s">
        <v>604</v>
      </c>
      <c r="B126" s="342"/>
      <c r="C126" s="649"/>
      <c r="D126" s="343"/>
      <c r="E126" s="342"/>
      <c r="F126" s="344"/>
      <c r="G126" s="587"/>
      <c r="H126" s="345"/>
      <c r="I126" s="324"/>
      <c r="J126" s="324"/>
      <c r="K126" s="400">
        <v>41.75</v>
      </c>
      <c r="L126" s="362"/>
      <c r="M126" s="328"/>
      <c r="N126" s="362"/>
      <c r="O126" s="462"/>
      <c r="P126" s="474">
        <v>125</v>
      </c>
      <c r="Q126" s="403">
        <v>0</v>
      </c>
      <c r="R126" s="437">
        <v>0</v>
      </c>
      <c r="S126" s="445">
        <v>0</v>
      </c>
      <c r="T126" s="356">
        <v>0</v>
      </c>
      <c r="U126" s="421">
        <v>0</v>
      </c>
      <c r="V126" s="511">
        <v>0</v>
      </c>
      <c r="W126" s="512" t="str">
        <f t="shared" si="93"/>
        <v/>
      </c>
      <c r="X126" s="613">
        <v>0</v>
      </c>
      <c r="Y126" s="687">
        <f t="shared" ref="Y126" si="100">IF(D126&lt;&gt;0,($C127*(1-$V$1))-$D126,0)</f>
        <v>0</v>
      </c>
      <c r="Z126" s="536" t="str">
        <f t="shared" ref="Z126:Z127" si="101">IFERROR(D124/C126,"")</f>
        <v/>
      </c>
      <c r="AA126" s="548" t="str">
        <f>IFERROR($AB$1/(D126/100)*(C124/100),"")</f>
        <v/>
      </c>
      <c r="AB126" s="38"/>
    </row>
    <row r="127" spans="1:28" ht="12.75" customHeight="1">
      <c r="A127" s="484" t="s">
        <v>234</v>
      </c>
      <c r="B127" s="337"/>
      <c r="C127" s="339"/>
      <c r="D127" s="339"/>
      <c r="E127" s="337"/>
      <c r="F127" s="341"/>
      <c r="G127" s="586"/>
      <c r="H127" s="332"/>
      <c r="I127" s="323"/>
      <c r="J127" s="323"/>
      <c r="K127" s="396">
        <v>32.563000000000002</v>
      </c>
      <c r="L127" s="330"/>
      <c r="M127" s="327"/>
      <c r="N127" s="330"/>
      <c r="O127" s="460"/>
      <c r="P127" s="473">
        <v>126</v>
      </c>
      <c r="Q127" s="402">
        <v>0</v>
      </c>
      <c r="R127" s="436">
        <v>0</v>
      </c>
      <c r="S127" s="440">
        <v>0</v>
      </c>
      <c r="T127" s="357">
        <v>0</v>
      </c>
      <c r="U127" s="422">
        <v>0</v>
      </c>
      <c r="V127" s="510">
        <v>0</v>
      </c>
      <c r="W127" s="513" t="str">
        <f t="shared" si="93"/>
        <v/>
      </c>
      <c r="X127" s="612">
        <v>0</v>
      </c>
      <c r="Y127" s="688"/>
      <c r="Z127" s="535" t="str">
        <f t="shared" si="101"/>
        <v/>
      </c>
      <c r="AA127" s="552" t="str">
        <f>IFERROR($AB$1/(D127/100)*(C125/100),"")</f>
        <v/>
      </c>
      <c r="AB127" s="38"/>
    </row>
    <row r="128" spans="1:28" ht="12.75" customHeight="1">
      <c r="A128" s="348" t="s">
        <v>605</v>
      </c>
      <c r="B128" s="346">
        <v>118</v>
      </c>
      <c r="C128" s="343">
        <v>42</v>
      </c>
      <c r="D128" s="343">
        <v>42.2</v>
      </c>
      <c r="E128" s="346">
        <v>391</v>
      </c>
      <c r="F128" s="344">
        <v>42</v>
      </c>
      <c r="G128" s="587">
        <v>9.5999999999999992E-3</v>
      </c>
      <c r="H128" s="345">
        <v>41.66</v>
      </c>
      <c r="I128" s="324">
        <v>43</v>
      </c>
      <c r="J128" s="324">
        <v>41.6</v>
      </c>
      <c r="K128" s="400">
        <v>41.6</v>
      </c>
      <c r="L128" s="362">
        <v>21018</v>
      </c>
      <c r="M128" s="328">
        <v>49692</v>
      </c>
      <c r="N128" s="362">
        <v>119</v>
      </c>
      <c r="O128" s="462">
        <v>45294.672361111108</v>
      </c>
      <c r="P128" s="474">
        <v>127</v>
      </c>
      <c r="Q128" s="403">
        <v>0</v>
      </c>
      <c r="R128" s="437">
        <v>0</v>
      </c>
      <c r="S128" s="445">
        <v>0</v>
      </c>
      <c r="T128" s="356">
        <v>0</v>
      </c>
      <c r="U128" s="421">
        <v>0</v>
      </c>
      <c r="V128" s="505">
        <v>0</v>
      </c>
      <c r="W128" s="512" t="str">
        <f t="shared" si="93"/>
        <v/>
      </c>
      <c r="X128" s="613">
        <v>0</v>
      </c>
      <c r="Y128" s="689">
        <f t="shared" ref="Y128" si="102">IF(D128&lt;&gt;0,($C129*(1-$V$1))-$D128,0)</f>
        <v>-0.40000000000000568</v>
      </c>
      <c r="Z128" s="534">
        <f t="shared" ref="Z128:Z129" si="103">IFERROR(D124/C128,"")</f>
        <v>1045.2380952380952</v>
      </c>
      <c r="AA128" s="548">
        <f>IFERROR($AB$1/(D128/100)*(C124/100),"")</f>
        <v>527130.21966824634</v>
      </c>
      <c r="AB128" s="38"/>
    </row>
    <row r="129" spans="1:28" ht="12.75" customHeight="1">
      <c r="A129" s="429" t="s">
        <v>235</v>
      </c>
      <c r="B129" s="389">
        <v>400</v>
      </c>
      <c r="C129" s="390">
        <v>41.8</v>
      </c>
      <c r="D129" s="390">
        <v>42</v>
      </c>
      <c r="E129" s="389">
        <v>4853</v>
      </c>
      <c r="F129" s="387">
        <v>42</v>
      </c>
      <c r="G129" s="588">
        <v>-1.1699999999999999E-2</v>
      </c>
      <c r="H129" s="378">
        <v>43</v>
      </c>
      <c r="I129" s="379">
        <v>43.05</v>
      </c>
      <c r="J129" s="379">
        <v>41.5</v>
      </c>
      <c r="K129" s="397">
        <v>42.5</v>
      </c>
      <c r="L129" s="384">
        <v>65524</v>
      </c>
      <c r="M129" s="380">
        <v>156160</v>
      </c>
      <c r="N129" s="384">
        <v>85</v>
      </c>
      <c r="O129" s="463">
        <v>45294.70590277778</v>
      </c>
      <c r="P129" s="473">
        <v>128</v>
      </c>
      <c r="Q129" s="404">
        <v>0</v>
      </c>
      <c r="R129" s="439">
        <v>0</v>
      </c>
      <c r="S129" s="446">
        <v>0</v>
      </c>
      <c r="T129" s="385">
        <v>0</v>
      </c>
      <c r="U129" s="422">
        <v>0</v>
      </c>
      <c r="V129" s="423">
        <v>0</v>
      </c>
      <c r="W129" s="514" t="str">
        <f t="shared" si="93"/>
        <v/>
      </c>
      <c r="X129" s="614">
        <v>0</v>
      </c>
      <c r="Y129" s="690"/>
      <c r="Z129" s="546">
        <f t="shared" si="103"/>
        <v>1019.1148325358853</v>
      </c>
      <c r="AA129" s="553">
        <f>IFERROR($AB$1/(D129/100)*(C125/100),"")</f>
        <v>532201.19047619053</v>
      </c>
      <c r="AB129" s="38"/>
    </row>
    <row r="130" spans="1:28" ht="12.75" customHeight="1">
      <c r="A130" s="428" t="s">
        <v>600</v>
      </c>
      <c r="B130" s="365">
        <v>1381</v>
      </c>
      <c r="C130" s="321">
        <v>36200</v>
      </c>
      <c r="D130" s="386">
        <v>36600</v>
      </c>
      <c r="E130" s="365">
        <v>15</v>
      </c>
      <c r="F130" s="449">
        <v>36591.5</v>
      </c>
      <c r="G130" s="583">
        <v>3.7999999999999999E-2</v>
      </c>
      <c r="H130" s="333">
        <v>34500</v>
      </c>
      <c r="I130" s="325">
        <v>36592</v>
      </c>
      <c r="J130" s="325">
        <v>34500</v>
      </c>
      <c r="K130" s="399">
        <v>35250</v>
      </c>
      <c r="L130" s="377">
        <v>42397451</v>
      </c>
      <c r="M130" s="329">
        <v>119429</v>
      </c>
      <c r="N130" s="377">
        <v>174</v>
      </c>
      <c r="O130" s="459">
        <v>45294.687581018516</v>
      </c>
      <c r="P130" s="474">
        <v>129</v>
      </c>
      <c r="Q130" s="405">
        <v>0</v>
      </c>
      <c r="R130" s="435">
        <v>0</v>
      </c>
      <c r="S130" s="443">
        <v>0</v>
      </c>
      <c r="T130" s="358">
        <v>0</v>
      </c>
      <c r="U130" s="421">
        <v>0</v>
      </c>
      <c r="V130" s="508">
        <v>0</v>
      </c>
      <c r="W130" s="512" t="str">
        <f t="shared" si="93"/>
        <v/>
      </c>
      <c r="X130" s="611">
        <v>0</v>
      </c>
      <c r="Y130" s="691">
        <f t="shared" ref="Y130" si="104">IF(D130&lt;&gt;0,($C131*(1-$V$1))-$D130,0)</f>
        <v>50</v>
      </c>
      <c r="Z130" s="544">
        <f>$D130*($AE$1*$AD$1)</f>
        <v>159.63616438356163</v>
      </c>
      <c r="AA130" s="621"/>
      <c r="AB130" s="38"/>
    </row>
    <row r="131" spans="1:28" ht="12.75" customHeight="1">
      <c r="A131" s="426" t="s">
        <v>188</v>
      </c>
      <c r="B131" s="338">
        <v>704</v>
      </c>
      <c r="C131" s="340">
        <v>36650</v>
      </c>
      <c r="D131" s="340">
        <v>36750</v>
      </c>
      <c r="E131" s="338">
        <v>8782</v>
      </c>
      <c r="F131" s="341">
        <v>36750</v>
      </c>
      <c r="G131" s="586">
        <v>2.7999999999999997E-2</v>
      </c>
      <c r="H131" s="332">
        <v>34210</v>
      </c>
      <c r="I131" s="323">
        <v>36800</v>
      </c>
      <c r="J131" s="323">
        <v>34210</v>
      </c>
      <c r="K131" s="396">
        <v>35749</v>
      </c>
      <c r="L131" s="330">
        <v>289544139</v>
      </c>
      <c r="M131" s="327">
        <v>810616</v>
      </c>
      <c r="N131" s="330">
        <v>714</v>
      </c>
      <c r="O131" s="460">
        <v>45294.708645833336</v>
      </c>
      <c r="P131" s="473">
        <v>130</v>
      </c>
      <c r="Q131" s="402">
        <v>0</v>
      </c>
      <c r="R131" s="436">
        <v>0</v>
      </c>
      <c r="S131" s="440">
        <v>0</v>
      </c>
      <c r="T131" s="357">
        <v>0</v>
      </c>
      <c r="U131" s="422">
        <v>0</v>
      </c>
      <c r="V131" s="509">
        <v>0</v>
      </c>
      <c r="W131" s="513" t="str">
        <f t="shared" si="93"/>
        <v/>
      </c>
      <c r="X131" s="612">
        <v>0</v>
      </c>
      <c r="Y131" s="692"/>
      <c r="Z131" s="545"/>
      <c r="AA131" s="622"/>
      <c r="AB131" s="38"/>
    </row>
    <row r="132" spans="1:28" ht="12.75" customHeight="1">
      <c r="A132" s="348" t="s">
        <v>601</v>
      </c>
      <c r="B132" s="342"/>
      <c r="C132" s="343"/>
      <c r="D132" s="343"/>
      <c r="E132" s="342"/>
      <c r="F132" s="344"/>
      <c r="G132" s="587"/>
      <c r="H132" s="345"/>
      <c r="I132" s="324"/>
      <c r="J132" s="324"/>
      <c r="K132" s="400">
        <v>29</v>
      </c>
      <c r="L132" s="362"/>
      <c r="M132" s="328"/>
      <c r="N132" s="362"/>
      <c r="O132" s="462"/>
      <c r="P132" s="474">
        <v>131</v>
      </c>
      <c r="Q132" s="403">
        <v>0</v>
      </c>
      <c r="R132" s="437">
        <v>0</v>
      </c>
      <c r="S132" s="445">
        <v>0</v>
      </c>
      <c r="T132" s="356">
        <v>0</v>
      </c>
      <c r="U132" s="421">
        <v>0</v>
      </c>
      <c r="V132" s="511">
        <v>0</v>
      </c>
      <c r="W132" s="512" t="str">
        <f t="shared" si="93"/>
        <v/>
      </c>
      <c r="X132" s="613">
        <v>0</v>
      </c>
      <c r="Y132" s="687">
        <f t="shared" ref="Y132" si="105">IF(D132&lt;&gt;0,($C133*(1-$V$1))-$D132,0)</f>
        <v>0</v>
      </c>
      <c r="Z132" s="536" t="str">
        <f t="shared" ref="Z132:Z133" si="106">IFERROR(D130/C132,"")</f>
        <v/>
      </c>
      <c r="AA132" s="549" t="str">
        <f>IFERROR($AB$1/(D132/100)*(C130/100),"")</f>
        <v/>
      </c>
      <c r="AB132" s="38"/>
    </row>
    <row r="133" spans="1:28" ht="12.75" customHeight="1">
      <c r="A133" s="484" t="s">
        <v>236</v>
      </c>
      <c r="B133" s="337"/>
      <c r="C133" s="339"/>
      <c r="D133" s="339"/>
      <c r="E133" s="337"/>
      <c r="F133" s="341"/>
      <c r="G133" s="586"/>
      <c r="H133" s="332"/>
      <c r="I133" s="323"/>
      <c r="J133" s="323"/>
      <c r="K133" s="396">
        <v>29</v>
      </c>
      <c r="L133" s="330"/>
      <c r="M133" s="327"/>
      <c r="N133" s="330"/>
      <c r="O133" s="460"/>
      <c r="P133" s="473">
        <v>132</v>
      </c>
      <c r="Q133" s="402">
        <v>0</v>
      </c>
      <c r="R133" s="436">
        <v>0</v>
      </c>
      <c r="S133" s="440">
        <v>0</v>
      </c>
      <c r="T133" s="357">
        <v>0</v>
      </c>
      <c r="U133" s="422">
        <v>0</v>
      </c>
      <c r="V133" s="510">
        <v>0</v>
      </c>
      <c r="W133" s="513" t="str">
        <f t="shared" si="93"/>
        <v/>
      </c>
      <c r="X133" s="612">
        <v>0</v>
      </c>
      <c r="Y133" s="688"/>
      <c r="Z133" s="535" t="str">
        <f t="shared" si="106"/>
        <v/>
      </c>
      <c r="AA133" s="550" t="str">
        <f>IFERROR($AB$1/(D133/100)*(C131/100),"")</f>
        <v/>
      </c>
      <c r="AB133" s="38"/>
    </row>
    <row r="134" spans="1:28" ht="12.75" customHeight="1">
      <c r="A134" s="348" t="s">
        <v>602</v>
      </c>
      <c r="B134" s="346">
        <v>476</v>
      </c>
      <c r="C134" s="343">
        <v>35.5</v>
      </c>
      <c r="D134" s="343">
        <v>35.9</v>
      </c>
      <c r="E134" s="346">
        <v>4318</v>
      </c>
      <c r="F134" s="344">
        <v>35.5</v>
      </c>
      <c r="G134" s="587">
        <v>-6.08E-2</v>
      </c>
      <c r="H134" s="345">
        <v>35.99</v>
      </c>
      <c r="I134" s="324">
        <v>36</v>
      </c>
      <c r="J134" s="324">
        <v>35.5</v>
      </c>
      <c r="K134" s="400">
        <v>37.799999999999997</v>
      </c>
      <c r="L134" s="362">
        <v>8810</v>
      </c>
      <c r="M134" s="328">
        <v>24697</v>
      </c>
      <c r="N134" s="362">
        <v>34</v>
      </c>
      <c r="O134" s="462">
        <v>45294.677048611113</v>
      </c>
      <c r="P134" s="474">
        <v>133</v>
      </c>
      <c r="Q134" s="403">
        <v>0</v>
      </c>
      <c r="R134" s="437">
        <v>0</v>
      </c>
      <c r="S134" s="445">
        <v>0</v>
      </c>
      <c r="T134" s="356">
        <v>0</v>
      </c>
      <c r="U134" s="421">
        <v>0</v>
      </c>
      <c r="V134" s="505">
        <v>0</v>
      </c>
      <c r="W134" s="512" t="str">
        <f t="shared" si="93"/>
        <v/>
      </c>
      <c r="X134" s="613">
        <v>0</v>
      </c>
      <c r="Y134" s="689">
        <f t="shared" ref="Y134" si="107">IF(D134&lt;&gt;0,($C135*(1-$V$1))-$D134,0)</f>
        <v>0.10000000000000142</v>
      </c>
      <c r="Z134" s="534">
        <f t="shared" ref="Z134:Z135" si="108">IFERROR(D130/C134,"")</f>
        <v>1030.9859154929577</v>
      </c>
      <c r="AA134" s="549">
        <f>IFERROR($AB$1/(D134/100)*(C130/100),"")</f>
        <v>530335.04178272991</v>
      </c>
      <c r="AB134" s="38"/>
    </row>
    <row r="135" spans="1:28" ht="12.75" customHeight="1">
      <c r="A135" s="429" t="s">
        <v>237</v>
      </c>
      <c r="B135" s="389">
        <v>1543</v>
      </c>
      <c r="C135" s="390">
        <v>36</v>
      </c>
      <c r="D135" s="390">
        <v>36.1</v>
      </c>
      <c r="E135" s="389">
        <v>3881</v>
      </c>
      <c r="F135" s="387">
        <v>36</v>
      </c>
      <c r="G135" s="588">
        <v>-2.1700000000000001E-2</v>
      </c>
      <c r="H135" s="378">
        <v>36</v>
      </c>
      <c r="I135" s="379">
        <v>36.1</v>
      </c>
      <c r="J135" s="379">
        <v>35.262</v>
      </c>
      <c r="K135" s="397">
        <v>36.799999999999997</v>
      </c>
      <c r="L135" s="384">
        <v>110083</v>
      </c>
      <c r="M135" s="380">
        <v>308638</v>
      </c>
      <c r="N135" s="384">
        <v>109</v>
      </c>
      <c r="O135" s="463">
        <v>45294.703564814816</v>
      </c>
      <c r="P135" s="473">
        <v>134</v>
      </c>
      <c r="Q135" s="404">
        <v>0</v>
      </c>
      <c r="R135" s="439">
        <v>0</v>
      </c>
      <c r="S135" s="446">
        <v>0</v>
      </c>
      <c r="T135" s="385">
        <v>0</v>
      </c>
      <c r="U135" s="422">
        <v>0</v>
      </c>
      <c r="V135" s="423">
        <v>0</v>
      </c>
      <c r="W135" s="514" t="str">
        <f t="shared" si="93"/>
        <v/>
      </c>
      <c r="X135" s="614">
        <v>0</v>
      </c>
      <c r="Y135" s="690"/>
      <c r="Z135" s="546">
        <f t="shared" si="108"/>
        <v>1020.8333333333334</v>
      </c>
      <c r="AA135" s="551">
        <f>IFERROR($AB$1/(D135/100)*(C131/100),"")</f>
        <v>533952.93628808879</v>
      </c>
      <c r="AB135" s="38"/>
    </row>
    <row r="136" spans="1:28" ht="12.75" customHeight="1">
      <c r="A136" s="428" t="s">
        <v>606</v>
      </c>
      <c r="B136" s="365">
        <v>109</v>
      </c>
      <c r="C136" s="321">
        <v>36294</v>
      </c>
      <c r="D136" s="386">
        <v>38000</v>
      </c>
      <c r="E136" s="365">
        <v>5000</v>
      </c>
      <c r="F136" s="383">
        <v>37240</v>
      </c>
      <c r="G136" s="583">
        <v>3.6600000000000001E-2</v>
      </c>
      <c r="H136" s="333">
        <v>35700</v>
      </c>
      <c r="I136" s="325">
        <v>37500</v>
      </c>
      <c r="J136" s="325">
        <v>35700</v>
      </c>
      <c r="K136" s="399">
        <v>35924.5</v>
      </c>
      <c r="L136" s="377">
        <v>10881456</v>
      </c>
      <c r="M136" s="329">
        <v>30002</v>
      </c>
      <c r="N136" s="377">
        <v>47</v>
      </c>
      <c r="O136" s="459">
        <v>45294.655243055553</v>
      </c>
      <c r="P136" s="474">
        <v>135</v>
      </c>
      <c r="Q136" s="405"/>
      <c r="R136" s="435"/>
      <c r="S136" s="443"/>
      <c r="T136" s="358"/>
      <c r="U136" s="372"/>
      <c r="V136" s="424">
        <v>0</v>
      </c>
      <c r="W136" s="316"/>
      <c r="X136" s="615"/>
      <c r="Y136" s="691">
        <f t="shared" ref="Y136" si="109">IF(D136&lt;&gt;0,($C137*(1-$V$1))-$D136,0)</f>
        <v>-302</v>
      </c>
      <c r="Z136" s="544">
        <f>$D136*($AE$1*$AD$1)</f>
        <v>165.74246575342465</v>
      </c>
      <c r="AA136" s="621"/>
      <c r="AB136" s="38"/>
    </row>
    <row r="137" spans="1:28" ht="12.75" customHeight="1">
      <c r="A137" s="426" t="s">
        <v>189</v>
      </c>
      <c r="B137" s="338">
        <v>794</v>
      </c>
      <c r="C137" s="340">
        <v>37698</v>
      </c>
      <c r="D137" s="340">
        <v>38100</v>
      </c>
      <c r="E137" s="338">
        <v>1372</v>
      </c>
      <c r="F137" s="341">
        <v>37698</v>
      </c>
      <c r="G137" s="586">
        <v>2.4399999999999998E-2</v>
      </c>
      <c r="H137" s="332">
        <v>35700</v>
      </c>
      <c r="I137" s="323">
        <v>38368</v>
      </c>
      <c r="J137" s="323">
        <v>35700</v>
      </c>
      <c r="K137" s="396">
        <v>36800</v>
      </c>
      <c r="L137" s="330">
        <v>116287839</v>
      </c>
      <c r="M137" s="327">
        <v>319891</v>
      </c>
      <c r="N137" s="330">
        <v>242</v>
      </c>
      <c r="O137" s="460">
        <v>45294.705740740741</v>
      </c>
      <c r="P137" s="473">
        <v>136</v>
      </c>
      <c r="Q137" s="402"/>
      <c r="R137" s="436"/>
      <c r="S137" s="440"/>
      <c r="T137" s="357"/>
      <c r="U137" s="371"/>
      <c r="V137" s="423">
        <v>0</v>
      </c>
      <c r="W137" s="317"/>
      <c r="X137" s="605"/>
      <c r="Y137" s="692"/>
      <c r="Z137" s="545"/>
      <c r="AA137" s="622"/>
      <c r="AB137" s="38"/>
    </row>
    <row r="138" spans="1:28" ht="12.75" customHeight="1">
      <c r="A138" s="348" t="s">
        <v>607</v>
      </c>
      <c r="B138" s="342"/>
      <c r="C138" s="343"/>
      <c r="D138" s="343"/>
      <c r="E138" s="342"/>
      <c r="F138" s="344"/>
      <c r="G138" s="587"/>
      <c r="H138" s="345"/>
      <c r="I138" s="324"/>
      <c r="J138" s="324"/>
      <c r="K138" s="400">
        <v>22.82</v>
      </c>
      <c r="L138" s="362"/>
      <c r="M138" s="328"/>
      <c r="N138" s="362"/>
      <c r="O138" s="462"/>
      <c r="P138" s="474">
        <v>137</v>
      </c>
      <c r="Q138" s="403"/>
      <c r="R138" s="437"/>
      <c r="S138" s="445"/>
      <c r="T138" s="356"/>
      <c r="U138" s="372"/>
      <c r="V138" s="424">
        <v>0</v>
      </c>
      <c r="W138" s="347"/>
      <c r="X138" s="606"/>
      <c r="Y138" s="687">
        <f t="shared" ref="Y138" si="110">IF(D138&lt;&gt;0,($C139*(1-$V$1))-$D138,0)</f>
        <v>0</v>
      </c>
      <c r="Z138" s="536" t="str">
        <f t="shared" ref="Z138:Z139" si="111">IFERROR(D136/C138,"")</f>
        <v/>
      </c>
      <c r="AA138" s="548" t="str">
        <f>IFERROR($AB$1/(D138/100)*(C136/100),"")</f>
        <v/>
      </c>
      <c r="AB138" s="38"/>
    </row>
    <row r="139" spans="1:28" ht="12.75" customHeight="1">
      <c r="A139" s="484" t="s">
        <v>276</v>
      </c>
      <c r="B139" s="337"/>
      <c r="C139" s="339"/>
      <c r="D139" s="339"/>
      <c r="E139" s="337"/>
      <c r="F139" s="341"/>
      <c r="G139" s="586"/>
      <c r="H139" s="332"/>
      <c r="I139" s="323"/>
      <c r="J139" s="323"/>
      <c r="K139" s="396">
        <v>27.088000000000001</v>
      </c>
      <c r="L139" s="330"/>
      <c r="M139" s="327"/>
      <c r="N139" s="330"/>
      <c r="O139" s="460"/>
      <c r="P139" s="473">
        <v>138</v>
      </c>
      <c r="Q139" s="402"/>
      <c r="R139" s="436"/>
      <c r="S139" s="440"/>
      <c r="T139" s="357"/>
      <c r="U139" s="371"/>
      <c r="V139" s="423">
        <v>0</v>
      </c>
      <c r="W139" s="317"/>
      <c r="X139" s="605"/>
      <c r="Y139" s="688"/>
      <c r="Z139" s="535" t="str">
        <f t="shared" si="111"/>
        <v/>
      </c>
      <c r="AA139" s="552" t="str">
        <f>IFERROR($AB$1/(D139/100)*(C137/100),"")</f>
        <v/>
      </c>
      <c r="AB139" s="38"/>
    </row>
    <row r="140" spans="1:28" ht="12.75" customHeight="1">
      <c r="A140" s="348" t="s">
        <v>608</v>
      </c>
      <c r="B140" s="346">
        <v>27885</v>
      </c>
      <c r="C140" s="343">
        <v>36.81</v>
      </c>
      <c r="D140" s="343">
        <v>38</v>
      </c>
      <c r="E140" s="346">
        <v>413</v>
      </c>
      <c r="F140" s="344">
        <v>36.81</v>
      </c>
      <c r="G140" s="587">
        <v>-4.6300000000000001E-2</v>
      </c>
      <c r="H140" s="345">
        <v>36.81</v>
      </c>
      <c r="I140" s="324">
        <v>36.81</v>
      </c>
      <c r="J140" s="324">
        <v>36.81</v>
      </c>
      <c r="K140" s="400">
        <v>38.6</v>
      </c>
      <c r="L140" s="362">
        <v>16</v>
      </c>
      <c r="M140" s="328">
        <v>44</v>
      </c>
      <c r="N140" s="362">
        <v>1</v>
      </c>
      <c r="O140" s="462">
        <v>45294.635358796295</v>
      </c>
      <c r="P140" s="474">
        <v>139</v>
      </c>
      <c r="Q140" s="403"/>
      <c r="R140" s="437"/>
      <c r="S140" s="445"/>
      <c r="T140" s="356"/>
      <c r="U140" s="372"/>
      <c r="V140" s="424">
        <v>0</v>
      </c>
      <c r="W140" s="347"/>
      <c r="X140" s="606"/>
      <c r="Y140" s="689">
        <f t="shared" ref="Y140" si="112">IF(D140&lt;&gt;0,($C141*(1-$V$1))-$D140,0)</f>
        <v>-0.70000000000000284</v>
      </c>
      <c r="Z140" s="534">
        <f t="shared" ref="Z140:Z141" si="113">IFERROR(D136/C140,"")</f>
        <v>1032.3281716924748</v>
      </c>
      <c r="AA140" s="548">
        <f>IFERROR($AB$1/(D140/100)*(C136/100),"")</f>
        <v>502328.06210526323</v>
      </c>
      <c r="AB140" s="38"/>
    </row>
    <row r="141" spans="1:28" ht="12.75" customHeight="1">
      <c r="A141" s="429" t="s">
        <v>277</v>
      </c>
      <c r="B141" s="389">
        <v>1473</v>
      </c>
      <c r="C141" s="390">
        <v>37.299999999999997</v>
      </c>
      <c r="D141" s="390">
        <v>37.5</v>
      </c>
      <c r="E141" s="389">
        <v>8990</v>
      </c>
      <c r="F141" s="387">
        <v>37.5</v>
      </c>
      <c r="G141" s="588">
        <v>-1.6500000000000001E-2</v>
      </c>
      <c r="H141" s="378">
        <v>37.01</v>
      </c>
      <c r="I141" s="379">
        <v>38.15</v>
      </c>
      <c r="J141" s="379">
        <v>37.01</v>
      </c>
      <c r="K141" s="397">
        <v>38.130000000000003</v>
      </c>
      <c r="L141" s="384">
        <v>18604</v>
      </c>
      <c r="M141" s="380">
        <v>49811</v>
      </c>
      <c r="N141" s="384">
        <v>39</v>
      </c>
      <c r="O141" s="463">
        <v>45294.705474537041</v>
      </c>
      <c r="P141" s="473">
        <v>140</v>
      </c>
      <c r="Q141" s="404"/>
      <c r="R141" s="439"/>
      <c r="S141" s="446"/>
      <c r="T141" s="385"/>
      <c r="U141" s="371"/>
      <c r="V141" s="423">
        <v>0</v>
      </c>
      <c r="W141" s="388"/>
      <c r="X141" s="608"/>
      <c r="Y141" s="690"/>
      <c r="Z141" s="546">
        <f t="shared" si="113"/>
        <v>1021.4477211796248</v>
      </c>
      <c r="AA141" s="553">
        <f>IFERROR($AB$1/(D141/100)*(C137/100),"")</f>
        <v>528716.96320000011</v>
      </c>
      <c r="AB141" s="38"/>
    </row>
  </sheetData>
  <sortState xmlns:xlrd2="http://schemas.microsoft.com/office/spreadsheetml/2017/richdata2" ref="A23">
    <sortCondition descending="1" ref="A22:A23"/>
  </sortState>
  <mergeCells count="58">
    <mergeCell ref="Y128:Y129"/>
    <mergeCell ref="Y132:Y133"/>
    <mergeCell ref="Y134:Y135"/>
    <mergeCell ref="Y130:Y131"/>
    <mergeCell ref="Y96:Y97"/>
    <mergeCell ref="Y98:Y99"/>
    <mergeCell ref="Y102:Y103"/>
    <mergeCell ref="Y104:Y105"/>
    <mergeCell ref="Y108:Y109"/>
    <mergeCell ref="Y106:Y107"/>
    <mergeCell ref="Y100:Y101"/>
    <mergeCell ref="Y118:Y119"/>
    <mergeCell ref="Y124:Y125"/>
    <mergeCell ref="Y110:Y111"/>
    <mergeCell ref="Y114:Y115"/>
    <mergeCell ref="Y126:Y127"/>
    <mergeCell ref="AA20:AA21"/>
    <mergeCell ref="Y116:Y117"/>
    <mergeCell ref="Y120:Y121"/>
    <mergeCell ref="Y122:Y123"/>
    <mergeCell ref="Y70:Y71"/>
    <mergeCell ref="Y76:Y77"/>
    <mergeCell ref="Y82:Y83"/>
    <mergeCell ref="Y88:Y89"/>
    <mergeCell ref="Y94:Y95"/>
    <mergeCell ref="Y90:Y91"/>
    <mergeCell ref="Y92:Y93"/>
    <mergeCell ref="Y46:Y47"/>
    <mergeCell ref="Y52:Y53"/>
    <mergeCell ref="Y58:Y59"/>
    <mergeCell ref="Y72:Y73"/>
    <mergeCell ref="AA44:AA45"/>
    <mergeCell ref="AA10:AA11"/>
    <mergeCell ref="AA14:AA15"/>
    <mergeCell ref="AA18:AA19"/>
    <mergeCell ref="AA16:AA17"/>
    <mergeCell ref="AA12:AA13"/>
    <mergeCell ref="AA42:AA43"/>
    <mergeCell ref="AA22:AA23"/>
    <mergeCell ref="AA24:AA25"/>
    <mergeCell ref="Y140:Y141"/>
    <mergeCell ref="Y136:Y137"/>
    <mergeCell ref="Y48:Y49"/>
    <mergeCell ref="Y50:Y51"/>
    <mergeCell ref="Y54:Y55"/>
    <mergeCell ref="Y56:Y57"/>
    <mergeCell ref="Y60:Y61"/>
    <mergeCell ref="Y62:Y63"/>
    <mergeCell ref="Y66:Y67"/>
    <mergeCell ref="Y68:Y69"/>
    <mergeCell ref="Y138:Y139"/>
    <mergeCell ref="Y74:Y75"/>
    <mergeCell ref="Y112:Y113"/>
    <mergeCell ref="Y78:Y79"/>
    <mergeCell ref="Y80:Y81"/>
    <mergeCell ref="Y84:Y85"/>
    <mergeCell ref="Y86:Y87"/>
    <mergeCell ref="Y64:Y65"/>
  </mergeCells>
  <phoneticPr fontId="16" type="noConversion"/>
  <conditionalFormatting sqref="A30:A41">
    <cfRule type="expression" dxfId="1135" priority="7515">
      <formula>V30&gt;0</formula>
    </cfRule>
    <cfRule type="expression" dxfId="1134" priority="7516">
      <formula>V30&lt;0</formula>
    </cfRule>
  </conditionalFormatting>
  <conditionalFormatting sqref="A42">
    <cfRule type="expression" dxfId="1133" priority="2361">
      <formula>V42&lt;&gt;0</formula>
    </cfRule>
  </conditionalFormatting>
  <conditionalFormatting sqref="A43">
    <cfRule type="expression" dxfId="1132" priority="2360">
      <formula>V43&lt;&gt;0</formula>
    </cfRule>
  </conditionalFormatting>
  <conditionalFormatting sqref="A44">
    <cfRule type="expression" dxfId="1131" priority="2359">
      <formula>V44&lt;&gt;0</formula>
    </cfRule>
  </conditionalFormatting>
  <conditionalFormatting sqref="A45">
    <cfRule type="expression" dxfId="1130" priority="2358">
      <formula>V45&lt;&gt;0</formula>
    </cfRule>
  </conditionalFormatting>
  <conditionalFormatting sqref="A46:A47">
    <cfRule type="expression" dxfId="1129" priority="2148">
      <formula>V46&lt;&gt;0</formula>
    </cfRule>
  </conditionalFormatting>
  <conditionalFormatting sqref="A48:A49">
    <cfRule type="expression" dxfId="1128" priority="7304">
      <formula>V48&lt;&gt;0</formula>
    </cfRule>
  </conditionalFormatting>
  <conditionalFormatting sqref="A50:A51">
    <cfRule type="expression" dxfId="1127" priority="7303">
      <formula>V50&lt;&gt;0</formula>
    </cfRule>
  </conditionalFormatting>
  <conditionalFormatting sqref="B42:B47 B50:B53 B56:B59 B62:B65 B68:B71 B74:B77 B80:B83 B86:B89 B92:B95 B98:B101 B104:B107 B110:B113 B116:B119 B122:B125 B128:B131 B134:B137">
    <cfRule type="cellIs" dxfId="1126" priority="7992" operator="greaterThan">
      <formula>E42</formula>
    </cfRule>
  </conditionalFormatting>
  <conditionalFormatting sqref="B140:B141">
    <cfRule type="cellIs" dxfId="1125" priority="6564" operator="greaterThan">
      <formula>E140</formula>
    </cfRule>
  </conditionalFormatting>
  <conditionalFormatting sqref="C30:C41">
    <cfRule type="cellIs" dxfId="1124" priority="7518" operator="greaterThan">
      <formula>F30</formula>
    </cfRule>
  </conditionalFormatting>
  <conditionalFormatting sqref="E42:E47 E50:E53 E56:E59 E62:E65 E68:E71 E74:E77 E80:E83 E86:E89 E92:E95 E98:E101 E104:E107 E110:E113 E116:E119 E122:E125 E128:E131 E134:E137">
    <cfRule type="cellIs" dxfId="1123" priority="7991" operator="greaterThan">
      <formula>B42</formula>
    </cfRule>
  </conditionalFormatting>
  <conditionalFormatting sqref="E140:E141">
    <cfRule type="cellIs" dxfId="1122" priority="6563" operator="greaterThan">
      <formula>B140</formula>
    </cfRule>
  </conditionalFormatting>
  <conditionalFormatting sqref="F44:F45">
    <cfRule type="cellIs" dxfId="1121" priority="5022" operator="lessThan">
      <formula>D44</formula>
    </cfRule>
    <cfRule type="cellIs" dxfId="1120" priority="5023" operator="greaterThan">
      <formula>D44</formula>
    </cfRule>
  </conditionalFormatting>
  <conditionalFormatting sqref="G52:G141 G2:G45">
    <cfRule type="cellIs" dxfId="1119" priority="6565" operator="lessThan">
      <formula>0</formula>
    </cfRule>
  </conditionalFormatting>
  <conditionalFormatting sqref="Q2:T141">
    <cfRule type="cellIs" dxfId="1118" priority="6074" operator="equal">
      <formula>0</formula>
    </cfRule>
  </conditionalFormatting>
  <conditionalFormatting sqref="V2:V141">
    <cfRule type="cellIs" dxfId="1117" priority="6567" operator="lessThan">
      <formula>0</formula>
    </cfRule>
    <cfRule type="cellIs" dxfId="1116" priority="6568" operator="equal">
      <formula>0</formula>
    </cfRule>
  </conditionalFormatting>
  <conditionalFormatting sqref="W2:X141">
    <cfRule type="cellIs" dxfId="1115" priority="6073" operator="equal">
      <formula>0</formula>
    </cfRule>
  </conditionalFormatting>
  <conditionalFormatting sqref="Y42:Y46 Y48 Y50 Y54 Y60 Y66 Y72 Y78 Y84 Y90 Y96 Y102 Y108 Y114 Y120 Y126 Y132 Y138 Y56 Y62 Y68 Y74 Y80 Y86 Y92 Y98 Y104 Y110 Y116 Y122 Y128 Y134 Y140">
    <cfRule type="cellIs" dxfId="1114" priority="2170" operator="lessThanOrEqual">
      <formula>0</formula>
    </cfRule>
  </conditionalFormatting>
  <conditionalFormatting sqref="Y43">
    <cfRule type="expression" dxfId="1113" priority="9254">
      <formula>Y43&gt;$AE$1*$AD$1</formula>
    </cfRule>
  </conditionalFormatting>
  <conditionalFormatting sqref="Y44">
    <cfRule type="expression" dxfId="1112" priority="9272">
      <formula>Y45&gt;$AE$1*$AD$1</formula>
    </cfRule>
  </conditionalFormatting>
  <conditionalFormatting sqref="Y45">
    <cfRule type="expression" dxfId="1111" priority="9255">
      <formula>Y45&gt;$AE$1*$AD$1</formula>
    </cfRule>
  </conditionalFormatting>
  <conditionalFormatting sqref="Y46">
    <cfRule type="expression" dxfId="1110" priority="2238">
      <formula>Y47&gt;$AE$1*$AD$1</formula>
    </cfRule>
  </conditionalFormatting>
  <conditionalFormatting sqref="Y30:Z41">
    <cfRule type="cellIs" dxfId="1109" priority="6817" operator="equal">
      <formula>0</formula>
    </cfRule>
  </conditionalFormatting>
  <conditionalFormatting sqref="Z42:Z43">
    <cfRule type="cellIs" dxfId="1108" priority="5439" operator="greaterThan">
      <formula>0</formula>
    </cfRule>
    <cfRule type="cellIs" dxfId="1107" priority="5440" operator="lessThan">
      <formula>0</formula>
    </cfRule>
    <cfRule type="cellIs" dxfId="1106" priority="5441" operator="equal">
      <formula>0</formula>
    </cfRule>
  </conditionalFormatting>
  <conditionalFormatting sqref="Z44">
    <cfRule type="cellIs" dxfId="1105" priority="4630" operator="greaterThan">
      <formula>Z45</formula>
    </cfRule>
    <cfRule type="cellIs" dxfId="1104" priority="4631" operator="lessThan">
      <formula>Z45</formula>
    </cfRule>
    <cfRule type="cellIs" dxfId="1103" priority="4632" operator="equal">
      <formula>0</formula>
    </cfRule>
  </conditionalFormatting>
  <conditionalFormatting sqref="Z45">
    <cfRule type="cellIs" dxfId="1102" priority="4629" operator="equal">
      <formula>0</formula>
    </cfRule>
  </conditionalFormatting>
  <conditionalFormatting sqref="Z46">
    <cfRule type="cellIs" dxfId="1101" priority="4633" operator="equal">
      <formula>0</formula>
    </cfRule>
  </conditionalFormatting>
  <conditionalFormatting sqref="W53">
    <cfRule type="cellIs" dxfId="1100" priority="2130" operator="lessThan">
      <formula>0</formula>
    </cfRule>
  </conditionalFormatting>
  <conditionalFormatting sqref="W52">
    <cfRule type="cellIs" dxfId="1099" priority="2129" operator="lessThan">
      <formula>0</formula>
    </cfRule>
  </conditionalFormatting>
  <conditionalFormatting sqref="W55">
    <cfRule type="cellIs" dxfId="1098" priority="2128" operator="lessThan">
      <formula>0</formula>
    </cfRule>
  </conditionalFormatting>
  <conditionalFormatting sqref="W54">
    <cfRule type="cellIs" dxfId="1097" priority="2127" operator="lessThan">
      <formula>0</formula>
    </cfRule>
  </conditionalFormatting>
  <conditionalFormatting sqref="W57">
    <cfRule type="cellIs" dxfId="1096" priority="2126" operator="lessThan">
      <formula>0</formula>
    </cfRule>
  </conditionalFormatting>
  <conditionalFormatting sqref="W56">
    <cfRule type="cellIs" dxfId="1095" priority="2125" operator="lessThan">
      <formula>0</formula>
    </cfRule>
  </conditionalFormatting>
  <conditionalFormatting sqref="W47">
    <cfRule type="cellIs" dxfId="1094" priority="2124" operator="lessThan">
      <formula>0</formula>
    </cfRule>
  </conditionalFormatting>
  <conditionalFormatting sqref="W46">
    <cfRule type="cellIs" dxfId="1093" priority="2123" operator="lessThan">
      <formula>0</formula>
    </cfRule>
  </conditionalFormatting>
  <conditionalFormatting sqref="W49">
    <cfRule type="cellIs" dxfId="1092" priority="2122" operator="lessThan">
      <formula>0</formula>
    </cfRule>
  </conditionalFormatting>
  <conditionalFormatting sqref="W48">
    <cfRule type="cellIs" dxfId="1091" priority="2121" operator="lessThan">
      <formula>0</formula>
    </cfRule>
  </conditionalFormatting>
  <conditionalFormatting sqref="W51">
    <cfRule type="cellIs" dxfId="1090" priority="2120" operator="lessThan">
      <formula>0</formula>
    </cfRule>
  </conditionalFormatting>
  <conditionalFormatting sqref="W50">
    <cfRule type="cellIs" dxfId="1089" priority="2119" operator="lessThan">
      <formula>0</formula>
    </cfRule>
  </conditionalFormatting>
  <conditionalFormatting sqref="W59">
    <cfRule type="cellIs" dxfId="1088" priority="2118" operator="lessThan">
      <formula>0</formula>
    </cfRule>
  </conditionalFormatting>
  <conditionalFormatting sqref="W58">
    <cfRule type="cellIs" dxfId="1087" priority="2117" operator="lessThan">
      <formula>0</formula>
    </cfRule>
  </conditionalFormatting>
  <conditionalFormatting sqref="W61">
    <cfRule type="cellIs" dxfId="1086" priority="2116" operator="lessThan">
      <formula>0</formula>
    </cfRule>
  </conditionalFormatting>
  <conditionalFormatting sqref="W60">
    <cfRule type="cellIs" dxfId="1085" priority="2115" operator="lessThan">
      <formula>0</formula>
    </cfRule>
  </conditionalFormatting>
  <conditionalFormatting sqref="W63">
    <cfRule type="cellIs" dxfId="1084" priority="2114" operator="lessThan">
      <formula>0</formula>
    </cfRule>
  </conditionalFormatting>
  <conditionalFormatting sqref="W62">
    <cfRule type="cellIs" dxfId="1083" priority="2113" operator="lessThan">
      <formula>0</formula>
    </cfRule>
  </conditionalFormatting>
  <conditionalFormatting sqref="W65">
    <cfRule type="cellIs" dxfId="1082" priority="2112" operator="lessThan">
      <formula>0</formula>
    </cfRule>
  </conditionalFormatting>
  <conditionalFormatting sqref="W64">
    <cfRule type="cellIs" dxfId="1081" priority="2111" operator="lessThan">
      <formula>0</formula>
    </cfRule>
  </conditionalFormatting>
  <conditionalFormatting sqref="W67">
    <cfRule type="cellIs" dxfId="1080" priority="2110" operator="lessThan">
      <formula>0</formula>
    </cfRule>
  </conditionalFormatting>
  <conditionalFormatting sqref="W66">
    <cfRule type="cellIs" dxfId="1079" priority="2109" operator="lessThan">
      <formula>0</formula>
    </cfRule>
  </conditionalFormatting>
  <conditionalFormatting sqref="W69">
    <cfRule type="cellIs" dxfId="1078" priority="2108" operator="lessThan">
      <formula>0</formula>
    </cfRule>
  </conditionalFormatting>
  <conditionalFormatting sqref="W68">
    <cfRule type="cellIs" dxfId="1077" priority="2107" operator="lessThan">
      <formula>0</formula>
    </cfRule>
  </conditionalFormatting>
  <conditionalFormatting sqref="W71">
    <cfRule type="cellIs" dxfId="1076" priority="2106" operator="lessThan">
      <formula>0</formula>
    </cfRule>
  </conditionalFormatting>
  <conditionalFormatting sqref="W70">
    <cfRule type="cellIs" dxfId="1075" priority="2105" operator="lessThan">
      <formula>0</formula>
    </cfRule>
  </conditionalFormatting>
  <conditionalFormatting sqref="W73">
    <cfRule type="cellIs" dxfId="1074" priority="2104" operator="lessThan">
      <formula>0</formula>
    </cfRule>
  </conditionalFormatting>
  <conditionalFormatting sqref="W72">
    <cfRule type="cellIs" dxfId="1073" priority="2103" operator="lessThan">
      <formula>0</formula>
    </cfRule>
  </conditionalFormatting>
  <conditionalFormatting sqref="W75">
    <cfRule type="cellIs" dxfId="1072" priority="2102" operator="lessThan">
      <formula>0</formula>
    </cfRule>
  </conditionalFormatting>
  <conditionalFormatting sqref="W74">
    <cfRule type="cellIs" dxfId="1071" priority="2101" operator="lessThan">
      <formula>0</formula>
    </cfRule>
  </conditionalFormatting>
  <conditionalFormatting sqref="W77">
    <cfRule type="cellIs" dxfId="1070" priority="2100" operator="lessThan">
      <formula>0</formula>
    </cfRule>
  </conditionalFormatting>
  <conditionalFormatting sqref="W76">
    <cfRule type="cellIs" dxfId="1069" priority="2099" operator="lessThan">
      <formula>0</formula>
    </cfRule>
  </conditionalFormatting>
  <conditionalFormatting sqref="W79">
    <cfRule type="cellIs" dxfId="1068" priority="2098" operator="lessThan">
      <formula>0</formula>
    </cfRule>
  </conditionalFormatting>
  <conditionalFormatting sqref="W78">
    <cfRule type="cellIs" dxfId="1067" priority="2097" operator="lessThan">
      <formula>0</formula>
    </cfRule>
  </conditionalFormatting>
  <conditionalFormatting sqref="W81">
    <cfRule type="cellIs" dxfId="1066" priority="2096" operator="lessThan">
      <formula>0</formula>
    </cfRule>
  </conditionalFormatting>
  <conditionalFormatting sqref="W80">
    <cfRule type="cellIs" dxfId="1065" priority="2095" operator="lessThan">
      <formula>0</formula>
    </cfRule>
  </conditionalFormatting>
  <conditionalFormatting sqref="W83">
    <cfRule type="cellIs" dxfId="1064" priority="2094" operator="lessThan">
      <formula>0</formula>
    </cfRule>
  </conditionalFormatting>
  <conditionalFormatting sqref="W82">
    <cfRule type="cellIs" dxfId="1063" priority="2093" operator="lessThan">
      <formula>0</formula>
    </cfRule>
  </conditionalFormatting>
  <conditionalFormatting sqref="W85">
    <cfRule type="cellIs" dxfId="1062" priority="2092" operator="lessThan">
      <formula>0</formula>
    </cfRule>
  </conditionalFormatting>
  <conditionalFormatting sqref="W84">
    <cfRule type="cellIs" dxfId="1061" priority="2091" operator="lessThan">
      <formula>0</formula>
    </cfRule>
  </conditionalFormatting>
  <conditionalFormatting sqref="W87">
    <cfRule type="cellIs" dxfId="1060" priority="2090" operator="lessThan">
      <formula>0</formula>
    </cfRule>
  </conditionalFormatting>
  <conditionalFormatting sqref="W86">
    <cfRule type="cellIs" dxfId="1059" priority="2089" operator="lessThan">
      <formula>0</formula>
    </cfRule>
  </conditionalFormatting>
  <conditionalFormatting sqref="W89">
    <cfRule type="cellIs" dxfId="1058" priority="2088" operator="lessThan">
      <formula>0</formula>
    </cfRule>
  </conditionalFormatting>
  <conditionalFormatting sqref="W88">
    <cfRule type="cellIs" dxfId="1057" priority="2087" operator="lessThan">
      <formula>0</formula>
    </cfRule>
  </conditionalFormatting>
  <conditionalFormatting sqref="W91">
    <cfRule type="cellIs" dxfId="1056" priority="2086" operator="lessThan">
      <formula>0</formula>
    </cfRule>
  </conditionalFormatting>
  <conditionalFormatting sqref="W90">
    <cfRule type="cellIs" dxfId="1055" priority="2085" operator="lessThan">
      <formula>0</formula>
    </cfRule>
  </conditionalFormatting>
  <conditionalFormatting sqref="W93">
    <cfRule type="cellIs" dxfId="1054" priority="2084" operator="lessThan">
      <formula>0</formula>
    </cfRule>
  </conditionalFormatting>
  <conditionalFormatting sqref="W92">
    <cfRule type="cellIs" dxfId="1053" priority="2083" operator="lessThan">
      <formula>0</formula>
    </cfRule>
  </conditionalFormatting>
  <conditionalFormatting sqref="W95">
    <cfRule type="cellIs" dxfId="1052" priority="2082" operator="lessThan">
      <formula>0</formula>
    </cfRule>
  </conditionalFormatting>
  <conditionalFormatting sqref="W94">
    <cfRule type="cellIs" dxfId="1051" priority="2081" operator="lessThan">
      <formula>0</formula>
    </cfRule>
  </conditionalFormatting>
  <conditionalFormatting sqref="W97">
    <cfRule type="cellIs" dxfId="1050" priority="2080" operator="lessThan">
      <formula>0</formula>
    </cfRule>
  </conditionalFormatting>
  <conditionalFormatting sqref="W96">
    <cfRule type="cellIs" dxfId="1049" priority="2079" operator="lessThan">
      <formula>0</formula>
    </cfRule>
  </conditionalFormatting>
  <conditionalFormatting sqref="W99">
    <cfRule type="cellIs" dxfId="1048" priority="2078" operator="lessThan">
      <formula>0</formula>
    </cfRule>
  </conditionalFormatting>
  <conditionalFormatting sqref="W98">
    <cfRule type="cellIs" dxfId="1047" priority="2077" operator="lessThan">
      <formula>0</formula>
    </cfRule>
  </conditionalFormatting>
  <conditionalFormatting sqref="W101">
    <cfRule type="cellIs" dxfId="1046" priority="2076" operator="lessThan">
      <formula>0</formula>
    </cfRule>
  </conditionalFormatting>
  <conditionalFormatting sqref="W100">
    <cfRule type="cellIs" dxfId="1045" priority="2075" operator="lessThan">
      <formula>0</formula>
    </cfRule>
  </conditionalFormatting>
  <conditionalFormatting sqref="W103">
    <cfRule type="cellIs" dxfId="1044" priority="2074" operator="lessThan">
      <formula>0</formula>
    </cfRule>
  </conditionalFormatting>
  <conditionalFormatting sqref="W102">
    <cfRule type="cellIs" dxfId="1043" priority="2073" operator="lessThan">
      <formula>0</formula>
    </cfRule>
  </conditionalFormatting>
  <conditionalFormatting sqref="W105">
    <cfRule type="cellIs" dxfId="1042" priority="2072" operator="lessThan">
      <formula>0</formula>
    </cfRule>
  </conditionalFormatting>
  <conditionalFormatting sqref="W104">
    <cfRule type="cellIs" dxfId="1041" priority="2071" operator="lessThan">
      <formula>0</formula>
    </cfRule>
  </conditionalFormatting>
  <conditionalFormatting sqref="W107">
    <cfRule type="cellIs" dxfId="1040" priority="2070" operator="lessThan">
      <formula>0</formula>
    </cfRule>
  </conditionalFormatting>
  <conditionalFormatting sqref="W106">
    <cfRule type="cellIs" dxfId="1039" priority="2069" operator="lessThan">
      <formula>0</formula>
    </cfRule>
  </conditionalFormatting>
  <conditionalFormatting sqref="W109">
    <cfRule type="cellIs" dxfId="1038" priority="2068" operator="lessThan">
      <formula>0</formula>
    </cfRule>
  </conditionalFormatting>
  <conditionalFormatting sqref="W108">
    <cfRule type="cellIs" dxfId="1037" priority="2067" operator="lessThan">
      <formula>0</formula>
    </cfRule>
  </conditionalFormatting>
  <conditionalFormatting sqref="W111">
    <cfRule type="cellIs" dxfId="1036" priority="2066" operator="lessThan">
      <formula>0</formula>
    </cfRule>
  </conditionalFormatting>
  <conditionalFormatting sqref="W110">
    <cfRule type="cellIs" dxfId="1035" priority="2065" operator="lessThan">
      <formula>0</formula>
    </cfRule>
  </conditionalFormatting>
  <conditionalFormatting sqref="W113">
    <cfRule type="cellIs" dxfId="1034" priority="2064" operator="lessThan">
      <formula>0</formula>
    </cfRule>
  </conditionalFormatting>
  <conditionalFormatting sqref="W112">
    <cfRule type="cellIs" dxfId="1033" priority="2063" operator="lessThan">
      <formula>0</formula>
    </cfRule>
  </conditionalFormatting>
  <conditionalFormatting sqref="W115">
    <cfRule type="cellIs" dxfId="1032" priority="2062" operator="lessThan">
      <formula>0</formula>
    </cfRule>
  </conditionalFormatting>
  <conditionalFormatting sqref="W114">
    <cfRule type="cellIs" dxfId="1031" priority="2061" operator="lessThan">
      <formula>0</formula>
    </cfRule>
  </conditionalFormatting>
  <conditionalFormatting sqref="W117">
    <cfRule type="cellIs" dxfId="1030" priority="2060" operator="lessThan">
      <formula>0</formula>
    </cfRule>
  </conditionalFormatting>
  <conditionalFormatting sqref="W116">
    <cfRule type="cellIs" dxfId="1029" priority="2059" operator="lessThan">
      <formula>0</formula>
    </cfRule>
  </conditionalFormatting>
  <conditionalFormatting sqref="W119">
    <cfRule type="cellIs" dxfId="1028" priority="2058" operator="lessThan">
      <formula>0</formula>
    </cfRule>
  </conditionalFormatting>
  <conditionalFormatting sqref="W118">
    <cfRule type="cellIs" dxfId="1027" priority="2057" operator="lessThan">
      <formula>0</formula>
    </cfRule>
  </conditionalFormatting>
  <conditionalFormatting sqref="W121">
    <cfRule type="cellIs" dxfId="1026" priority="2056" operator="lessThan">
      <formula>0</formula>
    </cfRule>
  </conditionalFormatting>
  <conditionalFormatting sqref="W120">
    <cfRule type="cellIs" dxfId="1025" priority="2055" operator="lessThan">
      <formula>0</formula>
    </cfRule>
  </conditionalFormatting>
  <conditionalFormatting sqref="W123">
    <cfRule type="cellIs" dxfId="1024" priority="2054" operator="lessThan">
      <formula>0</formula>
    </cfRule>
  </conditionalFormatting>
  <conditionalFormatting sqref="W122">
    <cfRule type="cellIs" dxfId="1023" priority="2053" operator="lessThan">
      <formula>0</formula>
    </cfRule>
  </conditionalFormatting>
  <conditionalFormatting sqref="W125">
    <cfRule type="cellIs" dxfId="1022" priority="2052" operator="lessThan">
      <formula>0</formula>
    </cfRule>
  </conditionalFormatting>
  <conditionalFormatting sqref="W124">
    <cfRule type="cellIs" dxfId="1021" priority="2051" operator="lessThan">
      <formula>0</formula>
    </cfRule>
  </conditionalFormatting>
  <conditionalFormatting sqref="W127">
    <cfRule type="cellIs" dxfId="1020" priority="2050" operator="lessThan">
      <formula>0</formula>
    </cfRule>
  </conditionalFormatting>
  <conditionalFormatting sqref="W126">
    <cfRule type="cellIs" dxfId="1019" priority="2049" operator="lessThan">
      <formula>0</formula>
    </cfRule>
  </conditionalFormatting>
  <conditionalFormatting sqref="W129">
    <cfRule type="cellIs" dxfId="1018" priority="2048" operator="lessThan">
      <formula>0</formula>
    </cfRule>
  </conditionalFormatting>
  <conditionalFormatting sqref="W128">
    <cfRule type="cellIs" dxfId="1017" priority="2047" operator="lessThan">
      <formula>0</formula>
    </cfRule>
  </conditionalFormatting>
  <conditionalFormatting sqref="W131">
    <cfRule type="cellIs" dxfId="1016" priority="2046" operator="lessThan">
      <formula>0</formula>
    </cfRule>
  </conditionalFormatting>
  <conditionalFormatting sqref="W130">
    <cfRule type="cellIs" dxfId="1015" priority="2045" operator="lessThan">
      <formula>0</formula>
    </cfRule>
  </conditionalFormatting>
  <conditionalFormatting sqref="W133">
    <cfRule type="cellIs" dxfId="1014" priority="2044" operator="lessThan">
      <formula>0</formula>
    </cfRule>
  </conditionalFormatting>
  <conditionalFormatting sqref="W132">
    <cfRule type="cellIs" dxfId="1013" priority="2043" operator="lessThan">
      <formula>0</formula>
    </cfRule>
  </conditionalFormatting>
  <conditionalFormatting sqref="W135">
    <cfRule type="cellIs" dxfId="1012" priority="2042" operator="lessThan">
      <formula>0</formula>
    </cfRule>
  </conditionalFormatting>
  <conditionalFormatting sqref="W134">
    <cfRule type="cellIs" dxfId="1011" priority="2041" operator="lessThan">
      <formula>0</formula>
    </cfRule>
  </conditionalFormatting>
  <conditionalFormatting sqref="W19">
    <cfRule type="cellIs" dxfId="1010" priority="2028" operator="lessThan">
      <formula>0</formula>
    </cfRule>
  </conditionalFormatting>
  <conditionalFormatting sqref="W18">
    <cfRule type="cellIs" dxfId="1009" priority="2027" operator="lessThan">
      <formula>0</formula>
    </cfRule>
  </conditionalFormatting>
  <conditionalFormatting sqref="W21">
    <cfRule type="cellIs" dxfId="1008" priority="2026" operator="lessThan">
      <formula>0</formula>
    </cfRule>
  </conditionalFormatting>
  <conditionalFormatting sqref="W20">
    <cfRule type="cellIs" dxfId="1007" priority="2025" operator="lessThan">
      <formula>0</formula>
    </cfRule>
  </conditionalFormatting>
  <conditionalFormatting sqref="W11 W15">
    <cfRule type="cellIs" dxfId="1006" priority="2024" operator="lessThan">
      <formula>0</formula>
    </cfRule>
  </conditionalFormatting>
  <conditionalFormatting sqref="W10 W14">
    <cfRule type="cellIs" dxfId="1005" priority="2023" operator="lessThan">
      <formula>0</formula>
    </cfRule>
  </conditionalFormatting>
  <conditionalFormatting sqref="W13 W17">
    <cfRule type="cellIs" dxfId="1004" priority="2022" operator="lessThan">
      <formula>0</formula>
    </cfRule>
  </conditionalFormatting>
  <conditionalFormatting sqref="W12 W16">
    <cfRule type="cellIs" dxfId="1003" priority="2021" operator="lessThan">
      <formula>0</formula>
    </cfRule>
  </conditionalFormatting>
  <conditionalFormatting sqref="Z10 Z14 Z18 Z22">
    <cfRule type="cellIs" dxfId="1002" priority="1791" operator="equal">
      <formula>0</formula>
    </cfRule>
  </conditionalFormatting>
  <conditionalFormatting sqref="Z11 Z15 Z19 Z23">
    <cfRule type="cellIs" dxfId="1001" priority="1790" operator="equal">
      <formula>0</formula>
    </cfRule>
  </conditionalFormatting>
  <conditionalFormatting sqref="Z12 Z16 Z20 Z24">
    <cfRule type="cellIs" dxfId="1000" priority="1789" operator="equal">
      <formula>0</formula>
    </cfRule>
  </conditionalFormatting>
  <conditionalFormatting sqref="Z13 Z17 Z21 Z25">
    <cfRule type="cellIs" dxfId="999" priority="1788" operator="equal">
      <formula>0</formula>
    </cfRule>
  </conditionalFormatting>
  <conditionalFormatting sqref="A52:A53">
    <cfRule type="expression" dxfId="998" priority="1741">
      <formula>V52&lt;&gt;0</formula>
    </cfRule>
  </conditionalFormatting>
  <conditionalFormatting sqref="A54:A55">
    <cfRule type="expression" dxfId="997" priority="1743">
      <formula>V54&lt;&gt;0</formula>
    </cfRule>
  </conditionalFormatting>
  <conditionalFormatting sqref="A56:A57">
    <cfRule type="expression" dxfId="996" priority="1742">
      <formula>V56&lt;&gt;0</formula>
    </cfRule>
  </conditionalFormatting>
  <conditionalFormatting sqref="A58:A59">
    <cfRule type="expression" dxfId="995" priority="1738">
      <formula>V58&lt;&gt;0</formula>
    </cfRule>
  </conditionalFormatting>
  <conditionalFormatting sqref="A60:A61">
    <cfRule type="expression" dxfId="994" priority="1740">
      <formula>V60&lt;&gt;0</formula>
    </cfRule>
  </conditionalFormatting>
  <conditionalFormatting sqref="A62:A63">
    <cfRule type="expression" dxfId="993" priority="1739">
      <formula>V62&lt;&gt;0</formula>
    </cfRule>
  </conditionalFormatting>
  <conditionalFormatting sqref="A64:A65">
    <cfRule type="expression" dxfId="992" priority="1735">
      <formula>V64&lt;&gt;0</formula>
    </cfRule>
  </conditionalFormatting>
  <conditionalFormatting sqref="A66:A67">
    <cfRule type="expression" dxfId="991" priority="1737">
      <formula>V66&lt;&gt;0</formula>
    </cfRule>
  </conditionalFormatting>
  <conditionalFormatting sqref="A68:A69">
    <cfRule type="expression" dxfId="990" priority="1736">
      <formula>V68&lt;&gt;0</formula>
    </cfRule>
  </conditionalFormatting>
  <conditionalFormatting sqref="A70:A71">
    <cfRule type="expression" dxfId="989" priority="1732">
      <formula>V70&lt;&gt;0</formula>
    </cfRule>
  </conditionalFormatting>
  <conditionalFormatting sqref="A72:A73">
    <cfRule type="expression" dxfId="988" priority="1734">
      <formula>V72&lt;&gt;0</formula>
    </cfRule>
  </conditionalFormatting>
  <conditionalFormatting sqref="A74:A75">
    <cfRule type="expression" dxfId="987" priority="1733">
      <formula>V74&lt;&gt;0</formula>
    </cfRule>
  </conditionalFormatting>
  <conditionalFormatting sqref="A76:A77">
    <cfRule type="expression" dxfId="986" priority="1729">
      <formula>V76&lt;&gt;0</formula>
    </cfRule>
  </conditionalFormatting>
  <conditionalFormatting sqref="A78:A79">
    <cfRule type="expression" dxfId="985" priority="1731">
      <formula>V78&lt;&gt;0</formula>
    </cfRule>
  </conditionalFormatting>
  <conditionalFormatting sqref="A80:A81">
    <cfRule type="expression" dxfId="984" priority="1730">
      <formula>V80&lt;&gt;0</formula>
    </cfRule>
  </conditionalFormatting>
  <conditionalFormatting sqref="A82:A83">
    <cfRule type="expression" dxfId="983" priority="1726">
      <formula>V82&lt;&gt;0</formula>
    </cfRule>
  </conditionalFormatting>
  <conditionalFormatting sqref="A84:A85">
    <cfRule type="expression" dxfId="982" priority="1728">
      <formula>V84&lt;&gt;0</formula>
    </cfRule>
  </conditionalFormatting>
  <conditionalFormatting sqref="A86:A87">
    <cfRule type="expression" dxfId="981" priority="1727">
      <formula>V86&lt;&gt;0</formula>
    </cfRule>
  </conditionalFormatting>
  <conditionalFormatting sqref="A88:A89">
    <cfRule type="expression" dxfId="980" priority="1723">
      <formula>V88&lt;&gt;0</formula>
    </cfRule>
  </conditionalFormatting>
  <conditionalFormatting sqref="A90:A91">
    <cfRule type="expression" dxfId="979" priority="1725">
      <formula>V90&lt;&gt;0</formula>
    </cfRule>
  </conditionalFormatting>
  <conditionalFormatting sqref="A92:A93">
    <cfRule type="expression" dxfId="978" priority="1724">
      <formula>V92&lt;&gt;0</formula>
    </cfRule>
  </conditionalFormatting>
  <conditionalFormatting sqref="A94:A95">
    <cfRule type="expression" dxfId="977" priority="1720">
      <formula>V94&lt;&gt;0</formula>
    </cfRule>
  </conditionalFormatting>
  <conditionalFormatting sqref="A96:A97">
    <cfRule type="expression" dxfId="976" priority="1722">
      <formula>V96&lt;&gt;0</formula>
    </cfRule>
  </conditionalFormatting>
  <conditionalFormatting sqref="A98:A99">
    <cfRule type="expression" dxfId="975" priority="1721">
      <formula>V98&lt;&gt;0</formula>
    </cfRule>
  </conditionalFormatting>
  <conditionalFormatting sqref="A100:A101">
    <cfRule type="expression" dxfId="974" priority="1717">
      <formula>V100&lt;&gt;0</formula>
    </cfRule>
  </conditionalFormatting>
  <conditionalFormatting sqref="A102:A103">
    <cfRule type="expression" dxfId="973" priority="1719">
      <formula>V102&lt;&gt;0</formula>
    </cfRule>
  </conditionalFormatting>
  <conditionalFormatting sqref="A104:A105">
    <cfRule type="expression" dxfId="972" priority="1718">
      <formula>V104&lt;&gt;0</formula>
    </cfRule>
  </conditionalFormatting>
  <conditionalFormatting sqref="A106:A107">
    <cfRule type="expression" dxfId="971" priority="1714">
      <formula>V106&lt;&gt;0</formula>
    </cfRule>
  </conditionalFormatting>
  <conditionalFormatting sqref="A108:A109">
    <cfRule type="expression" dxfId="970" priority="1716">
      <formula>V108&lt;&gt;0</formula>
    </cfRule>
  </conditionalFormatting>
  <conditionalFormatting sqref="A110:A111">
    <cfRule type="expression" dxfId="969" priority="1715">
      <formula>V110&lt;&gt;0</formula>
    </cfRule>
  </conditionalFormatting>
  <conditionalFormatting sqref="A112:A113">
    <cfRule type="expression" dxfId="968" priority="1711">
      <formula>V112&lt;&gt;0</formula>
    </cfRule>
  </conditionalFormatting>
  <conditionalFormatting sqref="A114:A115">
    <cfRule type="expression" dxfId="967" priority="1713">
      <formula>V114&lt;&gt;0</formula>
    </cfRule>
  </conditionalFormatting>
  <conditionalFormatting sqref="A116:A117">
    <cfRule type="expression" dxfId="966" priority="1712">
      <formula>V116&lt;&gt;0</formula>
    </cfRule>
  </conditionalFormatting>
  <conditionalFormatting sqref="A118:A119">
    <cfRule type="expression" dxfId="965" priority="1708">
      <formula>V118&lt;&gt;0</formula>
    </cfRule>
  </conditionalFormatting>
  <conditionalFormatting sqref="A120:A121">
    <cfRule type="expression" dxfId="964" priority="1710">
      <formula>V120&lt;&gt;0</formula>
    </cfRule>
  </conditionalFormatting>
  <conditionalFormatting sqref="A122:A123">
    <cfRule type="expression" dxfId="963" priority="1709">
      <formula>V122&lt;&gt;0</formula>
    </cfRule>
  </conditionalFormatting>
  <conditionalFormatting sqref="A124:A125">
    <cfRule type="expression" dxfId="962" priority="1705">
      <formula>V124&lt;&gt;0</formula>
    </cfRule>
  </conditionalFormatting>
  <conditionalFormatting sqref="A126:A127">
    <cfRule type="expression" dxfId="961" priority="1707">
      <formula>V126&lt;&gt;0</formula>
    </cfRule>
  </conditionalFormatting>
  <conditionalFormatting sqref="A128:A129">
    <cfRule type="expression" dxfId="960" priority="1706">
      <formula>V128&lt;&gt;0</formula>
    </cfRule>
  </conditionalFormatting>
  <conditionalFormatting sqref="A130:A131">
    <cfRule type="expression" dxfId="959" priority="1702">
      <formula>V130&lt;&gt;0</formula>
    </cfRule>
  </conditionalFormatting>
  <conditionalFormatting sqref="A132:A133">
    <cfRule type="expression" dxfId="958" priority="1704">
      <formula>V132&lt;&gt;0</formula>
    </cfRule>
  </conditionalFormatting>
  <conditionalFormatting sqref="A134:A135">
    <cfRule type="expression" dxfId="957" priority="1703">
      <formula>V134&lt;&gt;0</formula>
    </cfRule>
  </conditionalFormatting>
  <conditionalFormatting sqref="A136:A137">
    <cfRule type="expression" dxfId="956" priority="1699">
      <formula>V136&lt;&gt;0</formula>
    </cfRule>
  </conditionalFormatting>
  <conditionalFormatting sqref="A138:A139">
    <cfRule type="expression" dxfId="955" priority="1701">
      <formula>V138&lt;&gt;0</formula>
    </cfRule>
  </conditionalFormatting>
  <conditionalFormatting sqref="A140:A141">
    <cfRule type="expression" dxfId="954" priority="1700">
      <formula>V140&lt;&gt;0</formula>
    </cfRule>
  </conditionalFormatting>
  <conditionalFormatting sqref="AA50 AA56 AA62 AA68 AA74 AA80 AA86 AA92 AA98 AA104 AA110 AA116 AA122 AA128 AA134 AA140">
    <cfRule type="colorScale" priority="1668">
      <colorScale>
        <cfvo type="min"/>
        <cfvo type="max"/>
        <color rgb="FFFCFCFF"/>
        <color rgb="FF63BE7B"/>
      </colorScale>
    </cfRule>
  </conditionalFormatting>
  <conditionalFormatting sqref="Z49">
    <cfRule type="cellIs" dxfId="953" priority="1170" operator="lessThan">
      <formula>Z48</formula>
    </cfRule>
    <cfRule type="cellIs" dxfId="952" priority="1296" operator="equal">
      <formula>0</formula>
    </cfRule>
    <cfRule type="cellIs" dxfId="951" priority="1481" operator="lessThan">
      <formula>$Z48</formula>
    </cfRule>
    <cfRule type="cellIs" dxfId="950" priority="1605" operator="equal">
      <formula>0</formula>
    </cfRule>
  </conditionalFormatting>
  <conditionalFormatting sqref="Z51">
    <cfRule type="cellIs" dxfId="949" priority="1479" operator="lessThan">
      <formula>$Z50</formula>
    </cfRule>
    <cfRule type="cellIs" dxfId="948" priority="1603" operator="equal">
      <formula>0</formula>
    </cfRule>
  </conditionalFormatting>
  <conditionalFormatting sqref="Z57">
    <cfRule type="cellIs" dxfId="947" priority="1467" operator="lessThan">
      <formula>$Z56</formula>
    </cfRule>
    <cfRule type="cellIs" dxfId="946" priority="1471" operator="equal">
      <formula>0</formula>
    </cfRule>
  </conditionalFormatting>
  <conditionalFormatting sqref="Z63">
    <cfRule type="cellIs" dxfId="945" priority="1455" operator="lessThan">
      <formula>$Z62</formula>
    </cfRule>
    <cfRule type="cellIs" dxfId="944" priority="1459" operator="equal">
      <formula>0</formula>
    </cfRule>
  </conditionalFormatting>
  <conditionalFormatting sqref="Z69">
    <cfRule type="cellIs" dxfId="943" priority="1443" operator="lessThan">
      <formula>$Z68</formula>
    </cfRule>
    <cfRule type="cellIs" dxfId="942" priority="1447" operator="equal">
      <formula>0</formula>
    </cfRule>
  </conditionalFormatting>
  <conditionalFormatting sqref="Z75">
    <cfRule type="cellIs" dxfId="941" priority="1431" operator="lessThan">
      <formula>$Z74</formula>
    </cfRule>
    <cfRule type="cellIs" dxfId="940" priority="1435" operator="equal">
      <formula>0</formula>
    </cfRule>
  </conditionalFormatting>
  <conditionalFormatting sqref="Z81">
    <cfRule type="cellIs" dxfId="939" priority="1419" operator="lessThan">
      <formula>$Z80</formula>
    </cfRule>
    <cfRule type="cellIs" dxfId="938" priority="1423" operator="equal">
      <formula>0</formula>
    </cfRule>
  </conditionalFormatting>
  <conditionalFormatting sqref="Z87">
    <cfRule type="cellIs" dxfId="937" priority="1407" operator="lessThan">
      <formula>$Z86</formula>
    </cfRule>
    <cfRule type="cellIs" dxfId="936" priority="1411" operator="equal">
      <formula>0</formula>
    </cfRule>
  </conditionalFormatting>
  <conditionalFormatting sqref="Z93">
    <cfRule type="cellIs" dxfId="935" priority="1395" operator="lessThan">
      <formula>$Z92</formula>
    </cfRule>
    <cfRule type="cellIs" dxfId="934" priority="1399" operator="equal">
      <formula>0</formula>
    </cfRule>
  </conditionalFormatting>
  <conditionalFormatting sqref="Z99">
    <cfRule type="cellIs" dxfId="933" priority="1383" operator="lessThan">
      <formula>$Z98</formula>
    </cfRule>
    <cfRule type="cellIs" dxfId="932" priority="1387" operator="equal">
      <formula>0</formula>
    </cfRule>
  </conditionalFormatting>
  <conditionalFormatting sqref="Z105">
    <cfRule type="cellIs" dxfId="931" priority="1371" operator="lessThan">
      <formula>$Z104</formula>
    </cfRule>
    <cfRule type="cellIs" dxfId="930" priority="1375" operator="equal">
      <formula>0</formula>
    </cfRule>
  </conditionalFormatting>
  <conditionalFormatting sqref="Z111">
    <cfRule type="cellIs" dxfId="929" priority="1359" operator="lessThan">
      <formula>$Z110</formula>
    </cfRule>
    <cfRule type="cellIs" dxfId="928" priority="1363" operator="equal">
      <formula>0</formula>
    </cfRule>
  </conditionalFormatting>
  <conditionalFormatting sqref="Z117">
    <cfRule type="cellIs" dxfId="927" priority="1347" operator="lessThan">
      <formula>$Z116</formula>
    </cfRule>
    <cfRule type="cellIs" dxfId="926" priority="1351" operator="equal">
      <formula>0</formula>
    </cfRule>
  </conditionalFormatting>
  <conditionalFormatting sqref="Z123">
    <cfRule type="cellIs" dxfId="925" priority="1335" operator="lessThan">
      <formula>$Z122</formula>
    </cfRule>
    <cfRule type="cellIs" dxfId="924" priority="1339" operator="equal">
      <formula>0</formula>
    </cfRule>
  </conditionalFormatting>
  <conditionalFormatting sqref="Z129">
    <cfRule type="cellIs" dxfId="923" priority="1323" operator="lessThan">
      <formula>$Z128</formula>
    </cfRule>
    <cfRule type="cellIs" dxfId="922" priority="1327" operator="equal">
      <formula>0</formula>
    </cfRule>
  </conditionalFormatting>
  <conditionalFormatting sqref="Z135">
    <cfRule type="cellIs" dxfId="921" priority="1311" operator="lessThan">
      <formula>$Z134</formula>
    </cfRule>
    <cfRule type="cellIs" dxfId="920" priority="1315" operator="equal">
      <formula>0</formula>
    </cfRule>
  </conditionalFormatting>
  <conditionalFormatting sqref="Z141">
    <cfRule type="cellIs" dxfId="919" priority="1299" operator="lessThan">
      <formula>$Z140</formula>
    </cfRule>
    <cfRule type="cellIs" dxfId="918" priority="1303" operator="equal">
      <formula>0</formula>
    </cfRule>
  </conditionalFormatting>
  <conditionalFormatting sqref="Z48">
    <cfRule type="cellIs" dxfId="917" priority="1171" operator="lessThan">
      <formula>Z49</formula>
    </cfRule>
    <cfRule type="cellIs" dxfId="916" priority="1297" operator="equal">
      <formula>0</formula>
    </cfRule>
  </conditionalFormatting>
  <conditionalFormatting sqref="Z97">
    <cfRule type="cellIs" dxfId="915" priority="1232" operator="equal">
      <formula>0</formula>
    </cfRule>
    <cfRule type="cellIs" dxfId="914" priority="1234" operator="lessThan">
      <formula>$Z96</formula>
    </cfRule>
    <cfRule type="cellIs" dxfId="913" priority="1235" operator="equal">
      <formula>0</formula>
    </cfRule>
  </conditionalFormatting>
  <conditionalFormatting sqref="Z96">
    <cfRule type="cellIs" dxfId="912" priority="1233" operator="equal">
      <formula>0</formula>
    </cfRule>
  </conditionalFormatting>
  <conditionalFormatting sqref="Z103">
    <cfRule type="cellIs" dxfId="911" priority="1224" operator="equal">
      <formula>0</formula>
    </cfRule>
    <cfRule type="cellIs" dxfId="910" priority="1226" operator="lessThan">
      <formula>$Z102</formula>
    </cfRule>
    <cfRule type="cellIs" dxfId="909" priority="1227" operator="equal">
      <formula>0</formula>
    </cfRule>
  </conditionalFormatting>
  <conditionalFormatting sqref="Z102">
    <cfRule type="cellIs" dxfId="908" priority="1225" operator="equal">
      <formula>0</formula>
    </cfRule>
  </conditionalFormatting>
  <conditionalFormatting sqref="Z109">
    <cfRule type="cellIs" dxfId="907" priority="1216" operator="equal">
      <formula>0</formula>
    </cfRule>
    <cfRule type="cellIs" dxfId="906" priority="1218" operator="lessThan">
      <formula>$Z108</formula>
    </cfRule>
    <cfRule type="cellIs" dxfId="905" priority="1219" operator="equal">
      <formula>0</formula>
    </cfRule>
  </conditionalFormatting>
  <conditionalFormatting sqref="Z108">
    <cfRule type="cellIs" dxfId="904" priority="1217" operator="equal">
      <formula>0</formula>
    </cfRule>
  </conditionalFormatting>
  <conditionalFormatting sqref="Z115">
    <cfRule type="cellIs" dxfId="903" priority="1208" operator="equal">
      <formula>0</formula>
    </cfRule>
    <cfRule type="cellIs" dxfId="902" priority="1210" operator="lessThan">
      <formula>$Z114</formula>
    </cfRule>
    <cfRule type="cellIs" dxfId="901" priority="1211" operator="equal">
      <formula>0</formula>
    </cfRule>
  </conditionalFormatting>
  <conditionalFormatting sqref="Z114">
    <cfRule type="cellIs" dxfId="900" priority="1209" operator="equal">
      <formula>0</formula>
    </cfRule>
  </conditionalFormatting>
  <conditionalFormatting sqref="Z121">
    <cfRule type="cellIs" dxfId="899" priority="1200" operator="equal">
      <formula>0</formula>
    </cfRule>
    <cfRule type="cellIs" dxfId="898" priority="1202" operator="lessThan">
      <formula>$Z120</formula>
    </cfRule>
    <cfRule type="cellIs" dxfId="897" priority="1203" operator="equal">
      <formula>0</formula>
    </cfRule>
  </conditionalFormatting>
  <conditionalFormatting sqref="Z120">
    <cfRule type="cellIs" dxfId="896" priority="1201" operator="equal">
      <formula>0</formula>
    </cfRule>
  </conditionalFormatting>
  <conditionalFormatting sqref="Z127">
    <cfRule type="cellIs" dxfId="895" priority="1192" operator="equal">
      <formula>0</formula>
    </cfRule>
    <cfRule type="cellIs" dxfId="894" priority="1194" operator="lessThan">
      <formula>$Z126</formula>
    </cfRule>
    <cfRule type="cellIs" dxfId="893" priority="1195" operator="equal">
      <formula>0</formula>
    </cfRule>
  </conditionalFormatting>
  <conditionalFormatting sqref="Z126">
    <cfRule type="cellIs" dxfId="892" priority="1193" operator="equal">
      <formula>0</formula>
    </cfRule>
  </conditionalFormatting>
  <conditionalFormatting sqref="Z133">
    <cfRule type="cellIs" dxfId="891" priority="1184" operator="equal">
      <formula>0</formula>
    </cfRule>
    <cfRule type="cellIs" dxfId="890" priority="1186" operator="lessThan">
      <formula>$Z132</formula>
    </cfRule>
    <cfRule type="cellIs" dxfId="889" priority="1187" operator="equal">
      <formula>0</formula>
    </cfRule>
  </conditionalFormatting>
  <conditionalFormatting sqref="Z132">
    <cfRule type="cellIs" dxfId="888" priority="1185" operator="equal">
      <formula>0</formula>
    </cfRule>
  </conditionalFormatting>
  <conditionalFormatting sqref="Z139">
    <cfRule type="cellIs" dxfId="887" priority="1176" operator="equal">
      <formula>0</formula>
    </cfRule>
    <cfRule type="cellIs" dxfId="886" priority="1178" operator="lessThan">
      <formula>$Z138</formula>
    </cfRule>
    <cfRule type="cellIs" dxfId="885" priority="1179" operator="equal">
      <formula>0</formula>
    </cfRule>
  </conditionalFormatting>
  <conditionalFormatting sqref="Z138">
    <cfRule type="cellIs" dxfId="884" priority="1177" operator="equal">
      <formula>0</formula>
    </cfRule>
  </conditionalFormatting>
  <conditionalFormatting sqref="Z50 Z56 Z62 Z68 Z74 Z80 Z86 Z92 Z98 Z104 Z110 Z116 Z122 Z128 Z134 Z140">
    <cfRule type="colorScale" priority="1175">
      <colorScale>
        <cfvo type="min"/>
        <cfvo type="percentile" val="50"/>
        <cfvo type="max"/>
        <color rgb="FF63BE7B"/>
        <color rgb="FFFFEB84"/>
        <color rgb="FFF8696B"/>
      </colorScale>
    </cfRule>
  </conditionalFormatting>
  <conditionalFormatting sqref="Z47">
    <cfRule type="cellIs" dxfId="883" priority="1172" operator="equal">
      <formula>0</formula>
    </cfRule>
    <cfRule type="cellIs" dxfId="882" priority="1173" operator="lessThan">
      <formula>$Z46</formula>
    </cfRule>
    <cfRule type="cellIs" dxfId="881" priority="1174" operator="equal">
      <formula>0</formula>
    </cfRule>
  </conditionalFormatting>
  <conditionalFormatting sqref="Z95">
    <cfRule type="cellIs" dxfId="880" priority="1114" operator="equal">
      <formula>0</formula>
    </cfRule>
    <cfRule type="cellIs" dxfId="879" priority="1115" operator="lessThan">
      <formula>$Z94</formula>
    </cfRule>
    <cfRule type="cellIs" dxfId="878" priority="1116" operator="equal">
      <formula>0</formula>
    </cfRule>
  </conditionalFormatting>
  <conditionalFormatting sqref="Z101">
    <cfRule type="cellIs" dxfId="877" priority="1107" operator="equal">
      <formula>0</formula>
    </cfRule>
    <cfRule type="cellIs" dxfId="876" priority="1108" operator="lessThan">
      <formula>$Z100</formula>
    </cfRule>
    <cfRule type="cellIs" dxfId="875" priority="1109" operator="equal">
      <formula>0</formula>
    </cfRule>
  </conditionalFormatting>
  <conditionalFormatting sqref="Z107">
    <cfRule type="cellIs" dxfId="874" priority="1100" operator="equal">
      <formula>0</formula>
    </cfRule>
    <cfRule type="cellIs" dxfId="873" priority="1101" operator="lessThan">
      <formula>$Z106</formula>
    </cfRule>
    <cfRule type="cellIs" dxfId="872" priority="1102" operator="equal">
      <formula>0</formula>
    </cfRule>
  </conditionalFormatting>
  <conditionalFormatting sqref="Z113">
    <cfRule type="cellIs" dxfId="871" priority="1093" operator="equal">
      <formula>0</formula>
    </cfRule>
    <cfRule type="cellIs" dxfId="870" priority="1094" operator="lessThan">
      <formula>$Z112</formula>
    </cfRule>
    <cfRule type="cellIs" dxfId="869" priority="1095" operator="equal">
      <formula>0</formula>
    </cfRule>
  </conditionalFormatting>
  <conditionalFormatting sqref="Z119">
    <cfRule type="cellIs" dxfId="868" priority="1086" operator="equal">
      <formula>0</formula>
    </cfRule>
    <cfRule type="cellIs" dxfId="867" priority="1087" operator="lessThan">
      <formula>$Z118</formula>
    </cfRule>
    <cfRule type="cellIs" dxfId="866" priority="1088" operator="equal">
      <formula>0</formula>
    </cfRule>
  </conditionalFormatting>
  <conditionalFormatting sqref="Z125">
    <cfRule type="cellIs" dxfId="865" priority="1079" operator="equal">
      <formula>0</formula>
    </cfRule>
    <cfRule type="cellIs" dxfId="864" priority="1080" operator="lessThan">
      <formula>$Z124</formula>
    </cfRule>
    <cfRule type="cellIs" dxfId="863" priority="1081" operator="equal">
      <formula>0</formula>
    </cfRule>
  </conditionalFormatting>
  <conditionalFormatting sqref="Z131">
    <cfRule type="cellIs" dxfId="862" priority="1072" operator="equal">
      <formula>0</formula>
    </cfRule>
    <cfRule type="cellIs" dxfId="861" priority="1073" operator="lessThan">
      <formula>$Z130</formula>
    </cfRule>
    <cfRule type="cellIs" dxfId="860" priority="1074" operator="equal">
      <formula>0</formula>
    </cfRule>
  </conditionalFormatting>
  <conditionalFormatting sqref="Z137">
    <cfRule type="cellIs" dxfId="859" priority="1065" operator="equal">
      <formula>0</formula>
    </cfRule>
    <cfRule type="cellIs" dxfId="858" priority="1066" operator="lessThan">
      <formula>$Z136</formula>
    </cfRule>
    <cfRule type="cellIs" dxfId="857" priority="1067" operator="equal">
      <formula>0</formula>
    </cfRule>
  </conditionalFormatting>
  <conditionalFormatting sqref="Z55">
    <cfRule type="cellIs" dxfId="856" priority="1047" operator="lessThan">
      <formula>Z54</formula>
    </cfRule>
    <cfRule type="cellIs" dxfId="855" priority="1052" operator="equal">
      <formula>0</formula>
    </cfRule>
    <cfRule type="cellIs" dxfId="854" priority="1054" operator="lessThan">
      <formula>$Z54</formula>
    </cfRule>
    <cfRule type="cellIs" dxfId="853" priority="1055" operator="equal">
      <formula>0</formula>
    </cfRule>
  </conditionalFormatting>
  <conditionalFormatting sqref="Z54">
    <cfRule type="cellIs" dxfId="852" priority="1048" operator="lessThan">
      <formula>Z55</formula>
    </cfRule>
    <cfRule type="cellIs" dxfId="851" priority="1053" operator="equal">
      <formula>0</formula>
    </cfRule>
  </conditionalFormatting>
  <conditionalFormatting sqref="Z53">
    <cfRule type="cellIs" dxfId="850" priority="1049" operator="equal">
      <formula>0</formula>
    </cfRule>
    <cfRule type="cellIs" dxfId="849" priority="1050" operator="lessThan">
      <formula>$Z52</formula>
    </cfRule>
    <cfRule type="cellIs" dxfId="848" priority="1051" operator="equal">
      <formula>0</formula>
    </cfRule>
  </conditionalFormatting>
  <conditionalFormatting sqref="Z61">
    <cfRule type="cellIs" dxfId="847" priority="1037" operator="lessThan">
      <formula>Z60</formula>
    </cfRule>
    <cfRule type="cellIs" dxfId="846" priority="1042" operator="equal">
      <formula>0</formula>
    </cfRule>
    <cfRule type="cellIs" dxfId="845" priority="1044" operator="lessThan">
      <formula>$Z60</formula>
    </cfRule>
    <cfRule type="cellIs" dxfId="844" priority="1045" operator="equal">
      <formula>0</formula>
    </cfRule>
  </conditionalFormatting>
  <conditionalFormatting sqref="Z60">
    <cfRule type="cellIs" dxfId="843" priority="1038" operator="lessThan">
      <formula>Z61</formula>
    </cfRule>
    <cfRule type="cellIs" dxfId="842" priority="1043" operator="equal">
      <formula>0</formula>
    </cfRule>
  </conditionalFormatting>
  <conditionalFormatting sqref="Z59">
    <cfRule type="cellIs" dxfId="841" priority="1039" operator="equal">
      <formula>0</formula>
    </cfRule>
    <cfRule type="cellIs" dxfId="840" priority="1040" operator="lessThan">
      <formula>$Z58</formula>
    </cfRule>
    <cfRule type="cellIs" dxfId="839" priority="1041" operator="equal">
      <formula>0</formula>
    </cfRule>
  </conditionalFormatting>
  <conditionalFormatting sqref="Z67">
    <cfRule type="cellIs" dxfId="838" priority="1027" operator="lessThan">
      <formula>Z66</formula>
    </cfRule>
    <cfRule type="cellIs" dxfId="837" priority="1032" operator="equal">
      <formula>0</formula>
    </cfRule>
    <cfRule type="cellIs" dxfId="836" priority="1034" operator="lessThan">
      <formula>$Z66</formula>
    </cfRule>
    <cfRule type="cellIs" dxfId="835" priority="1035" operator="equal">
      <formula>0</formula>
    </cfRule>
  </conditionalFormatting>
  <conditionalFormatting sqref="Z66">
    <cfRule type="cellIs" dxfId="834" priority="1028" operator="lessThan">
      <formula>Z67</formula>
    </cfRule>
    <cfRule type="cellIs" dxfId="833" priority="1033" operator="equal">
      <formula>0</formula>
    </cfRule>
  </conditionalFormatting>
  <conditionalFormatting sqref="Z65">
    <cfRule type="cellIs" dxfId="832" priority="1029" operator="equal">
      <formula>0</formula>
    </cfRule>
    <cfRule type="cellIs" dxfId="831" priority="1030" operator="lessThan">
      <formula>$Z64</formula>
    </cfRule>
    <cfRule type="cellIs" dxfId="830" priority="1031" operator="equal">
      <formula>0</formula>
    </cfRule>
  </conditionalFormatting>
  <conditionalFormatting sqref="Z73">
    <cfRule type="cellIs" dxfId="829" priority="1017" operator="lessThan">
      <formula>Z72</formula>
    </cfRule>
    <cfRule type="cellIs" dxfId="828" priority="1022" operator="equal">
      <formula>0</formula>
    </cfRule>
    <cfRule type="cellIs" dxfId="827" priority="1024" operator="lessThan">
      <formula>$Z72</formula>
    </cfRule>
    <cfRule type="cellIs" dxfId="826" priority="1025" operator="equal">
      <formula>0</formula>
    </cfRule>
  </conditionalFormatting>
  <conditionalFormatting sqref="Z72">
    <cfRule type="cellIs" dxfId="825" priority="1018" operator="lessThan">
      <formula>Z73</formula>
    </cfRule>
    <cfRule type="cellIs" dxfId="824" priority="1023" operator="equal">
      <formula>0</formula>
    </cfRule>
  </conditionalFormatting>
  <conditionalFormatting sqref="Z71">
    <cfRule type="cellIs" dxfId="823" priority="1019" operator="equal">
      <formula>0</formula>
    </cfRule>
    <cfRule type="cellIs" dxfId="822" priority="1020" operator="lessThan">
      <formula>$Z70</formula>
    </cfRule>
    <cfRule type="cellIs" dxfId="821" priority="1021" operator="equal">
      <formula>0</formula>
    </cfRule>
  </conditionalFormatting>
  <conditionalFormatting sqref="Z79">
    <cfRule type="cellIs" dxfId="820" priority="1007" operator="lessThan">
      <formula>Z78</formula>
    </cfRule>
    <cfRule type="cellIs" dxfId="819" priority="1012" operator="equal">
      <formula>0</formula>
    </cfRule>
    <cfRule type="cellIs" dxfId="818" priority="1014" operator="lessThan">
      <formula>$Z78</formula>
    </cfRule>
    <cfRule type="cellIs" dxfId="817" priority="1015" operator="equal">
      <formula>0</formula>
    </cfRule>
  </conditionalFormatting>
  <conditionalFormatting sqref="Z78">
    <cfRule type="cellIs" dxfId="816" priority="1008" operator="lessThan">
      <formula>Z79</formula>
    </cfRule>
    <cfRule type="cellIs" dxfId="815" priority="1013" operator="equal">
      <formula>0</formula>
    </cfRule>
  </conditionalFormatting>
  <conditionalFormatting sqref="Z77">
    <cfRule type="cellIs" dxfId="814" priority="1009" operator="equal">
      <formula>0</formula>
    </cfRule>
    <cfRule type="cellIs" dxfId="813" priority="1010" operator="lessThan">
      <formula>$Z76</formula>
    </cfRule>
    <cfRule type="cellIs" dxfId="812" priority="1011" operator="equal">
      <formula>0</formula>
    </cfRule>
  </conditionalFormatting>
  <conditionalFormatting sqref="Z85">
    <cfRule type="cellIs" dxfId="811" priority="997" operator="lessThan">
      <formula>Z84</formula>
    </cfRule>
    <cfRule type="cellIs" dxfId="810" priority="1002" operator="equal">
      <formula>0</formula>
    </cfRule>
    <cfRule type="cellIs" dxfId="809" priority="1004" operator="lessThan">
      <formula>$Z84</formula>
    </cfRule>
    <cfRule type="cellIs" dxfId="808" priority="1005" operator="equal">
      <formula>0</formula>
    </cfRule>
  </conditionalFormatting>
  <conditionalFormatting sqref="Z84">
    <cfRule type="cellIs" dxfId="807" priority="998" operator="lessThan">
      <formula>Z85</formula>
    </cfRule>
    <cfRule type="cellIs" dxfId="806" priority="1003" operator="equal">
      <formula>0</formula>
    </cfRule>
  </conditionalFormatting>
  <conditionalFormatting sqref="Z83">
    <cfRule type="cellIs" dxfId="805" priority="999" operator="equal">
      <formula>0</formula>
    </cfRule>
    <cfRule type="cellIs" dxfId="804" priority="1000" operator="lessThan">
      <formula>$Z82</formula>
    </cfRule>
    <cfRule type="cellIs" dxfId="803" priority="1001" operator="equal">
      <formula>0</formula>
    </cfRule>
  </conditionalFormatting>
  <conditionalFormatting sqref="Z91">
    <cfRule type="cellIs" dxfId="802" priority="987" operator="lessThan">
      <formula>Z90</formula>
    </cfRule>
    <cfRule type="cellIs" dxfId="801" priority="992" operator="equal">
      <formula>0</formula>
    </cfRule>
    <cfRule type="cellIs" dxfId="800" priority="994" operator="lessThan">
      <formula>$Z90</formula>
    </cfRule>
    <cfRule type="cellIs" dxfId="799" priority="995" operator="equal">
      <formula>0</formula>
    </cfRule>
  </conditionalFormatting>
  <conditionalFormatting sqref="Z90">
    <cfRule type="cellIs" dxfId="798" priority="988" operator="lessThan">
      <formula>Z91</formula>
    </cfRule>
    <cfRule type="cellIs" dxfId="797" priority="993" operator="equal">
      <formula>0</formula>
    </cfRule>
  </conditionalFormatting>
  <conditionalFormatting sqref="Z89">
    <cfRule type="cellIs" dxfId="796" priority="989" operator="equal">
      <formula>0</formula>
    </cfRule>
    <cfRule type="cellIs" dxfId="795" priority="990" operator="lessThan">
      <formula>$Z88</formula>
    </cfRule>
    <cfRule type="cellIs" dxfId="794" priority="991" operator="equal">
      <formula>0</formula>
    </cfRule>
  </conditionalFormatting>
  <conditionalFormatting sqref="Z52">
    <cfRule type="cellIs" dxfId="793" priority="985" operator="equal">
      <formula>0</formula>
    </cfRule>
  </conditionalFormatting>
  <conditionalFormatting sqref="Y46:Y47">
    <cfRule type="cellIs" dxfId="792" priority="970" operator="greaterThan">
      <formula>Z46</formula>
    </cfRule>
  </conditionalFormatting>
  <conditionalFormatting sqref="Y52">
    <cfRule type="cellIs" dxfId="791" priority="968" operator="lessThanOrEqual">
      <formula>0</formula>
    </cfRule>
  </conditionalFormatting>
  <conditionalFormatting sqref="Y52">
    <cfRule type="expression" dxfId="790" priority="969">
      <formula>Y53&gt;$AE$1*$AD$1</formula>
    </cfRule>
  </conditionalFormatting>
  <conditionalFormatting sqref="Y52:Y53">
    <cfRule type="cellIs" dxfId="789" priority="967" operator="greaterThan">
      <formula>Z52</formula>
    </cfRule>
  </conditionalFormatting>
  <conditionalFormatting sqref="Y58">
    <cfRule type="cellIs" dxfId="788" priority="965" operator="lessThanOrEqual">
      <formula>0</formula>
    </cfRule>
  </conditionalFormatting>
  <conditionalFormatting sqref="Y58">
    <cfRule type="expression" dxfId="787" priority="966">
      <formula>Y59&gt;$AE$1*$AD$1</formula>
    </cfRule>
  </conditionalFormatting>
  <conditionalFormatting sqref="Y58:Y59">
    <cfRule type="cellIs" dxfId="786" priority="964" operator="greaterThan">
      <formula>Z58</formula>
    </cfRule>
  </conditionalFormatting>
  <conditionalFormatting sqref="Y64">
    <cfRule type="cellIs" dxfId="785" priority="962" operator="lessThanOrEqual">
      <formula>0</formula>
    </cfRule>
  </conditionalFormatting>
  <conditionalFormatting sqref="Y64">
    <cfRule type="expression" dxfId="784" priority="963">
      <formula>Y65&gt;$AE$1*$AD$1</formula>
    </cfRule>
  </conditionalFormatting>
  <conditionalFormatting sqref="Y64:Y65">
    <cfRule type="cellIs" dxfId="783" priority="961" operator="greaterThan">
      <formula>Z64</formula>
    </cfRule>
  </conditionalFormatting>
  <conditionalFormatting sqref="Y70">
    <cfRule type="cellIs" dxfId="782" priority="959" operator="lessThanOrEqual">
      <formula>0</formula>
    </cfRule>
  </conditionalFormatting>
  <conditionalFormatting sqref="Y70">
    <cfRule type="expression" dxfId="781" priority="960">
      <formula>Y71&gt;$AE$1*$AD$1</formula>
    </cfRule>
  </conditionalFormatting>
  <conditionalFormatting sqref="Y70:Y71">
    <cfRule type="cellIs" dxfId="780" priority="958" operator="greaterThan">
      <formula>Z70</formula>
    </cfRule>
  </conditionalFormatting>
  <conditionalFormatting sqref="Y76">
    <cfRule type="cellIs" dxfId="779" priority="956" operator="lessThanOrEqual">
      <formula>0</formula>
    </cfRule>
  </conditionalFormatting>
  <conditionalFormatting sqref="Y76">
    <cfRule type="expression" dxfId="778" priority="957">
      <formula>Y77&gt;$AE$1*$AD$1</formula>
    </cfRule>
  </conditionalFormatting>
  <conditionalFormatting sqref="Y76:Y77">
    <cfRule type="cellIs" dxfId="777" priority="955" operator="greaterThan">
      <formula>Z76</formula>
    </cfRule>
  </conditionalFormatting>
  <conditionalFormatting sqref="Y82">
    <cfRule type="cellIs" dxfId="776" priority="953" operator="lessThanOrEqual">
      <formula>0</formula>
    </cfRule>
  </conditionalFormatting>
  <conditionalFormatting sqref="Y82">
    <cfRule type="expression" dxfId="775" priority="954">
      <formula>Y83&gt;$AE$1*$AD$1</formula>
    </cfRule>
  </conditionalFormatting>
  <conditionalFormatting sqref="Y82:Y83">
    <cfRule type="cellIs" dxfId="774" priority="952" operator="greaterThan">
      <formula>Z82</formula>
    </cfRule>
  </conditionalFormatting>
  <conditionalFormatting sqref="Y88">
    <cfRule type="cellIs" dxfId="773" priority="950" operator="lessThanOrEqual">
      <formula>0</formula>
    </cfRule>
  </conditionalFormatting>
  <conditionalFormatting sqref="Y88">
    <cfRule type="expression" dxfId="772" priority="951">
      <formula>Y89&gt;$AE$1*$AD$1</formula>
    </cfRule>
  </conditionalFormatting>
  <conditionalFormatting sqref="Y88:Y89">
    <cfRule type="cellIs" dxfId="771" priority="949" operator="greaterThan">
      <formula>Z88</formula>
    </cfRule>
  </conditionalFormatting>
  <conditionalFormatting sqref="Y94">
    <cfRule type="cellIs" dxfId="770" priority="947" operator="lessThanOrEqual">
      <formula>0</formula>
    </cfRule>
  </conditionalFormatting>
  <conditionalFormatting sqref="Y94">
    <cfRule type="expression" dxfId="769" priority="948">
      <formula>Y95&gt;$AE$1*$AD$1</formula>
    </cfRule>
  </conditionalFormatting>
  <conditionalFormatting sqref="Y94:Y95">
    <cfRule type="cellIs" dxfId="768" priority="946" operator="greaterThan">
      <formula>Z94</formula>
    </cfRule>
  </conditionalFormatting>
  <conditionalFormatting sqref="Y100">
    <cfRule type="cellIs" dxfId="767" priority="944" operator="lessThanOrEqual">
      <formula>0</formula>
    </cfRule>
  </conditionalFormatting>
  <conditionalFormatting sqref="Y100">
    <cfRule type="expression" dxfId="766" priority="945">
      <formula>Y101&gt;$AE$1*$AD$1</formula>
    </cfRule>
  </conditionalFormatting>
  <conditionalFormatting sqref="Y100:Y101">
    <cfRule type="cellIs" dxfId="765" priority="943" operator="greaterThan">
      <formula>Z100</formula>
    </cfRule>
  </conditionalFormatting>
  <conditionalFormatting sqref="Y106">
    <cfRule type="cellIs" dxfId="764" priority="941" operator="lessThanOrEqual">
      <formula>0</formula>
    </cfRule>
  </conditionalFormatting>
  <conditionalFormatting sqref="Y106">
    <cfRule type="expression" dxfId="763" priority="942">
      <formula>Y107&gt;$AE$1*$AD$1</formula>
    </cfRule>
  </conditionalFormatting>
  <conditionalFormatting sqref="Y106:Y107">
    <cfRule type="cellIs" dxfId="762" priority="940" operator="greaterThan">
      <formula>Z106</formula>
    </cfRule>
  </conditionalFormatting>
  <conditionalFormatting sqref="Y112">
    <cfRule type="cellIs" dxfId="761" priority="938" operator="lessThanOrEqual">
      <formula>0</formula>
    </cfRule>
  </conditionalFormatting>
  <conditionalFormatting sqref="Y112">
    <cfRule type="expression" dxfId="760" priority="939">
      <formula>Y113&gt;$AE$1*$AD$1</formula>
    </cfRule>
  </conditionalFormatting>
  <conditionalFormatting sqref="Y112:Y113">
    <cfRule type="cellIs" dxfId="759" priority="937" operator="greaterThan">
      <formula>Z112</formula>
    </cfRule>
  </conditionalFormatting>
  <conditionalFormatting sqref="Y118">
    <cfRule type="cellIs" dxfId="758" priority="935" operator="lessThanOrEqual">
      <formula>0</formula>
    </cfRule>
  </conditionalFormatting>
  <conditionalFormatting sqref="Y118">
    <cfRule type="expression" dxfId="757" priority="936">
      <formula>Y119&gt;$AE$1*$AD$1</formula>
    </cfRule>
  </conditionalFormatting>
  <conditionalFormatting sqref="Y118:Y119">
    <cfRule type="cellIs" dxfId="756" priority="934" operator="greaterThan">
      <formula>Z118</formula>
    </cfRule>
  </conditionalFormatting>
  <conditionalFormatting sqref="Y124">
    <cfRule type="cellIs" dxfId="755" priority="932" operator="lessThanOrEqual">
      <formula>0</formula>
    </cfRule>
  </conditionalFormatting>
  <conditionalFormatting sqref="Y124">
    <cfRule type="expression" dxfId="754" priority="933">
      <formula>Y125&gt;$AE$1*$AD$1</formula>
    </cfRule>
  </conditionalFormatting>
  <conditionalFormatting sqref="Y124:Y125">
    <cfRule type="cellIs" dxfId="753" priority="931" operator="greaterThan">
      <formula>Z124</formula>
    </cfRule>
  </conditionalFormatting>
  <conditionalFormatting sqref="Y130">
    <cfRule type="cellIs" dxfId="752" priority="929" operator="lessThanOrEqual">
      <formula>0</formula>
    </cfRule>
  </conditionalFormatting>
  <conditionalFormatting sqref="Y130">
    <cfRule type="expression" dxfId="751" priority="930">
      <formula>Y131&gt;$AE$1*$AD$1</formula>
    </cfRule>
  </conditionalFormatting>
  <conditionalFormatting sqref="Y130:Y131">
    <cfRule type="cellIs" dxfId="750" priority="928" operator="greaterThan">
      <formula>Z130</formula>
    </cfRule>
  </conditionalFormatting>
  <conditionalFormatting sqref="Y136">
    <cfRule type="cellIs" dxfId="749" priority="926" operator="lessThanOrEqual">
      <formula>0</formula>
    </cfRule>
  </conditionalFormatting>
  <conditionalFormatting sqref="Y136">
    <cfRule type="expression" dxfId="748" priority="927">
      <formula>Y137&gt;$AE$1*$AD$1</formula>
    </cfRule>
  </conditionalFormatting>
  <conditionalFormatting sqref="Y136:Y137">
    <cfRule type="cellIs" dxfId="747" priority="925" operator="greaterThan">
      <formula>Z136</formula>
    </cfRule>
  </conditionalFormatting>
  <conditionalFormatting sqref="G46:G51">
    <cfRule type="cellIs" dxfId="746" priority="923" operator="lessThan">
      <formula>0</formula>
    </cfRule>
  </conditionalFormatting>
  <conditionalFormatting sqref="G2">
    <cfRule type="cellIs" dxfId="745" priority="922" operator="equal">
      <formula>0</formula>
    </cfRule>
  </conditionalFormatting>
  <conditionalFormatting sqref="G3">
    <cfRule type="cellIs" dxfId="744" priority="921" operator="equal">
      <formula>0</formula>
    </cfRule>
  </conditionalFormatting>
  <conditionalFormatting sqref="G4">
    <cfRule type="cellIs" dxfId="743" priority="920" operator="equal">
      <formula>0</formula>
    </cfRule>
  </conditionalFormatting>
  <conditionalFormatting sqref="G5">
    <cfRule type="cellIs" dxfId="742" priority="919" operator="equal">
      <formula>0</formula>
    </cfRule>
  </conditionalFormatting>
  <conditionalFormatting sqref="G6">
    <cfRule type="cellIs" dxfId="741" priority="918" operator="equal">
      <formula>0</formula>
    </cfRule>
  </conditionalFormatting>
  <conditionalFormatting sqref="G7">
    <cfRule type="cellIs" dxfId="740" priority="917" operator="equal">
      <formula>0</formula>
    </cfRule>
  </conditionalFormatting>
  <conditionalFormatting sqref="G8">
    <cfRule type="cellIs" dxfId="739" priority="916" operator="equal">
      <formula>0</formula>
    </cfRule>
  </conditionalFormatting>
  <conditionalFormatting sqref="G9">
    <cfRule type="cellIs" dxfId="738" priority="915" operator="equal">
      <formula>0</formula>
    </cfRule>
  </conditionalFormatting>
  <conditionalFormatting sqref="G10">
    <cfRule type="cellIs" dxfId="737" priority="914" operator="equal">
      <formula>0</formula>
    </cfRule>
  </conditionalFormatting>
  <conditionalFormatting sqref="G11">
    <cfRule type="cellIs" dxfId="736" priority="913" operator="equal">
      <formula>0</formula>
    </cfRule>
  </conditionalFormatting>
  <conditionalFormatting sqref="G12">
    <cfRule type="cellIs" dxfId="735" priority="912" operator="equal">
      <formula>0</formula>
    </cfRule>
  </conditionalFormatting>
  <conditionalFormatting sqref="G13">
    <cfRule type="cellIs" dxfId="734" priority="911" operator="equal">
      <formula>0</formula>
    </cfRule>
  </conditionalFormatting>
  <conditionalFormatting sqref="G14">
    <cfRule type="cellIs" dxfId="733" priority="910" operator="equal">
      <formula>0</formula>
    </cfRule>
  </conditionalFormatting>
  <conditionalFormatting sqref="G15">
    <cfRule type="cellIs" dxfId="732" priority="909" operator="equal">
      <formula>0</formula>
    </cfRule>
  </conditionalFormatting>
  <conditionalFormatting sqref="G16">
    <cfRule type="cellIs" dxfId="731" priority="908" operator="equal">
      <formula>0</formula>
    </cfRule>
  </conditionalFormatting>
  <conditionalFormatting sqref="G17">
    <cfRule type="cellIs" dxfId="730" priority="907" operator="equal">
      <formula>0</formula>
    </cfRule>
  </conditionalFormatting>
  <conditionalFormatting sqref="G18">
    <cfRule type="cellIs" dxfId="729" priority="906" operator="equal">
      <formula>0</formula>
    </cfRule>
  </conditionalFormatting>
  <conditionalFormatting sqref="G19">
    <cfRule type="cellIs" dxfId="728" priority="905" operator="equal">
      <formula>0</formula>
    </cfRule>
  </conditionalFormatting>
  <conditionalFormatting sqref="G20">
    <cfRule type="cellIs" dxfId="727" priority="904" operator="equal">
      <formula>0</formula>
    </cfRule>
  </conditionalFormatting>
  <conditionalFormatting sqref="G21">
    <cfRule type="cellIs" dxfId="726" priority="903" operator="equal">
      <formula>0</formula>
    </cfRule>
  </conditionalFormatting>
  <conditionalFormatting sqref="G22 G26">
    <cfRule type="cellIs" dxfId="725" priority="902" operator="equal">
      <formula>0</formula>
    </cfRule>
  </conditionalFormatting>
  <conditionalFormatting sqref="G23 G27">
    <cfRule type="cellIs" dxfId="724" priority="901" operator="equal">
      <formula>0</formula>
    </cfRule>
  </conditionalFormatting>
  <conditionalFormatting sqref="G24 G28">
    <cfRule type="cellIs" dxfId="723" priority="900" operator="equal">
      <formula>0</formula>
    </cfRule>
  </conditionalFormatting>
  <conditionalFormatting sqref="G25 G29">
    <cfRule type="cellIs" dxfId="722" priority="899" operator="equal">
      <formula>0</formula>
    </cfRule>
  </conditionalFormatting>
  <conditionalFormatting sqref="Z58">
    <cfRule type="cellIs" dxfId="721" priority="894" operator="equal">
      <formula>0</formula>
    </cfRule>
  </conditionalFormatting>
  <conditionalFormatting sqref="Z64">
    <cfRule type="cellIs" dxfId="720" priority="893" operator="equal">
      <formula>0</formula>
    </cfRule>
  </conditionalFormatting>
  <conditionalFormatting sqref="Z70">
    <cfRule type="cellIs" dxfId="719" priority="892" operator="equal">
      <formula>0</formula>
    </cfRule>
  </conditionalFormatting>
  <conditionalFormatting sqref="Z76">
    <cfRule type="cellIs" dxfId="718" priority="891" operator="equal">
      <formula>0</formula>
    </cfRule>
  </conditionalFormatting>
  <conditionalFormatting sqref="Z82">
    <cfRule type="cellIs" dxfId="717" priority="890" operator="equal">
      <formula>0</formula>
    </cfRule>
  </conditionalFormatting>
  <conditionalFormatting sqref="Z88">
    <cfRule type="cellIs" dxfId="716" priority="889" operator="equal">
      <formula>0</formula>
    </cfRule>
  </conditionalFormatting>
  <conditionalFormatting sqref="Z94">
    <cfRule type="cellIs" dxfId="715" priority="888" operator="equal">
      <formula>0</formula>
    </cfRule>
  </conditionalFormatting>
  <conditionalFormatting sqref="Z100">
    <cfRule type="cellIs" dxfId="714" priority="887" operator="equal">
      <formula>0</formula>
    </cfRule>
  </conditionalFormatting>
  <conditionalFormatting sqref="Z106">
    <cfRule type="cellIs" dxfId="713" priority="886" operator="equal">
      <formula>0</formula>
    </cfRule>
  </conditionalFormatting>
  <conditionalFormatting sqref="Z112">
    <cfRule type="cellIs" dxfId="712" priority="885" operator="equal">
      <formula>0</formula>
    </cfRule>
  </conditionalFormatting>
  <conditionalFormatting sqref="Z118">
    <cfRule type="cellIs" dxfId="711" priority="884" operator="equal">
      <formula>0</formula>
    </cfRule>
  </conditionalFormatting>
  <conditionalFormatting sqref="Z124">
    <cfRule type="cellIs" dxfId="710" priority="883" operator="equal">
      <formula>0</formula>
    </cfRule>
  </conditionalFormatting>
  <conditionalFormatting sqref="Z130">
    <cfRule type="cellIs" dxfId="709" priority="882" operator="equal">
      <formula>0</formula>
    </cfRule>
  </conditionalFormatting>
  <conditionalFormatting sqref="Z136">
    <cfRule type="cellIs" dxfId="708" priority="881" operator="equal">
      <formula>0</formula>
    </cfRule>
  </conditionalFormatting>
  <conditionalFormatting sqref="Y13">
    <cfRule type="cellIs" dxfId="707" priority="842" operator="equal">
      <formula>0</formula>
    </cfRule>
    <cfRule type="cellIs" dxfId="706" priority="845" operator="greaterThan">
      <formula>Y10</formula>
    </cfRule>
  </conditionalFormatting>
  <conditionalFormatting sqref="Y11">
    <cfRule type="cellIs" dxfId="705" priority="844" operator="equal">
      <formula>0</formula>
    </cfRule>
  </conditionalFormatting>
  <conditionalFormatting sqref="Y12">
    <cfRule type="cellIs" dxfId="704" priority="843" operator="equal">
      <formula>0</formula>
    </cfRule>
  </conditionalFormatting>
  <conditionalFormatting sqref="Y13">
    <cfRule type="expression" dxfId="703" priority="840">
      <formula>IF($Y13&gt;$Y10,AND(MID($A13,5,1)="D"))</formula>
    </cfRule>
    <cfRule type="expression" dxfId="702" priority="841">
      <formula>IF($Y13&gt;$Y10,AND(MID($A13,5,1)="C"))</formula>
    </cfRule>
  </conditionalFormatting>
  <conditionalFormatting sqref="Y17">
    <cfRule type="cellIs" dxfId="701" priority="836" operator="equal">
      <formula>0</formula>
    </cfRule>
    <cfRule type="cellIs" dxfId="700" priority="839" operator="greaterThan">
      <formula>Y14</formula>
    </cfRule>
  </conditionalFormatting>
  <conditionalFormatting sqref="Y15">
    <cfRule type="cellIs" dxfId="699" priority="838" operator="equal">
      <formula>0</formula>
    </cfRule>
  </conditionalFormatting>
  <conditionalFormatting sqref="Y16">
    <cfRule type="cellIs" dxfId="698" priority="837" operator="equal">
      <formula>0</formula>
    </cfRule>
  </conditionalFormatting>
  <conditionalFormatting sqref="Y17">
    <cfRule type="expression" dxfId="697" priority="834">
      <formula>IF($Y17&gt;$Y14,AND(MID($A17,5,1)="D"))</formula>
    </cfRule>
    <cfRule type="expression" dxfId="696" priority="835">
      <formula>IF($Y17&gt;$Y14,AND(MID($A17,5,1)="C"))</formula>
    </cfRule>
  </conditionalFormatting>
  <conditionalFormatting sqref="Y21 Y25">
    <cfRule type="cellIs" dxfId="695" priority="830" operator="equal">
      <formula>0</formula>
    </cfRule>
    <cfRule type="cellIs" dxfId="694" priority="833" operator="greaterThan">
      <formula>Y18</formula>
    </cfRule>
  </conditionalFormatting>
  <conditionalFormatting sqref="Y19 Y23">
    <cfRule type="cellIs" dxfId="693" priority="832" operator="equal">
      <formula>0</formula>
    </cfRule>
  </conditionalFormatting>
  <conditionalFormatting sqref="Y20 Y24">
    <cfRule type="cellIs" dxfId="692" priority="831" operator="equal">
      <formula>0</formula>
    </cfRule>
  </conditionalFormatting>
  <conditionalFormatting sqref="Y21 Y25">
    <cfRule type="expression" dxfId="691" priority="828">
      <formula>IF($Y21&gt;$Y18,AND(MID($A21,5,1)="D"))</formula>
    </cfRule>
    <cfRule type="expression" dxfId="690" priority="829">
      <formula>IF($Y21&gt;$Y18,AND(MID($A21,5,1)="C"))</formula>
    </cfRule>
  </conditionalFormatting>
  <conditionalFormatting sqref="AA10:AA11">
    <cfRule type="expression" dxfId="689" priority="813">
      <formula>IF($Y13&gt;$Y10,AND(MID($A10,5,1)="D"))</formula>
    </cfRule>
    <cfRule type="expression" dxfId="688" priority="814">
      <formula>IF($Y13&gt;$Y10,AND(MID($A10,5,1)="C"))</formula>
    </cfRule>
    <cfRule type="cellIs" dxfId="687" priority="815" operator="equal">
      <formula>0</formula>
    </cfRule>
  </conditionalFormatting>
  <conditionalFormatting sqref="AA12:AA13">
    <cfRule type="expression" dxfId="686" priority="810">
      <formula>IF($Y13&gt;$Y10,AND(MID($A13,5,1)="D"))</formula>
    </cfRule>
    <cfRule type="expression" dxfId="685" priority="811">
      <formula>IF($Y13&gt;$Y10,AND(MID($A13,5,1)="C"))</formula>
    </cfRule>
    <cfRule type="cellIs" dxfId="684" priority="812" operator="equal">
      <formula>0</formula>
    </cfRule>
  </conditionalFormatting>
  <conditionalFormatting sqref="AA14:AA15">
    <cfRule type="expression" dxfId="683" priority="806">
      <formula>IF($Y17&gt;$Y14,AND(MID($A14,5,1)="D"))</formula>
    </cfRule>
    <cfRule type="expression" dxfId="682" priority="807">
      <formula>IF($Y17&gt;$Y14,AND(MID($A14,5,1)="C"))</formula>
    </cfRule>
    <cfRule type="cellIs" dxfId="681" priority="808" operator="equal">
      <formula>0</formula>
    </cfRule>
  </conditionalFormatting>
  <conditionalFormatting sqref="AA16:AA17">
    <cfRule type="expression" dxfId="680" priority="803">
      <formula>IF($Y17&gt;$Y14,AND(MID($A17,5,1)="D"))</formula>
    </cfRule>
    <cfRule type="expression" dxfId="679" priority="804">
      <formula>IF($Y17&gt;$Y14,AND(MID($A17,5,1)="C"))</formula>
    </cfRule>
    <cfRule type="cellIs" dxfId="678" priority="805" operator="equal">
      <formula>0</formula>
    </cfRule>
  </conditionalFormatting>
  <conditionalFormatting sqref="AA18:AA19 AA22:AA23">
    <cfRule type="expression" dxfId="677" priority="800">
      <formula>IF($Y21&gt;$Y18,AND(MID($A18,5,1)="D"))</formula>
    </cfRule>
    <cfRule type="expression" dxfId="676" priority="801">
      <formula>IF($Y21&gt;$Y18,AND(MID($A18,5,1)="C"))</formula>
    </cfRule>
    <cfRule type="cellIs" dxfId="675" priority="802" operator="equal">
      <formula>0</formula>
    </cfRule>
  </conditionalFormatting>
  <conditionalFormatting sqref="AA20:AA21 AA24:AA25">
    <cfRule type="expression" dxfId="674" priority="797">
      <formula>IF($Y21&gt;$Y18,AND(MID($A21,5,1)="D"))</formula>
    </cfRule>
    <cfRule type="expression" dxfId="673" priority="798">
      <formula>IF($Y21&gt;$Y18,AND(MID($A21,5,1)="C"))</formula>
    </cfRule>
    <cfRule type="cellIs" dxfId="672" priority="799" operator="equal">
      <formula>0</formula>
    </cfRule>
  </conditionalFormatting>
  <conditionalFormatting sqref="A2">
    <cfRule type="expression" dxfId="671" priority="488">
      <formula>$V2&lt;&gt;0</formula>
    </cfRule>
  </conditionalFormatting>
  <conditionalFormatting sqref="A5">
    <cfRule type="expression" dxfId="670" priority="485">
      <formula>$V5&lt;&gt;0</formula>
    </cfRule>
  </conditionalFormatting>
  <conditionalFormatting sqref="AA26">
    <cfRule type="expression" dxfId="669" priority="697">
      <formula>IF($AA26&gt;$Y27,AND(MID($A26,5,1)=" "))</formula>
    </cfRule>
    <cfRule type="expression" dxfId="668" priority="698">
      <formula>IF($AA26&gt;$Y27,AND(MID($A26,5,1)="C"))</formula>
    </cfRule>
    <cfRule type="expression" dxfId="667" priority="699">
      <formula>IF($AA26&gt;$Y27,AND(MID($A26,5,1)="D"))</formula>
    </cfRule>
  </conditionalFormatting>
  <conditionalFormatting sqref="AA27">
    <cfRule type="expression" dxfId="666" priority="694">
      <formula>IF($AA27&gt;$Y26,AND(MID($A27,5,1)=" "))</formula>
    </cfRule>
    <cfRule type="expression" dxfId="665" priority="695">
      <formula>IF($AA27&gt;$Y26,AND(MID($A27,5,1)="C"))</formula>
    </cfRule>
    <cfRule type="expression" dxfId="664" priority="696">
      <formula>IF($AA27&gt;$Y26,AND(MID($A27,5,1)="D"))</formula>
    </cfRule>
  </conditionalFormatting>
  <conditionalFormatting sqref="AA28">
    <cfRule type="expression" dxfId="663" priority="691">
      <formula>IF($AA28&gt;$Y29,AND(MID($A28,5,1)=" "))</formula>
    </cfRule>
    <cfRule type="expression" dxfId="662" priority="692">
      <formula>IF($AA28&gt;$Y29,AND(MID($A28,5,1)="C"))</formula>
    </cfRule>
    <cfRule type="expression" dxfId="661" priority="693">
      <formula>IF($AA28&gt;$Y29,AND(MID($A28,5,1)="D"))</formula>
    </cfRule>
  </conditionalFormatting>
  <conditionalFormatting sqref="AA29">
    <cfRule type="expression" dxfId="660" priority="688">
      <formula>IF($AA29&gt;$Y28,AND(MID($A29,5,1)=" "))</formula>
    </cfRule>
    <cfRule type="expression" dxfId="659" priority="689">
      <formula>IF($AA29&gt;$Y28,AND(MID($A29,5,1)="C"))</formula>
    </cfRule>
    <cfRule type="expression" dxfId="658" priority="690">
      <formula>IF($AA29&gt;$Y28,AND(MID($A29,5,1)="D"))</formula>
    </cfRule>
  </conditionalFormatting>
  <conditionalFormatting sqref="Z26">
    <cfRule type="expression" dxfId="657" priority="442">
      <formula>IF($AA26&gt;$Y27,AND(MID($A26,5,1)=" "))</formula>
    </cfRule>
    <cfRule type="expression" dxfId="656" priority="443">
      <formula>IF($AA26&gt;$Y27,AND(MID($A26,5,1)="C"))</formula>
    </cfRule>
    <cfRule type="expression" dxfId="655" priority="444">
      <formula>IF($AA26&gt;$Y27,AND(MID($A26,5,1)="D"))</formula>
    </cfRule>
  </conditionalFormatting>
  <conditionalFormatting sqref="Z27">
    <cfRule type="expression" dxfId="654" priority="438">
      <formula>IF($AA27&gt;$Y26,AND(MID($A27,5,1)=" "))</formula>
    </cfRule>
    <cfRule type="expression" dxfId="653" priority="439">
      <formula>IF($AA27&gt;$Y26,AND(MID($A27,5,1)="C"))</formula>
    </cfRule>
    <cfRule type="expression" dxfId="652" priority="440">
      <formula>IF($AA27&gt;$Y26,AND(MID($A27,5,1)="D"))</formula>
    </cfRule>
  </conditionalFormatting>
  <conditionalFormatting sqref="Z28">
    <cfRule type="expression" dxfId="651" priority="434">
      <formula>IF($AA28&gt;$Y29,AND(MID($A28,5,1)=" "))</formula>
    </cfRule>
    <cfRule type="expression" dxfId="650" priority="435">
      <formula>IF($AA28&gt;$Y29,AND(MID($A28,5,1)="C"))</formula>
    </cfRule>
    <cfRule type="expression" dxfId="649" priority="436">
      <formula>IF($AA28&gt;$Y29,AND(MID($A28,5,1)="D"))</formula>
    </cfRule>
  </conditionalFormatting>
  <conditionalFormatting sqref="Z29">
    <cfRule type="expression" dxfId="648" priority="431">
      <formula>IF($AA29&gt;$Y28,AND(MID($A29,5,1)=" "))</formula>
    </cfRule>
    <cfRule type="expression" dxfId="647" priority="432">
      <formula>IF($AA29&gt;$Y28,AND(MID($A29,5,1)="C"))</formula>
    </cfRule>
    <cfRule type="expression" dxfId="646" priority="433">
      <formula>IF($AA29&gt;$Y28,AND(MID($A29,5,1)="D"))</formula>
    </cfRule>
  </conditionalFormatting>
  <conditionalFormatting sqref="AA48 AA54 AA60 AA66 AA72 AA78 AA84 AA90 AA96 AA102 AA108 AA114 AA120 AA126 AA132 AA138">
    <cfRule type="colorScale" priority="428">
      <colorScale>
        <cfvo type="min"/>
        <cfvo type="percentile" val="50"/>
        <cfvo type="max"/>
        <color rgb="FFF8696B"/>
        <color rgb="FFFFEB84"/>
        <color rgb="FF63BE7B"/>
      </colorScale>
    </cfRule>
  </conditionalFormatting>
  <conditionalFormatting sqref="Z54 Z48 Z60 Z66 Z72 Z78 Z84 Z90 Z96 Z102 Z108 Z114 Z120 Z126 Z132 Z138">
    <cfRule type="colorScale" priority="427">
      <colorScale>
        <cfvo type="min"/>
        <cfvo type="percentile" val="50"/>
        <cfvo type="max"/>
        <color rgb="FF63BE7B"/>
        <color rgb="FFFFEB84"/>
        <color rgb="FFF8696B"/>
      </colorScale>
    </cfRule>
  </conditionalFormatting>
  <conditionalFormatting sqref="B10">
    <cfRule type="expression" dxfId="645" priority="388">
      <formula>IF($Y13&gt;$Y10,AND(MID($A10,5,1)=" "))</formula>
    </cfRule>
    <cfRule type="expression" dxfId="644" priority="389">
      <formula>IF($Y13&gt;$Y10,AND(MID($A10,5,1)="C"))</formula>
    </cfRule>
    <cfRule type="expression" dxfId="643" priority="390">
      <formula>IF($Y13&gt;$Y10,AND(MID($A10,5,1)="D"))</formula>
    </cfRule>
  </conditionalFormatting>
  <conditionalFormatting sqref="E11">
    <cfRule type="expression" dxfId="642" priority="385">
      <formula>IF($Y13&gt;$Y10,AND(MID($A11,5,1)=" "))</formula>
    </cfRule>
    <cfRule type="expression" dxfId="641" priority="386">
      <formula>IF($Y13&gt;$Y10,AND(MID($A11,5,1)="C"))</formula>
    </cfRule>
    <cfRule type="expression" dxfId="640" priority="387">
      <formula>IF($Y13&gt;$Y10,AND(MID($A11,5,1)="D"))</formula>
    </cfRule>
  </conditionalFormatting>
  <conditionalFormatting sqref="B12">
    <cfRule type="expression" dxfId="639" priority="382">
      <formula>IF($Y13&gt;$Y10,AND(MID($A12,5,1)=" "))</formula>
    </cfRule>
    <cfRule type="expression" dxfId="638" priority="383">
      <formula>IF($Y13&gt;$Y10,AND(MID($A12,5,1)="C"))</formula>
    </cfRule>
    <cfRule type="expression" dxfId="637" priority="384">
      <formula>IF($Y13&gt;$Y10,AND(MID($A12,5,1)="D"))</formula>
    </cfRule>
  </conditionalFormatting>
  <conditionalFormatting sqref="E13">
    <cfRule type="expression" dxfId="636" priority="379">
      <formula>IF($Y13&gt;$Y10,AND(MID($A13,5,1)=" "))</formula>
    </cfRule>
    <cfRule type="expression" dxfId="635" priority="380">
      <formula>IF($Y13&gt;$Y10,AND(MID($A13,5,1)="C"))</formula>
    </cfRule>
    <cfRule type="expression" dxfId="634" priority="381">
      <formula>IF($Y13&gt;$Y10,AND(MID($A13,5,1)="D"))</formula>
    </cfRule>
  </conditionalFormatting>
  <conditionalFormatting sqref="B14">
    <cfRule type="expression" dxfId="633" priority="364">
      <formula>IF($Y17&gt;$Y14,AND(MID($A14,5,1)=" "))</formula>
    </cfRule>
    <cfRule type="expression" dxfId="632" priority="365">
      <formula>IF($Y17&gt;$Y14,AND(MID($A14,5,1)="C"))</formula>
    </cfRule>
    <cfRule type="expression" dxfId="631" priority="366">
      <formula>IF($Y17&gt;$Y14,AND(MID($A14,5,1)="D"))</formula>
    </cfRule>
  </conditionalFormatting>
  <conditionalFormatting sqref="E15">
    <cfRule type="expression" dxfId="630" priority="361">
      <formula>IF($Y17&gt;$Y14,AND(MID($A15,5,1)=" "))</formula>
    </cfRule>
    <cfRule type="expression" dxfId="629" priority="362">
      <formula>IF($Y17&gt;$Y14,AND(MID($A15,5,1)="C"))</formula>
    </cfRule>
    <cfRule type="expression" dxfId="628" priority="363">
      <formula>IF($Y17&gt;$Y14,AND(MID($A15,5,1)="D"))</formula>
    </cfRule>
  </conditionalFormatting>
  <conditionalFormatting sqref="B16">
    <cfRule type="expression" dxfId="627" priority="358">
      <formula>IF($Y17&gt;$Y14,AND(MID($A16,5,1)=" "))</formula>
    </cfRule>
    <cfRule type="expression" dxfId="626" priority="359">
      <formula>IF($Y17&gt;$Y14,AND(MID($A16,5,1)="C"))</formula>
    </cfRule>
    <cfRule type="expression" dxfId="625" priority="360">
      <formula>IF($Y17&gt;$Y14,AND(MID($A16,5,1)="D"))</formula>
    </cfRule>
  </conditionalFormatting>
  <conditionalFormatting sqref="E17">
    <cfRule type="expression" dxfId="624" priority="355">
      <formula>IF($Y17&gt;$Y14,AND(MID($A17,5,1)=" "))</formula>
    </cfRule>
    <cfRule type="expression" dxfId="623" priority="356">
      <formula>IF($Y17&gt;$Y14,AND(MID($A17,5,1)="C"))</formula>
    </cfRule>
    <cfRule type="expression" dxfId="622" priority="357">
      <formula>IF($Y17&gt;$Y14,AND(MID($A17,5,1)="D"))</formula>
    </cfRule>
  </conditionalFormatting>
  <conditionalFormatting sqref="B18">
    <cfRule type="expression" dxfId="621" priority="340">
      <formula>IF($Y21&gt;$Y18,AND(MID($A18,5,1)=" "))</formula>
    </cfRule>
    <cfRule type="expression" dxfId="620" priority="341">
      <formula>IF($Y21&gt;$Y18,AND(MID($A18,5,1)="C"))</formula>
    </cfRule>
    <cfRule type="expression" dxfId="619" priority="342">
      <formula>IF($Y21&gt;$Y18,AND(MID($A18,5,1)="D"))</formula>
    </cfRule>
  </conditionalFormatting>
  <conditionalFormatting sqref="E19">
    <cfRule type="expression" dxfId="618" priority="337">
      <formula>IF($Y21&gt;$Y18,AND(MID($A19,5,1)=" "))</formula>
    </cfRule>
    <cfRule type="expression" dxfId="617" priority="338">
      <formula>IF($Y21&gt;$Y18,AND(MID($A19,5,1)="C"))</formula>
    </cfRule>
    <cfRule type="expression" dxfId="616" priority="339">
      <formula>IF($Y21&gt;$Y18,AND(MID($A19,5,1)="D"))</formula>
    </cfRule>
  </conditionalFormatting>
  <conditionalFormatting sqref="B20">
    <cfRule type="expression" dxfId="615" priority="334">
      <formula>IF($Y21&gt;$Y18,AND(MID($A20,5,1)=" "))</formula>
    </cfRule>
    <cfRule type="expression" dxfId="614" priority="335">
      <formula>IF($Y21&gt;$Y18,AND(MID($A20,5,1)="C"))</formula>
    </cfRule>
    <cfRule type="expression" dxfId="613" priority="336">
      <formula>IF($Y21&gt;$Y18,AND(MID($A20,5,1)="D"))</formula>
    </cfRule>
  </conditionalFormatting>
  <conditionalFormatting sqref="E21">
    <cfRule type="expression" dxfId="612" priority="331">
      <formula>IF($Y21&gt;$Y18,AND(MID($A21,5,1)=" "))</formula>
    </cfRule>
    <cfRule type="expression" dxfId="611" priority="332">
      <formula>IF($Y21&gt;$Y18,AND(MID($A21,5,1)="C"))</formula>
    </cfRule>
    <cfRule type="expression" dxfId="610" priority="333">
      <formula>IF($Y21&gt;$Y18,AND(MID($A21,5,1)="D"))</formula>
    </cfRule>
  </conditionalFormatting>
  <conditionalFormatting sqref="C10">
    <cfRule type="expression" dxfId="609" priority="316">
      <formula>IF($Y13&gt;$Y10,AND(MID($A10,5,1)=" "))</formula>
    </cfRule>
    <cfRule type="expression" dxfId="608" priority="317">
      <formula>IF($Y13&gt;$Y10,AND(MID($A10,5,1)="C"))</formula>
    </cfRule>
    <cfRule type="expression" dxfId="607" priority="318">
      <formula>IF($Y13&gt;$Y10,AND(MID($A10,5,1)="D"))</formula>
    </cfRule>
  </conditionalFormatting>
  <conditionalFormatting sqref="D11">
    <cfRule type="expression" dxfId="606" priority="313">
      <formula>IF($Y13&gt;$Y10,AND(MID($A11,5,1)=" "))</formula>
    </cfRule>
    <cfRule type="expression" dxfId="605" priority="314">
      <formula>IF($Y13&gt;$Y10,AND(MID($A11,5,1)="C"))</formula>
    </cfRule>
    <cfRule type="expression" dxfId="604" priority="315">
      <formula>IF($Y13&gt;$Y10,AND(MID($A11,5,1)="D"))</formula>
    </cfRule>
  </conditionalFormatting>
  <conditionalFormatting sqref="D13">
    <cfRule type="expression" dxfId="603" priority="310">
      <formula>IF($Y13&gt;$Y10,AND(MID($A13,5,1)=" "))</formula>
    </cfRule>
    <cfRule type="expression" dxfId="602" priority="311">
      <formula>IF($Y13&gt;$Y10,AND(MID($A13,5,1)="C"))</formula>
    </cfRule>
    <cfRule type="expression" dxfId="601" priority="312">
      <formula>IF($Y13&gt;$Y10,AND(MID($A13,5,1)="D"))</formula>
    </cfRule>
  </conditionalFormatting>
  <conditionalFormatting sqref="C12">
    <cfRule type="expression" dxfId="600" priority="307">
      <formula>IF($Y13&gt;$Y10,AND(MID($A12,5,1)=" "))</formula>
    </cfRule>
    <cfRule type="expression" dxfId="599" priority="308">
      <formula>IF($Y13&gt;$Y10,AND(MID($A12,5,1)="C"))</formula>
    </cfRule>
    <cfRule type="expression" dxfId="598" priority="309">
      <formula>IF($Y13&gt;$Y10,AND(MID($A12,5,1)="D"))</formula>
    </cfRule>
  </conditionalFormatting>
  <conditionalFormatting sqref="C14">
    <cfRule type="expression" dxfId="597" priority="304">
      <formula>IF($Y17&gt;$Y14,AND(MID($A14,5,1)=" "))</formula>
    </cfRule>
    <cfRule type="expression" dxfId="596" priority="305">
      <formula>IF($Y17&gt;$Y14,AND(MID($A14,5,1)="C"))</formula>
    </cfRule>
    <cfRule type="expression" dxfId="595" priority="306">
      <formula>IF($Y17&gt;$Y14,AND(MID($A14,5,1)="D"))</formula>
    </cfRule>
  </conditionalFormatting>
  <conditionalFormatting sqref="D15">
    <cfRule type="expression" dxfId="594" priority="301">
      <formula>IF($Y17&gt;$Y14,AND(MID($A15,5,1)=" "))</formula>
    </cfRule>
    <cfRule type="expression" dxfId="593" priority="302">
      <formula>IF($Y17&gt;$Y14,AND(MID($A15,5,1)="C"))</formula>
    </cfRule>
    <cfRule type="expression" dxfId="592" priority="303">
      <formula>IF($Y17&gt;$Y14,AND(MID($A15,5,1)="D"))</formula>
    </cfRule>
  </conditionalFormatting>
  <conditionalFormatting sqref="D17">
    <cfRule type="expression" dxfId="591" priority="298">
      <formula>IF($Y17&gt;$Y14,AND(MID($A17,5,1)=" "))</formula>
    </cfRule>
    <cfRule type="expression" dxfId="590" priority="299">
      <formula>IF($Y17&gt;$Y14,AND(MID($A17,5,1)="C"))</formula>
    </cfRule>
    <cfRule type="expression" dxfId="589" priority="300">
      <formula>IF($Y17&gt;$Y14,AND(MID($A17,5,1)="D"))</formula>
    </cfRule>
  </conditionalFormatting>
  <conditionalFormatting sqref="C16">
    <cfRule type="expression" dxfId="588" priority="295">
      <formula>IF($Y17&gt;$Y14,AND(MID($A16,5,1)=" "))</formula>
    </cfRule>
    <cfRule type="expression" dxfId="587" priority="296">
      <formula>IF($Y17&gt;$Y14,AND(MID($A16,5,1)="C"))</formula>
    </cfRule>
    <cfRule type="expression" dxfId="586" priority="297">
      <formula>IF($Y17&gt;$Y14,AND(MID($A16,5,1)="D"))</formula>
    </cfRule>
  </conditionalFormatting>
  <conditionalFormatting sqref="C18">
    <cfRule type="expression" dxfId="585" priority="292">
      <formula>IF($Y21&gt;$Y18,AND(MID($A18,5,1)=" "))</formula>
    </cfRule>
    <cfRule type="expression" dxfId="584" priority="293">
      <formula>IF($Y21&gt;$Y18,AND(MID($A18,5,1)="C"))</formula>
    </cfRule>
    <cfRule type="expression" dxfId="583" priority="294">
      <formula>IF($Y21&gt;$Y18,AND(MID($A18,5,1)="D"))</formula>
    </cfRule>
  </conditionalFormatting>
  <conditionalFormatting sqref="D19">
    <cfRule type="expression" dxfId="582" priority="289">
      <formula>IF($Y21&gt;$Y18,AND(MID($A19,5,1)=" "))</formula>
    </cfRule>
    <cfRule type="expression" dxfId="581" priority="290">
      <formula>IF($Y21&gt;$Y18,AND(MID($A19,5,1)="C"))</formula>
    </cfRule>
    <cfRule type="expression" dxfId="580" priority="291">
      <formula>IF($Y21&gt;$Y18,AND(MID($A19,5,1)="D"))</formula>
    </cfRule>
  </conditionalFormatting>
  <conditionalFormatting sqref="D21">
    <cfRule type="expression" dxfId="579" priority="286">
      <formula>IF($Y21&gt;$Y18,AND(MID($A21,5,1)=" "))</formula>
    </cfRule>
    <cfRule type="expression" dxfId="578" priority="287">
      <formula>IF($Y21&gt;$Y18,AND(MID($A21,5,1)="C"))</formula>
    </cfRule>
    <cfRule type="expression" dxfId="577" priority="288">
      <formula>IF($Y21&gt;$Y18,AND(MID($A21,5,1)="D"))</formula>
    </cfRule>
  </conditionalFormatting>
  <conditionalFormatting sqref="C20">
    <cfRule type="expression" dxfId="576" priority="283">
      <formula>IF($Y21&gt;$Y18,AND(MID($A20,5,1)=" "))</formula>
    </cfRule>
    <cfRule type="expression" dxfId="575" priority="284">
      <formula>IF($Y21&gt;$Y18,AND(MID($A20,5,1)="C"))</formula>
    </cfRule>
    <cfRule type="expression" dxfId="574" priority="285">
      <formula>IF($Y21&gt;$Y18,AND(MID($A20,5,1)="D"))</formula>
    </cfRule>
  </conditionalFormatting>
  <conditionalFormatting sqref="B22 B26">
    <cfRule type="expression" dxfId="573" priority="270">
      <formula>IF($Y25&gt;$Y22,AND(MID($A22,5,1)=" "))</formula>
    </cfRule>
    <cfRule type="expression" dxfId="572" priority="271">
      <formula>IF($Y25&gt;$Y22,AND(MID($A22,5,1)="C"))</formula>
    </cfRule>
    <cfRule type="expression" dxfId="571" priority="272">
      <formula>IF($Y25&gt;$Y22,AND(MID($A22,5,1)="D"))</formula>
    </cfRule>
  </conditionalFormatting>
  <conditionalFormatting sqref="E23 E27">
    <cfRule type="expression" dxfId="570" priority="267">
      <formula>IF($Y25&gt;$Y22,AND(MID($A23,5,1)=" "))</formula>
    </cfRule>
    <cfRule type="expression" dxfId="569" priority="268">
      <formula>IF($Y25&gt;$Y22,AND(MID($A23,5,1)="C"))</formula>
    </cfRule>
    <cfRule type="expression" dxfId="568" priority="269">
      <formula>IF($Y25&gt;$Y22,AND(MID($A23,5,1)="D"))</formula>
    </cfRule>
  </conditionalFormatting>
  <conditionalFormatting sqref="B24 B28">
    <cfRule type="expression" dxfId="567" priority="264">
      <formula>IF($Y25&gt;$Y22,AND(MID($A24,5,1)=" "))</formula>
    </cfRule>
    <cfRule type="expression" dxfId="566" priority="265">
      <formula>IF($Y25&gt;$Y22,AND(MID($A24,5,1)="C"))</formula>
    </cfRule>
    <cfRule type="expression" dxfId="565" priority="266">
      <formula>IF($Y25&gt;$Y22,AND(MID($A24,5,1)="D"))</formula>
    </cfRule>
  </conditionalFormatting>
  <conditionalFormatting sqref="E25 E29">
    <cfRule type="expression" dxfId="564" priority="261">
      <formula>IF($Y25&gt;$Y22,AND(MID($A25,5,1)=" "))</formula>
    </cfRule>
    <cfRule type="expression" dxfId="563" priority="262">
      <formula>IF($Y25&gt;$Y22,AND(MID($A25,5,1)="C"))</formula>
    </cfRule>
    <cfRule type="expression" dxfId="562" priority="263">
      <formula>IF($Y25&gt;$Y22,AND(MID($A25,5,1)="D"))</formula>
    </cfRule>
  </conditionalFormatting>
  <conditionalFormatting sqref="C22 C26">
    <cfRule type="expression" dxfId="561" priority="258">
      <formula>IF($Y25&gt;$Y22,AND(MID($A22,5,1)=" "))</formula>
    </cfRule>
    <cfRule type="expression" dxfId="560" priority="259">
      <formula>IF($Y25&gt;$Y22,AND(MID($A22,5,1)="C"))</formula>
    </cfRule>
    <cfRule type="expression" dxfId="559" priority="260">
      <formula>IF($Y25&gt;$Y22,AND(MID($A22,5,1)="D"))</formula>
    </cfRule>
  </conditionalFormatting>
  <conditionalFormatting sqref="D23 D27">
    <cfRule type="expression" dxfId="558" priority="255">
      <formula>IF($Y25&gt;$Y22,AND(MID($A23,5,1)=" "))</formula>
    </cfRule>
    <cfRule type="expression" dxfId="557" priority="256">
      <formula>IF($Y25&gt;$Y22,AND(MID($A23,5,1)="C"))</formula>
    </cfRule>
    <cfRule type="expression" dxfId="556" priority="257">
      <formula>IF($Y25&gt;$Y22,AND(MID($A23,5,1)="D"))</formula>
    </cfRule>
  </conditionalFormatting>
  <conditionalFormatting sqref="D25 D29">
    <cfRule type="expression" dxfId="555" priority="252">
      <formula>IF($Y25&gt;$Y22,AND(MID($A25,5,1)=" "))</formula>
    </cfRule>
    <cfRule type="expression" dxfId="554" priority="253">
      <formula>IF($Y25&gt;$Y22,AND(MID($A25,5,1)="C"))</formula>
    </cfRule>
    <cfRule type="expression" dxfId="553" priority="254">
      <formula>IF($Y25&gt;$Y22,AND(MID($A25,5,1)="D"))</formula>
    </cfRule>
  </conditionalFormatting>
  <conditionalFormatting sqref="C24 C28">
    <cfRule type="expression" dxfId="552" priority="249">
      <formula>IF($Y25&gt;$Y22,AND(MID($A24,5,1)=" "))</formula>
    </cfRule>
    <cfRule type="expression" dxfId="551" priority="250">
      <formula>IF($Y25&gt;$Y22,AND(MID($A24,5,1)="C"))</formula>
    </cfRule>
    <cfRule type="expression" dxfId="550" priority="251">
      <formula>IF($Y25&gt;$Y22,AND(MID($A24,5,1)="D"))</formula>
    </cfRule>
  </conditionalFormatting>
  <conditionalFormatting sqref="A3">
    <cfRule type="expression" dxfId="549" priority="245">
      <formula>$V3&lt;&gt;0</formula>
    </cfRule>
  </conditionalFormatting>
  <conditionalFormatting sqref="A4">
    <cfRule type="expression" dxfId="548" priority="241">
      <formula>$V4&lt;&gt;0</formula>
    </cfRule>
  </conditionalFormatting>
  <conditionalFormatting sqref="A14">
    <cfRule type="expression" dxfId="547" priority="154">
      <formula>$V14&lt;&gt;0</formula>
    </cfRule>
    <cfRule type="expression" dxfId="546" priority="156">
      <formula>IF($Y17&gt;$Y14,AND(MID($A14,5,1)=" "))</formula>
    </cfRule>
    <cfRule type="expression" dxfId="545" priority="159">
      <formula>IF($Y17&gt;$Y14,AND(MID($A14,5,1)="C"))</formula>
    </cfRule>
    <cfRule type="expression" dxfId="544" priority="160">
      <formula>IF($Y17&gt;$Y14,AND(MID($A14,5,1)="D"))</formula>
    </cfRule>
  </conditionalFormatting>
  <conditionalFormatting sqref="A17">
    <cfRule type="expression" dxfId="543" priority="153">
      <formula>$V17&lt;&gt;0</formula>
    </cfRule>
    <cfRule type="expression" dxfId="542" priority="155">
      <formula>IF($Y17&gt;$Y14,AND(MID($A17,5,1)=" "))</formula>
    </cfRule>
    <cfRule type="expression" dxfId="541" priority="157">
      <formula>IF($Y17&gt;$Y14,AND(MID($A17,5,1)="C"))</formula>
    </cfRule>
    <cfRule type="expression" dxfId="540" priority="158">
      <formula>IF($Y17&gt;$Y14,AND(MID($A17,5,1)="D"))</formula>
    </cfRule>
  </conditionalFormatting>
  <conditionalFormatting sqref="A15">
    <cfRule type="expression" dxfId="539" priority="149">
      <formula>$V15&lt;&gt;0</formula>
    </cfRule>
    <cfRule type="expression" dxfId="538" priority="150">
      <formula>IF($Y17&gt;$Y14,AND(MID($A15,5,1)=" "))</formula>
    </cfRule>
    <cfRule type="expression" dxfId="537" priority="151">
      <formula>IF($Y17&gt;$Y14,AND(MID($A15,5,1)="C"))</formula>
    </cfRule>
    <cfRule type="expression" dxfId="536" priority="152">
      <formula>IF($Y17&gt;$Y14,AND(MID($A15,5,1)="D"))</formula>
    </cfRule>
  </conditionalFormatting>
  <conditionalFormatting sqref="A16">
    <cfRule type="expression" dxfId="535" priority="145">
      <formula>$V16&lt;&gt;0</formula>
    </cfRule>
    <cfRule type="expression" dxfId="534" priority="146">
      <formula>IF($Y17&gt;$Y14,AND(MID($A16,5,1)=" "))</formula>
    </cfRule>
    <cfRule type="expression" dxfId="533" priority="147">
      <formula>IF($Y17&gt;$Y14,AND(MID($A16,5,1)="C"))</formula>
    </cfRule>
    <cfRule type="expression" dxfId="532" priority="148">
      <formula>IF($Y17&gt;$Y14,AND(MID($A16,5,1)="D"))</formula>
    </cfRule>
  </conditionalFormatting>
  <conditionalFormatting sqref="A22 A26">
    <cfRule type="expression" dxfId="531" priority="122">
      <formula>$V22&lt;&gt;0</formula>
    </cfRule>
    <cfRule type="expression" dxfId="530" priority="124">
      <formula>IF($Y25&gt;$Y22,AND(MID($A22,5,1)=" "))</formula>
    </cfRule>
    <cfRule type="expression" dxfId="529" priority="127">
      <formula>IF($Y25&gt;$Y22,AND(MID($A22,5,1)="C"))</formula>
    </cfRule>
    <cfRule type="expression" dxfId="528" priority="128">
      <formula>IF($Y25&gt;$Y22,AND(MID($A22,5,1)="D"))</formula>
    </cfRule>
  </conditionalFormatting>
  <conditionalFormatting sqref="A25 A29">
    <cfRule type="expression" dxfId="527" priority="121">
      <formula>$V25&lt;&gt;0</formula>
    </cfRule>
    <cfRule type="expression" dxfId="526" priority="123">
      <formula>IF($Y25&gt;$Y22,AND(MID($A25,5,1)=" "))</formula>
    </cfRule>
    <cfRule type="expression" dxfId="525" priority="125">
      <formula>IF($Y25&gt;$Y22,AND(MID($A25,5,1)="C"))</formula>
    </cfRule>
    <cfRule type="expression" dxfId="524" priority="126">
      <formula>IF($Y25&gt;$Y22,AND(MID($A25,5,1)="D"))</formula>
    </cfRule>
  </conditionalFormatting>
  <conditionalFormatting sqref="A23 A27">
    <cfRule type="expression" dxfId="523" priority="117">
      <formula>$V23&lt;&gt;0</formula>
    </cfRule>
    <cfRule type="expression" dxfId="522" priority="118">
      <formula>IF($Y25&gt;$Y22,AND(MID($A23,5,1)=" "))</formula>
    </cfRule>
    <cfRule type="expression" dxfId="521" priority="119">
      <formula>IF($Y25&gt;$Y22,AND(MID($A23,5,1)="C"))</formula>
    </cfRule>
    <cfRule type="expression" dxfId="520" priority="120">
      <formula>IF($Y25&gt;$Y22,AND(MID($A23,5,1)="D"))</formula>
    </cfRule>
  </conditionalFormatting>
  <conditionalFormatting sqref="A24 A28">
    <cfRule type="expression" dxfId="519" priority="113">
      <formula>$V24&lt;&gt;0</formula>
    </cfRule>
    <cfRule type="expression" dxfId="518" priority="114">
      <formula>IF($Y25&gt;$Y22,AND(MID($A24,5,1)=" "))</formula>
    </cfRule>
    <cfRule type="expression" dxfId="517" priority="115">
      <formula>IF($Y25&gt;$Y22,AND(MID($A24,5,1)="C"))</formula>
    </cfRule>
    <cfRule type="expression" dxfId="516" priority="116">
      <formula>IF($Y25&gt;$Y22,AND(MID($A24,5,1)="D"))</formula>
    </cfRule>
  </conditionalFormatting>
  <conditionalFormatting sqref="A10">
    <cfRule type="expression" dxfId="515" priority="90">
      <formula>$V10&lt;&gt;0</formula>
    </cfRule>
    <cfRule type="expression" dxfId="514" priority="92">
      <formula>IF($Y13&gt;$Y10,AND(MID($A10,5,1)=" "))</formula>
    </cfRule>
    <cfRule type="expression" dxfId="513" priority="95">
      <formula>IF($Y13&gt;$Y10,AND(MID($A10,5,1)="C"))</formula>
    </cfRule>
    <cfRule type="expression" dxfId="512" priority="96">
      <formula>IF($Y13&gt;$Y10,AND(MID($A10,5,1)="D"))</formula>
    </cfRule>
  </conditionalFormatting>
  <conditionalFormatting sqref="A13">
    <cfRule type="expression" dxfId="511" priority="89">
      <formula>$V13&lt;&gt;0</formula>
    </cfRule>
    <cfRule type="expression" dxfId="510" priority="91">
      <formula>IF($Y13&gt;$Y10,AND(MID($A13,5,1)=" "))</formula>
    </cfRule>
    <cfRule type="expression" dxfId="509" priority="93">
      <formula>IF($Y13&gt;$Y10,AND(MID($A13,5,1)="C"))</formula>
    </cfRule>
    <cfRule type="expression" dxfId="508" priority="94">
      <formula>IF($Y13&gt;$Y10,AND(MID($A13,5,1)="D"))</formula>
    </cfRule>
  </conditionalFormatting>
  <conditionalFormatting sqref="A11">
    <cfRule type="expression" dxfId="507" priority="85">
      <formula>$V11&lt;&gt;0</formula>
    </cfRule>
    <cfRule type="expression" dxfId="506" priority="86">
      <formula>IF($Y13&gt;$Y10,AND(MID($A11,5,1)=" "))</formula>
    </cfRule>
    <cfRule type="expression" dxfId="505" priority="87">
      <formula>IF($Y13&gt;$Y10,AND(MID($A11,5,1)="C"))</formula>
    </cfRule>
    <cfRule type="expression" dxfId="504" priority="88">
      <formula>IF($Y13&gt;$Y10,AND(MID($A11,5,1)="D"))</formula>
    </cfRule>
  </conditionalFormatting>
  <conditionalFormatting sqref="A12">
    <cfRule type="expression" dxfId="503" priority="81">
      <formula>$V12&lt;&gt;0</formula>
    </cfRule>
    <cfRule type="expression" dxfId="502" priority="82">
      <formula>IF($Y13&gt;$Y10,AND(MID($A12,5,1)=" "))</formula>
    </cfRule>
    <cfRule type="expression" dxfId="501" priority="83">
      <formula>IF($Y13&gt;$Y10,AND(MID($A12,5,1)="C"))</formula>
    </cfRule>
    <cfRule type="expression" dxfId="500" priority="84">
      <formula>IF($Y13&gt;$Y10,AND(MID($A12,5,1)="D"))</formula>
    </cfRule>
  </conditionalFormatting>
  <conditionalFormatting sqref="A18">
    <cfRule type="expression" dxfId="499" priority="77">
      <formula>$V18&lt;&gt;0</formula>
    </cfRule>
    <cfRule type="expression" dxfId="498" priority="78">
      <formula>IF($Y21&gt;$Y18,AND(MID($A18,5,1)=" "))</formula>
    </cfRule>
    <cfRule type="expression" dxfId="497" priority="79">
      <formula>IF($Y21&gt;$Y18,AND(MID($A18,5,1)="C"))</formula>
    </cfRule>
    <cfRule type="expression" dxfId="496" priority="80">
      <formula>IF($Y21&gt;$Y18,AND(MID($A18,5,1)="D"))</formula>
    </cfRule>
  </conditionalFormatting>
  <conditionalFormatting sqref="A19">
    <cfRule type="expression" dxfId="495" priority="73">
      <formula>$V19&lt;&gt;0</formula>
    </cfRule>
    <cfRule type="expression" dxfId="494" priority="74">
      <formula>IF($Y21&gt;$Y18,AND(MID($A19,5,1)=" "))</formula>
    </cfRule>
    <cfRule type="expression" dxfId="493" priority="75">
      <formula>IF($Y21&gt;$Y18,AND(MID($A19,5,1)="C"))</formula>
    </cfRule>
    <cfRule type="expression" dxfId="492" priority="76">
      <formula>IF($Y21&gt;$Y18,AND(MID($A19,5,1)="D"))</formula>
    </cfRule>
  </conditionalFormatting>
  <conditionalFormatting sqref="A21">
    <cfRule type="expression" dxfId="491" priority="69">
      <formula>$V21&lt;&gt;0</formula>
    </cfRule>
    <cfRule type="expression" dxfId="490" priority="70">
      <formula>IF($Y21&gt;$Y18,AND(MID($A21,5,1)=" "))</formula>
    </cfRule>
    <cfRule type="expression" dxfId="489" priority="71">
      <formula>IF($Y21&gt;$Y18,AND(MID($A21,5,1)="C"))</formula>
    </cfRule>
    <cfRule type="expression" dxfId="488" priority="72">
      <formula>IF($Y21&gt;$Y18,AND(MID($A21,5,1)="D"))</formula>
    </cfRule>
  </conditionalFormatting>
  <conditionalFormatting sqref="A20">
    <cfRule type="expression" dxfId="487" priority="65">
      <formula>$V20&lt;&gt;0</formula>
    </cfRule>
    <cfRule type="expression" dxfId="486" priority="66">
      <formula>IF($Y21&gt;$Y18,AND(MID($A20,5,1)=" "))</formula>
    </cfRule>
    <cfRule type="expression" dxfId="485" priority="67">
      <formula>IF($Y21&gt;$Y18,AND(MID($A20,5,1)="C"))</formula>
    </cfRule>
    <cfRule type="expression" dxfId="484" priority="68">
      <formula>IF($Y21&gt;$Y18,AND(MID($A20,5,1)="D"))</formula>
    </cfRule>
  </conditionalFormatting>
  <conditionalFormatting sqref="A6">
    <cfRule type="expression" dxfId="483" priority="12">
      <formula>$V6&lt;&gt;0</formula>
    </cfRule>
  </conditionalFormatting>
  <conditionalFormatting sqref="A9">
    <cfRule type="expression" dxfId="482" priority="11">
      <formula>$V9&lt;&gt;0</formula>
    </cfRule>
  </conditionalFormatting>
  <conditionalFormatting sqref="A7">
    <cfRule type="expression" dxfId="481" priority="10">
      <formula>$V7&lt;&gt;0</formula>
    </cfRule>
  </conditionalFormatting>
  <conditionalFormatting sqref="A8">
    <cfRule type="expression" dxfId="480" priority="9">
      <formula>$V8&lt;&gt;0</formula>
    </cfRule>
  </conditionalFormatting>
  <conditionalFormatting sqref="AA2">
    <cfRule type="cellIs" dxfId="479" priority="8" operator="equal">
      <formula>0</formula>
    </cfRule>
  </conditionalFormatting>
  <conditionalFormatting sqref="AA3">
    <cfRule type="cellIs" dxfId="478" priority="7" operator="equal">
      <formula>0</formula>
    </cfRule>
  </conditionalFormatting>
  <conditionalFormatting sqref="AA4">
    <cfRule type="cellIs" dxfId="477" priority="6" operator="equal">
      <formula>0</formula>
    </cfRule>
  </conditionalFormatting>
  <conditionalFormatting sqref="AA5">
    <cfRule type="cellIs" dxfId="476" priority="5" operator="equal">
      <formula>0</formula>
    </cfRule>
  </conditionalFormatting>
  <conditionalFormatting sqref="AA6">
    <cfRule type="cellIs" dxfId="475" priority="4" operator="equal">
      <formula>0</formula>
    </cfRule>
  </conditionalFormatting>
  <conditionalFormatting sqref="AA7">
    <cfRule type="cellIs" dxfId="474" priority="3" operator="equal">
      <formula>0</formula>
    </cfRule>
  </conditionalFormatting>
  <conditionalFormatting sqref="AA8">
    <cfRule type="cellIs" dxfId="473" priority="2" operator="equal">
      <formula>0</formula>
    </cfRule>
  </conditionalFormatting>
  <conditionalFormatting sqref="AA9">
    <cfRule type="cellIs" dxfId="472"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H1" zoomScale="80" zoomScaleNormal="80" workbookViewId="0">
      <selection activeCell="W3" sqref="W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6.1406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customWidth="1"/>
    <col min="24" max="24" width="12"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727">
        <f>I76</f>
        <v>1136.8976000000002</v>
      </c>
      <c r="M2" s="728"/>
      <c r="N2" s="82" t="s">
        <v>350</v>
      </c>
      <c r="O2" s="83" t="s">
        <v>351</v>
      </c>
      <c r="P2" s="84" t="s">
        <v>352</v>
      </c>
      <c r="Q2" s="85" t="s">
        <v>353</v>
      </c>
      <c r="R2" s="86"/>
      <c r="S2" s="87" t="s">
        <v>354</v>
      </c>
      <c r="T2" s="313" t="s">
        <v>340</v>
      </c>
      <c r="U2" s="313" t="s">
        <v>341</v>
      </c>
      <c r="V2" s="313" t="s">
        <v>355</v>
      </c>
      <c r="W2" s="313"/>
      <c r="X2" s="313" t="s">
        <v>356</v>
      </c>
      <c r="Y2" s="368" t="s">
        <v>357</v>
      </c>
      <c r="Z2" s="368" t="s">
        <v>358</v>
      </c>
      <c r="AA2" s="368" t="s">
        <v>359</v>
      </c>
      <c r="AB2" s="368" t="s">
        <v>360</v>
      </c>
      <c r="AC2" s="368" t="s">
        <v>361</v>
      </c>
      <c r="AD2" s="369" t="s">
        <v>362</v>
      </c>
      <c r="AE2" s="241" t="s">
        <v>363</v>
      </c>
      <c r="AF2" s="314" t="s">
        <v>340</v>
      </c>
      <c r="AG2" s="315" t="s">
        <v>341</v>
      </c>
      <c r="AH2" s="314" t="s">
        <v>364</v>
      </c>
      <c r="AI2" s="314"/>
      <c r="AJ2" s="314" t="s">
        <v>356</v>
      </c>
      <c r="AK2" s="368" t="s">
        <v>357</v>
      </c>
      <c r="AL2" s="368" t="s">
        <v>358</v>
      </c>
      <c r="AM2" s="368" t="s">
        <v>359</v>
      </c>
      <c r="AN2" s="368" t="s">
        <v>360</v>
      </c>
      <c r="AO2" s="368" t="s">
        <v>361</v>
      </c>
      <c r="AP2" s="368"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v>1</v>
      </c>
      <c r="C3" s="248">
        <v>1640</v>
      </c>
      <c r="D3" s="249">
        <v>144</v>
      </c>
      <c r="E3" s="256">
        <f t="shared" ref="E3:E72" si="0">+B3*D3*-100</f>
        <v>-14400</v>
      </c>
      <c r="F3" s="257">
        <f t="shared" ref="F3:F66" si="1">IF(B3&gt;0,+B3*D3*(1+($Q$53+0.002)*1.21)*-100,B3*D3*(1-($Q$53+0.002)*1.21)*-100)</f>
        <v>-14525.452799999999</v>
      </c>
      <c r="G3" s="252">
        <f>IFERROR(VLOOKUP(C3,$U$3:$AD$50,7,0),"")</f>
        <v>0</v>
      </c>
      <c r="H3" s="258">
        <f>IFERROR(+G3*B3*-100,0)</f>
        <v>0</v>
      </c>
      <c r="I3" s="259">
        <f t="shared" ref="I3:I72" si="2">+IF(G3="",0,(F3-H3))</f>
        <v>-14525.452799999999</v>
      </c>
      <c r="J3" s="69"/>
      <c r="K3" s="69"/>
      <c r="L3" s="69"/>
      <c r="M3" s="69"/>
      <c r="N3" s="107"/>
      <c r="O3" s="294">
        <f t="shared" ref="O3:O17" si="3">+O4*(1-$Q$42)</f>
        <v>0</v>
      </c>
      <c r="P3" s="108">
        <f t="shared" ref="P3:P34" si="4">EW3</f>
        <v>1136.9000000000001</v>
      </c>
      <c r="Q3" s="108">
        <f t="shared" ref="Q3:Q34" ca="1" si="5">GN3</f>
        <v>1136.9000000000001</v>
      </c>
      <c r="R3" s="62"/>
      <c r="S3" s="246" t="str">
        <f t="shared" ref="S3:S9" si="6">IF(AA3&gt;0,ABS((U3+AA3)),"")</f>
        <v/>
      </c>
      <c r="T3" s="110">
        <f t="shared" ref="T3:T8" si="7">SUMIFS(B$3:B$37,C$3:C$37,U3)</f>
        <v>0</v>
      </c>
      <c r="U3" s="240">
        <v>1491.5</v>
      </c>
      <c r="V3" s="112">
        <f ca="1">IFERROR((NORMSDIST(((LN($O$18/$U3)+($Q$48+($Q$46^2)/2)*$Q$51)/($Q$46*SQRT($Q$51))))*$O$18-NORMSDIST((((LN($O$18/$U3)+($Q$48+($Q$46^2)/2)*$Q$51)/($Q$46*SQRT($Q$51)))-$Q$46*SQRT(($Q$51))))*$U3*EXP(-$Q$48*$Q$51)),0)</f>
        <v>0</v>
      </c>
      <c r="W3" s="113"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GFGC14915D - 24hs</v>
      </c>
      <c r="X3" s="113"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GFGC14915D</v>
      </c>
      <c r="Y3" s="242">
        <f>IFERROR(VLOOKUP($X3,HomeBroker!$A$2:$F$103,2,0),0)</f>
        <v>0</v>
      </c>
      <c r="Z3" s="242">
        <f>IFERROR(VLOOKUP($X3,HomeBroker!$A$2:$F$103,3,0),0)</f>
        <v>0</v>
      </c>
      <c r="AA3" s="243">
        <f>IFERROR(VLOOKUP($X3,HomeBroker!$A$2:$F$103,6,0),0)</f>
        <v>0</v>
      </c>
      <c r="AB3" s="242">
        <f>IFERROR(VLOOKUP($X3,HomeBroker!$A$2:$F$103,4,0),0)</f>
        <v>0</v>
      </c>
      <c r="AC3" s="242">
        <f>IFERROR(VLOOKUP($X3,HomeBroker!$A$2:$F$103,5,0),0)</f>
        <v>0</v>
      </c>
      <c r="AD3" s="305">
        <f>IFERROR(VLOOKUP($X3,HomeBroker!$A$2:$N$103,14,0),0)</f>
        <v>0</v>
      </c>
      <c r="AE3" s="247" t="str">
        <f>IF(AM3&gt;0,ABS((AG3+AM3)),"")</f>
        <v/>
      </c>
      <c r="AF3" s="110">
        <f>SUMIFS(B$38:B$72,C$38:C$72,AG3)</f>
        <v>0</v>
      </c>
      <c r="AG3" s="240">
        <v>804.56</v>
      </c>
      <c r="AH3" s="112">
        <f ca="1">IFERROR((NORMSDIST(-(((LN($O$18/$AG3)+($Q$48+($Q$47^2)/2)*$Q$51)/($Q$47*SQRT($Q$51)))-$Q$47*SQRT($Q$51)))*$AG3*EXP(-$Q$48*$Q$51)-NORMSDIST(-((LN($O$18/$AG3)+($Q$48+($Q$47^2)/2)*$Q$51)/($Q$47*SQRT($Q$51))))*$O$18),0)</f>
        <v>0</v>
      </c>
      <c r="AI3" s="113"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GFGV80456I - 24hs</v>
      </c>
      <c r="AJ3" s="113"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GFGV80456D</v>
      </c>
      <c r="AK3" s="237">
        <f>IFERROR(VLOOKUP($AJ3,HomeBroker!$A$2:$F$103,2,0),0)</f>
        <v>0</v>
      </c>
      <c r="AL3" s="242">
        <f>IFERROR(VLOOKUP($AJ3,HomeBroker!$A$2:$F$103,3,0),0)</f>
        <v>0</v>
      </c>
      <c r="AM3" s="243">
        <f>IFERROR(VLOOKUP($AJ3,HomeBroker!$A$2:$F$103,6,0),0)</f>
        <v>0</v>
      </c>
      <c r="AN3" s="242">
        <f>IFERROR(VLOOKUP($AJ3,HomeBroker!$A$2:$F$103,4,0),0)</f>
        <v>0</v>
      </c>
      <c r="AO3" s="237">
        <f>IFERROR(VLOOKUP($AJ3,HomeBroker!$A$2:$F$103,5,0),0)</f>
        <v>0</v>
      </c>
      <c r="AP3" s="115">
        <f>IFERROR(VLOOKUP($AJ3,HomeBroker!$A$2:$N$103,14,0),0)</f>
        <v>0</v>
      </c>
      <c r="AQ3" s="62"/>
      <c r="AR3" s="109" t="str">
        <f>IF(OR(U3="",AA3=0,AM3=0),"-",U3+AA3-AM3-$O$18)</f>
        <v>-</v>
      </c>
      <c r="AS3" s="109" t="str">
        <f>IF(AND($O$18&gt;U3,AA3&gt;0),AA3-AT3,IF(AND($O$18&lt;U3,AM3&gt;0),AM3-AT3,"-"))</f>
        <v>-</v>
      </c>
      <c r="AT3" s="109">
        <f>IF(U3="","-",ABS(U3-$O$18))</f>
        <v>1491.5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1136.8976000000002</v>
      </c>
      <c r="EV3" s="128"/>
      <c r="EW3" s="129">
        <f t="shared" ref="EW3:EW34" si="53">ROUND($EU$3+ES3+EW36+EW70+EW103,2)</f>
        <v>1136.9000000000001</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1136.8976000000002</v>
      </c>
      <c r="GM3" s="128"/>
      <c r="GN3" s="129">
        <f t="shared" ref="GN3:GN34" ca="1" si="56">ROUND($GL$3+GJ3+GN36+GN70+GN103,2)</f>
        <v>1136.9000000000001</v>
      </c>
    </row>
    <row r="4" spans="1:196" ht="15">
      <c r="A4" s="130" t="s">
        <v>410</v>
      </c>
      <c r="B4" s="255">
        <v>-2</v>
      </c>
      <c r="C4" s="248">
        <v>1931.5</v>
      </c>
      <c r="D4" s="249">
        <v>79</v>
      </c>
      <c r="E4" s="256">
        <f t="shared" si="0"/>
        <v>15800</v>
      </c>
      <c r="F4" s="257">
        <f t="shared" si="1"/>
        <v>15662.350399999999</v>
      </c>
      <c r="G4" s="252">
        <f t="shared" ref="G4:G37" si="57">IFERROR(VLOOKUP(C4,$U$3:$AD$50,7,0),"")</f>
        <v>0</v>
      </c>
      <c r="H4" s="258">
        <f t="shared" ref="H4:H67" si="58">IFERROR(+G4*B4*-100,0)</f>
        <v>0</v>
      </c>
      <c r="I4" s="259">
        <f t="shared" si="2"/>
        <v>15662.350399999999</v>
      </c>
      <c r="J4" s="131">
        <f>IFERROR(D3/D4,"")</f>
        <v>1.8227848101265822</v>
      </c>
      <c r="K4" s="132" t="str">
        <f>IFERROR(G3/G4,"")</f>
        <v/>
      </c>
      <c r="L4" s="133" t="str">
        <f>IFERROR(K4/J4-1,"")</f>
        <v/>
      </c>
      <c r="M4" s="134">
        <f>I3+I4</f>
        <v>1136.8976000000002</v>
      </c>
      <c r="N4" s="144"/>
      <c r="O4" s="295">
        <f t="shared" si="3"/>
        <v>0</v>
      </c>
      <c r="P4" s="135">
        <f t="shared" si="4"/>
        <v>1136.9000000000001</v>
      </c>
      <c r="Q4" s="135">
        <f t="shared" ca="1" si="5"/>
        <v>1136.9000000000001</v>
      </c>
      <c r="R4" s="62"/>
      <c r="S4" s="246" t="str">
        <f t="shared" si="6"/>
        <v/>
      </c>
      <c r="T4" s="110">
        <f t="shared" si="7"/>
        <v>0</v>
      </c>
      <c r="U4" s="240">
        <v>1570</v>
      </c>
      <c r="V4" s="112">
        <f t="shared" ref="V4:V42" ca="1" si="59">IFERROR((NORMSDIST(((LN($O$18/$U4)+($Q$48+($Q$46^2)/2)*$Q$51)/($Q$46*SQRT($Q$51))))*$O$18-NORMSDIST((((LN($O$18/$U4)+($Q$48+($Q$46^2)/2)*$Q$51)/($Q$46*SQRT($Q$51)))-$Q$46*SQRT(($Q$51))))*$U4*EXP(-$Q$48*$Q$51)),0)</f>
        <v>0</v>
      </c>
      <c r="W4" s="113" t="str">
        <f t="shared" si="8"/>
        <v>MERV - XMEV - GFGC1570DI - 24hs</v>
      </c>
      <c r="X4" s="113"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GFGC1570DI</v>
      </c>
      <c r="Y4" s="242">
        <f>IFERROR(VLOOKUP($X4,HomeBroker!$A$2:$F$103,2,0),0)</f>
        <v>0</v>
      </c>
      <c r="Z4" s="242">
        <f>IFERROR(VLOOKUP($X4,HomeBroker!$A$2:$F$103,3,0),0)</f>
        <v>0</v>
      </c>
      <c r="AA4" s="243">
        <f>IFERROR(VLOOKUP($X4,HomeBroker!$A$2:$F$103,6,0),0)</f>
        <v>0</v>
      </c>
      <c r="AB4" s="242">
        <f>IFERROR(VLOOKUP($X4,HomeBroker!$A$2:$F$103,4,0),0)</f>
        <v>0</v>
      </c>
      <c r="AC4" s="242">
        <f>IFERROR(VLOOKUP($X4,HomeBroker!$A$2:$F$103,5,0),0)</f>
        <v>0</v>
      </c>
      <c r="AD4" s="305">
        <f>IFERROR(VLOOKUP($X4,HomeBroker!$A$2:$N$103,14,0),0)</f>
        <v>0</v>
      </c>
      <c r="AE4" s="247" t="str">
        <f t="shared" ref="AE4:AE42" si="61">IF(AM4&gt;0,ABS((AG4+AM4)),"")</f>
        <v/>
      </c>
      <c r="AF4" s="110">
        <f t="shared" ref="AF4:AF17" si="62">SUMIFS(B$38:B$72,C$38:C$72,AG4)</f>
        <v>0</v>
      </c>
      <c r="AG4" s="240">
        <v>830</v>
      </c>
      <c r="AH4" s="112">
        <f t="shared" ref="AH4:AH42" ca="1" si="63">IFERROR((NORMSDIST(-(((LN($O$18/$AG4)+($Q$48+($Q$47^2)/2)*$Q$51)/($Q$47*SQRT($Q$51)))-$Q$47*SQRT($Q$51)))*$AG4*EXP(-$Q$48*$Q$51)-NORMSDIST(-((LN($O$18/$AG4)+($Q$48+($Q$47^2)/2)*$Q$51)/($Q$47*SQRT($Q$51))))*$O$18),0)</f>
        <v>0</v>
      </c>
      <c r="AI4" s="113" t="str">
        <f t="shared" si="9"/>
        <v>MERV - XMEV - GFGV830.DI - 24hs</v>
      </c>
      <c r="AJ4" s="113"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GFGV830.DI</v>
      </c>
      <c r="AK4" s="237">
        <f>IFERROR(VLOOKUP($AJ4,HomeBroker!$A$2:$F$103,2,0),0)</f>
        <v>0</v>
      </c>
      <c r="AL4" s="242">
        <f>IFERROR(VLOOKUP($AJ4,HomeBroker!$A$2:$F$103,3,0),0)</f>
        <v>0</v>
      </c>
      <c r="AM4" s="243">
        <f>IFERROR(VLOOKUP($AJ4,HomeBroker!$A$2:$F$103,6,0),0)</f>
        <v>0</v>
      </c>
      <c r="AN4" s="242">
        <f>IFERROR(VLOOKUP($AJ4,HomeBroker!$A$2:$F$103,4,0),0)</f>
        <v>0</v>
      </c>
      <c r="AO4" s="237">
        <f>IFERROR(VLOOKUP($AJ4,HomeBroker!$A$2:$F$103,5,0),0)</f>
        <v>0</v>
      </c>
      <c r="AP4" s="115">
        <f>IFERROR(VLOOKUP($AJ4,HomeBroker!$A$2:$N$103,14,0),0)</f>
        <v>0</v>
      </c>
      <c r="AQ4" s="62"/>
      <c r="AR4" s="109" t="str">
        <f t="shared" ref="AR4:AR42" si="65">IF(OR(U4="",AA4=0,AM4=0),"-",U4+AA4-AM4-$O$18)</f>
        <v>-</v>
      </c>
      <c r="AS4" s="109" t="str">
        <f t="shared" ref="AS4:AS42" si="66">IF(AND($O$18&gt;U4,AA4&gt;0),AA4-AT4,IF(AND($O$18&lt;U4,AM4&gt;0),AM4-AT4,"-"))</f>
        <v>-</v>
      </c>
      <c r="AT4" s="109">
        <f t="shared" ref="AT4:AT42" si="67">IF(U4="","-",ABS(U4-$O$18))</f>
        <v>1570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1136.9000000000001</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1136.9000000000001</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1136.9000000000001</v>
      </c>
      <c r="Q5" s="135">
        <f t="shared" ca="1" si="5"/>
        <v>1136.9000000000001</v>
      </c>
      <c r="R5" s="62"/>
      <c r="S5" s="246" t="str">
        <f t="shared" si="6"/>
        <v/>
      </c>
      <c r="T5" s="110">
        <f t="shared" si="7"/>
        <v>1</v>
      </c>
      <c r="U5" s="240">
        <v>1640</v>
      </c>
      <c r="V5" s="112">
        <f t="shared" ca="1" si="59"/>
        <v>0</v>
      </c>
      <c r="W5" s="113" t="str">
        <f t="shared" si="8"/>
        <v>MERV - XMEV - GFGC1640DI - 24hs</v>
      </c>
      <c r="X5" s="113" t="str">
        <f t="shared" si="60"/>
        <v>GFGC1640DI</v>
      </c>
      <c r="Y5" s="242">
        <f>IFERROR(VLOOKUP($X5,HomeBroker!$A$2:$F$103,2,0),0)</f>
        <v>0</v>
      </c>
      <c r="Z5" s="242">
        <f>IFERROR(VLOOKUP($X5,HomeBroker!$A$2:$F$103,3,0),0)</f>
        <v>0</v>
      </c>
      <c r="AA5" s="243">
        <f>IFERROR(VLOOKUP($X5,HomeBroker!$A$2:$F$103,6,0),0)</f>
        <v>0</v>
      </c>
      <c r="AB5" s="242">
        <f>IFERROR(VLOOKUP($X5,HomeBroker!$A$2:$F$103,4,0),0)</f>
        <v>0</v>
      </c>
      <c r="AC5" s="242">
        <f>IFERROR(VLOOKUP($X5,HomeBroker!$A$2:$F$103,5,0),0)</f>
        <v>0</v>
      </c>
      <c r="AD5" s="305">
        <f>IFERROR(VLOOKUP($X5,HomeBroker!$A$2:$N$103,14,0),0)</f>
        <v>0</v>
      </c>
      <c r="AE5" s="247" t="str">
        <f t="shared" si="61"/>
        <v/>
      </c>
      <c r="AF5" s="110">
        <f t="shared" si="62"/>
        <v>0</v>
      </c>
      <c r="AG5" s="240">
        <v>901.52</v>
      </c>
      <c r="AH5" s="112">
        <f t="shared" ca="1" si="63"/>
        <v>0</v>
      </c>
      <c r="AI5" s="113" t="str">
        <f t="shared" si="9"/>
        <v>MERV - XMEV - GFGV90152I - 24hs</v>
      </c>
      <c r="AJ5" s="113" t="str">
        <f t="shared" si="64"/>
        <v>GFGV90152D</v>
      </c>
      <c r="AK5" s="237">
        <f>IFERROR(VLOOKUP($AJ5,HomeBroker!$A$2:$F$103,2,0),0)</f>
        <v>0</v>
      </c>
      <c r="AL5" s="242">
        <f>IFERROR(VLOOKUP($AJ5,HomeBroker!$A$2:$F$103,3,0),0)</f>
        <v>0</v>
      </c>
      <c r="AM5" s="243">
        <f>IFERROR(VLOOKUP($AJ5,HomeBroker!$A$2:$F$103,6,0),0)</f>
        <v>0</v>
      </c>
      <c r="AN5" s="242">
        <f>IFERROR(VLOOKUP($AJ5,HomeBroker!$A$2:$F$103,4,0),0)</f>
        <v>0</v>
      </c>
      <c r="AO5" s="237">
        <f>IFERROR(VLOOKUP($AJ5,HomeBroker!$A$2:$F$103,5,0),0)</f>
        <v>0</v>
      </c>
      <c r="AP5" s="115">
        <f>IFERROR(VLOOKUP($AJ5,HomeBroker!$A$2:$N$103,14,0),0)</f>
        <v>0</v>
      </c>
      <c r="AQ5" s="62"/>
      <c r="AR5" s="109" t="str">
        <f t="shared" si="65"/>
        <v>-</v>
      </c>
      <c r="AS5" s="109" t="str">
        <f t="shared" si="66"/>
        <v>-</v>
      </c>
      <c r="AT5" s="109">
        <f t="shared" si="67"/>
        <v>1640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1136.9000000000001</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1136.9000000000001</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1136.9000000000001</v>
      </c>
      <c r="Q6" s="142">
        <f t="shared" ca="1" si="5"/>
        <v>1136.9000000000001</v>
      </c>
      <c r="R6" s="62"/>
      <c r="S6" s="246" t="str">
        <f t="shared" si="6"/>
        <v/>
      </c>
      <c r="T6" s="110">
        <f t="shared" si="7"/>
        <v>0</v>
      </c>
      <c r="U6" s="240">
        <v>1771.5</v>
      </c>
      <c r="V6" s="112">
        <f t="shared" ca="1" si="59"/>
        <v>0</v>
      </c>
      <c r="W6" s="113" t="str">
        <f t="shared" si="8"/>
        <v>MERV - XMEV - GFGC17715D - 24hs</v>
      </c>
      <c r="X6" s="113" t="str">
        <f t="shared" si="60"/>
        <v>GFGC17715D</v>
      </c>
      <c r="Y6" s="242">
        <f>IFERROR(VLOOKUP($X6,HomeBroker!$A$2:$F$103,2,0),0)</f>
        <v>0</v>
      </c>
      <c r="Z6" s="242">
        <f>IFERROR(VLOOKUP($X6,HomeBroker!$A$2:$F$103,3,0),0)</f>
        <v>0</v>
      </c>
      <c r="AA6" s="243">
        <f>IFERROR(VLOOKUP($X6,HomeBroker!$A$2:$F$103,6,0),0)</f>
        <v>0</v>
      </c>
      <c r="AB6" s="242">
        <f>IFERROR(VLOOKUP($X6,HomeBroker!$A$2:$F$103,4,0),0)</f>
        <v>0</v>
      </c>
      <c r="AC6" s="242">
        <f>IFERROR(VLOOKUP($X6,HomeBroker!$A$2:$F$103,5,0),0)</f>
        <v>0</v>
      </c>
      <c r="AD6" s="305">
        <f>IFERROR(VLOOKUP($X6,HomeBroker!$A$2:$N$103,14,0),0)</f>
        <v>0</v>
      </c>
      <c r="AE6" s="247" t="str">
        <f t="shared" si="61"/>
        <v/>
      </c>
      <c r="AF6" s="110">
        <f t="shared" si="62"/>
        <v>0</v>
      </c>
      <c r="AG6" s="240">
        <v>941.52</v>
      </c>
      <c r="AH6" s="112">
        <f t="shared" ca="1" si="63"/>
        <v>0</v>
      </c>
      <c r="AI6" s="113" t="str">
        <f t="shared" si="9"/>
        <v>MERV - XMEV - GFGV94152I - 24hs</v>
      </c>
      <c r="AJ6" s="113" t="str">
        <f t="shared" si="64"/>
        <v>GFGV94152D</v>
      </c>
      <c r="AK6" s="237">
        <f>IFERROR(VLOOKUP($AJ6,HomeBroker!$A$2:$F$103,2,0),0)</f>
        <v>0</v>
      </c>
      <c r="AL6" s="242">
        <f>IFERROR(VLOOKUP($AJ6,HomeBroker!$A$2:$F$103,3,0),0)</f>
        <v>0</v>
      </c>
      <c r="AM6" s="243">
        <f>IFERROR(VLOOKUP($AJ6,HomeBroker!$A$2:$F$103,6,0),0)</f>
        <v>0</v>
      </c>
      <c r="AN6" s="242">
        <f>IFERROR(VLOOKUP($AJ6,HomeBroker!$A$2:$F$103,4,0),0)</f>
        <v>0</v>
      </c>
      <c r="AO6" s="237">
        <f>IFERROR(VLOOKUP($AJ6,HomeBroker!$A$2:$F$103,5,0),0)</f>
        <v>0</v>
      </c>
      <c r="AP6" s="115">
        <f>IFERROR(VLOOKUP($AJ6,HomeBroker!$A$2:$N$103,14,0),0)</f>
        <v>0</v>
      </c>
      <c r="AQ6" s="62"/>
      <c r="AR6" s="109" t="str">
        <f t="shared" si="65"/>
        <v>-</v>
      </c>
      <c r="AS6" s="109" t="str">
        <f t="shared" si="66"/>
        <v>-</v>
      </c>
      <c r="AT6" s="109">
        <f t="shared" si="67"/>
        <v>1771.5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1136.9000000000001</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1136.9000000000001</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e">
        <f>-1+(O7/$O$18)</f>
        <v>#DIV/0!</v>
      </c>
      <c r="O7" s="295">
        <f t="shared" si="3"/>
        <v>0</v>
      </c>
      <c r="P7" s="135">
        <f t="shared" si="4"/>
        <v>1136.9000000000001</v>
      </c>
      <c r="Q7" s="135">
        <f t="shared" ca="1" si="5"/>
        <v>1136.9000000000001</v>
      </c>
      <c r="R7" s="62"/>
      <c r="S7" s="246" t="str">
        <f t="shared" si="6"/>
        <v/>
      </c>
      <c r="T7" s="110">
        <f t="shared" si="7"/>
        <v>0</v>
      </c>
      <c r="U7" s="240">
        <v>1851.5</v>
      </c>
      <c r="V7" s="112">
        <f t="shared" ca="1" si="59"/>
        <v>0</v>
      </c>
      <c r="W7" s="113" t="str">
        <f t="shared" si="8"/>
        <v>MERV - XMEV - GFGC18515D - 24hs</v>
      </c>
      <c r="X7" s="113" t="str">
        <f t="shared" si="60"/>
        <v>GFGC18515D</v>
      </c>
      <c r="Y7" s="242">
        <f>IFERROR(VLOOKUP($X7,HomeBroker!$A$2:$F$103,2,0),0)</f>
        <v>0</v>
      </c>
      <c r="Z7" s="242">
        <f>IFERROR(VLOOKUP($X7,HomeBroker!$A$2:$F$103,3,0),0)</f>
        <v>0</v>
      </c>
      <c r="AA7" s="243">
        <f>IFERROR(VLOOKUP($X7,HomeBroker!$A$2:$F$103,6,0),0)</f>
        <v>0</v>
      </c>
      <c r="AB7" s="242">
        <f>IFERROR(VLOOKUP($X7,HomeBroker!$A$2:$F$103,4,0),0)</f>
        <v>0</v>
      </c>
      <c r="AC7" s="242">
        <f>IFERROR(VLOOKUP($X7,HomeBroker!$A$2:$F$103,5,0),0)</f>
        <v>0</v>
      </c>
      <c r="AD7" s="305">
        <f>IFERROR(VLOOKUP($X7,HomeBroker!$A$2:$N$103,14,0),0)</f>
        <v>0</v>
      </c>
      <c r="AE7" s="247" t="str">
        <f t="shared" si="61"/>
        <v/>
      </c>
      <c r="AF7" s="110">
        <f t="shared" si="62"/>
        <v>0</v>
      </c>
      <c r="AG7" s="240">
        <v>990</v>
      </c>
      <c r="AH7" s="112">
        <f t="shared" ca="1" si="63"/>
        <v>0</v>
      </c>
      <c r="AI7" s="113" t="str">
        <f t="shared" si="9"/>
        <v>MERV - XMEV - GFGV990.DI - 24hs</v>
      </c>
      <c r="AJ7" s="113" t="str">
        <f t="shared" si="64"/>
        <v>GFGV990.DI</v>
      </c>
      <c r="AK7" s="237">
        <f>IFERROR(VLOOKUP($AJ7,HomeBroker!$A$2:$F$103,2,0),0)</f>
        <v>0</v>
      </c>
      <c r="AL7" s="242">
        <f>IFERROR(VLOOKUP($AJ7,HomeBroker!$A$2:$F$103,3,0),0)</f>
        <v>0</v>
      </c>
      <c r="AM7" s="243">
        <f>IFERROR(VLOOKUP($AJ7,HomeBroker!$A$2:$F$103,6,0),0)</f>
        <v>0</v>
      </c>
      <c r="AN7" s="242">
        <f>IFERROR(VLOOKUP($AJ7,HomeBroker!$A$2:$F$103,4,0),0)</f>
        <v>0</v>
      </c>
      <c r="AO7" s="237">
        <f>IFERROR(VLOOKUP($AJ7,HomeBroker!$A$2:$F$103,5,0),0)</f>
        <v>0</v>
      </c>
      <c r="AP7" s="115">
        <f>IFERROR(VLOOKUP($AJ7,HomeBroker!$A$2:$N$103,14,0),0)</f>
        <v>0</v>
      </c>
      <c r="AQ7" s="62"/>
      <c r="AR7" s="109" t="str">
        <f t="shared" si="65"/>
        <v>-</v>
      </c>
      <c r="AS7" s="109" t="str">
        <f t="shared" si="66"/>
        <v>-</v>
      </c>
      <c r="AT7" s="109">
        <f t="shared" si="67"/>
        <v>1851.5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1136.9000000000001</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1136.9000000000001</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1136.9000000000001</v>
      </c>
      <c r="Q8" s="135">
        <f t="shared" ca="1" si="5"/>
        <v>1136.9000000000001</v>
      </c>
      <c r="R8" s="62"/>
      <c r="S8" s="246" t="str">
        <f t="shared" si="6"/>
        <v/>
      </c>
      <c r="T8" s="110">
        <f t="shared" si="7"/>
        <v>-2</v>
      </c>
      <c r="U8" s="240">
        <v>1931.5</v>
      </c>
      <c r="V8" s="112">
        <f t="shared" ca="1" si="59"/>
        <v>0</v>
      </c>
      <c r="W8" s="113" t="str">
        <f t="shared" si="8"/>
        <v>MERV - XMEV - GFGC19315D - 24hs</v>
      </c>
      <c r="X8" s="113" t="str">
        <f t="shared" si="60"/>
        <v>GFGC19315D</v>
      </c>
      <c r="Y8" s="242">
        <f>IFERROR(VLOOKUP($X8,HomeBroker!$A$2:$F$103,2,0),0)</f>
        <v>0</v>
      </c>
      <c r="Z8" s="242">
        <f>IFERROR(VLOOKUP($X8,HomeBroker!$A$2:$F$103,3,0),0)</f>
        <v>0</v>
      </c>
      <c r="AA8" s="243">
        <f>IFERROR(VLOOKUP($X8,HomeBroker!$A$2:$F$103,6,0),0)</f>
        <v>0</v>
      </c>
      <c r="AB8" s="242">
        <f>IFERROR(VLOOKUP($X8,HomeBroker!$A$2:$F$103,4,0),0)</f>
        <v>0</v>
      </c>
      <c r="AC8" s="242">
        <f>IFERROR(VLOOKUP($X8,HomeBroker!$A$2:$F$103,5,0),0)</f>
        <v>0</v>
      </c>
      <c r="AD8" s="305">
        <f>IFERROR(VLOOKUP($X8,HomeBroker!$A$2:$N$103,14,0),0)</f>
        <v>0</v>
      </c>
      <c r="AE8" s="247" t="str">
        <f t="shared" si="61"/>
        <v/>
      </c>
      <c r="AF8" s="110">
        <f t="shared" si="62"/>
        <v>0</v>
      </c>
      <c r="AG8" s="240">
        <v>1033</v>
      </c>
      <c r="AH8" s="112">
        <f t="shared" ca="1" si="63"/>
        <v>0</v>
      </c>
      <c r="AI8" s="113" t="str">
        <f t="shared" si="9"/>
        <v>MERV - XMEV - GFGV1033DI - 24hs</v>
      </c>
      <c r="AJ8" s="113" t="str">
        <f t="shared" si="64"/>
        <v>GFGV1033DI</v>
      </c>
      <c r="AK8" s="237">
        <f>IFERROR(VLOOKUP($AJ8,HomeBroker!$A$2:$F$103,2,0),0)</f>
        <v>0</v>
      </c>
      <c r="AL8" s="242">
        <f>IFERROR(VLOOKUP($AJ8,HomeBroker!$A$2:$F$103,3,0),0)</f>
        <v>0</v>
      </c>
      <c r="AM8" s="243">
        <f>IFERROR(VLOOKUP($AJ8,HomeBroker!$A$2:$F$103,6,0),0)</f>
        <v>0</v>
      </c>
      <c r="AN8" s="242">
        <f>IFERROR(VLOOKUP($AJ8,HomeBroker!$A$2:$F$103,4,0),0)</f>
        <v>0</v>
      </c>
      <c r="AO8" s="237">
        <f>IFERROR(VLOOKUP($AJ8,HomeBroker!$A$2:$F$103,5,0),0)</f>
        <v>0</v>
      </c>
      <c r="AP8" s="115">
        <f>IFERROR(VLOOKUP($AJ8,HomeBroker!$A$2:$N$103,14,0),0)</f>
        <v>0</v>
      </c>
      <c r="AQ8" s="62"/>
      <c r="AR8" s="109" t="str">
        <f t="shared" si="65"/>
        <v>-</v>
      </c>
      <c r="AS8" s="109" t="str">
        <f t="shared" si="66"/>
        <v>-</v>
      </c>
      <c r="AT8" s="109">
        <f t="shared" si="67"/>
        <v>1931.5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1136.9000000000001</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1136.9000000000001</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1136.9000000000001</v>
      </c>
      <c r="Q9" s="142">
        <f t="shared" ca="1" si="5"/>
        <v>1136.9000000000001</v>
      </c>
      <c r="R9" s="62"/>
      <c r="S9" s="246" t="str">
        <f t="shared" si="6"/>
        <v/>
      </c>
      <c r="T9" s="110">
        <f>SUMIFS(B$3:B$37,C$3:C$37,U9)</f>
        <v>0</v>
      </c>
      <c r="U9" s="240">
        <v>2020</v>
      </c>
      <c r="V9" s="112">
        <f t="shared" ca="1" si="59"/>
        <v>0</v>
      </c>
      <c r="W9" s="113" t="str">
        <f t="shared" si="8"/>
        <v>MERV - XMEV - GFGC2020DI - 24hs</v>
      </c>
      <c r="X9" s="113" t="str">
        <f t="shared" si="60"/>
        <v>GFGC2020DI</v>
      </c>
      <c r="Y9" s="242">
        <f>IFERROR(VLOOKUP($X9,HomeBroker!$A$2:$F$103,2,0),0)</f>
        <v>0</v>
      </c>
      <c r="Z9" s="242">
        <f>IFERROR(VLOOKUP($X9,HomeBroker!$A$2:$F$103,3,0),0)</f>
        <v>0</v>
      </c>
      <c r="AA9" s="243">
        <f>IFERROR(VLOOKUP($X9,HomeBroker!$A$2:$F$103,6,0),0)</f>
        <v>0</v>
      </c>
      <c r="AB9" s="242">
        <f>IFERROR(VLOOKUP($X9,HomeBroker!$A$2:$F$103,4,0),0)</f>
        <v>0</v>
      </c>
      <c r="AC9" s="242">
        <f>IFERROR(VLOOKUP($X9,HomeBroker!$A$2:$F$103,5,0),0)</f>
        <v>0</v>
      </c>
      <c r="AD9" s="305">
        <f>IFERROR(VLOOKUP($X9,HomeBroker!$A$2:$N$103,14,0),0)</f>
        <v>0</v>
      </c>
      <c r="AE9" s="247" t="str">
        <f t="shared" si="61"/>
        <v/>
      </c>
      <c r="AF9" s="110">
        <f t="shared" si="62"/>
        <v>0</v>
      </c>
      <c r="AG9" s="240">
        <v>1091.5</v>
      </c>
      <c r="AH9" s="112">
        <f t="shared" ca="1" si="63"/>
        <v>0</v>
      </c>
      <c r="AI9" s="113" t="str">
        <f t="shared" si="9"/>
        <v>MERV - XMEV - GFGV10915D - 24hs</v>
      </c>
      <c r="AJ9" s="113" t="str">
        <f t="shared" si="64"/>
        <v>GFGV10915D</v>
      </c>
      <c r="AK9" s="237">
        <f>IFERROR(VLOOKUP($AJ9,HomeBroker!$A$2:$F$103,2,0),0)</f>
        <v>0</v>
      </c>
      <c r="AL9" s="242">
        <f>IFERROR(VLOOKUP($AJ9,HomeBroker!$A$2:$F$103,3,0),0)</f>
        <v>0</v>
      </c>
      <c r="AM9" s="243">
        <f>IFERROR(VLOOKUP($AJ9,HomeBroker!$A$2:$F$103,6,0),0)</f>
        <v>0</v>
      </c>
      <c r="AN9" s="242">
        <f>IFERROR(VLOOKUP($AJ9,HomeBroker!$A$2:$F$103,4,0),0)</f>
        <v>0</v>
      </c>
      <c r="AO9" s="237">
        <f>IFERROR(VLOOKUP($AJ9,HomeBroker!$A$2:$F$103,5,0),0)</f>
        <v>0</v>
      </c>
      <c r="AP9" s="115">
        <f>IFERROR(VLOOKUP($AJ9,HomeBroker!$A$2:$N$103,14,0),0)</f>
        <v>0</v>
      </c>
      <c r="AQ9" s="62"/>
      <c r="AR9" s="109" t="str">
        <f t="shared" si="65"/>
        <v>-</v>
      </c>
      <c r="AS9" s="109" t="str">
        <f t="shared" si="66"/>
        <v>-</v>
      </c>
      <c r="AT9" s="109">
        <f t="shared" si="67"/>
        <v>2020</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1136.9000000000001</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1136.9000000000001</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1136.9000000000001</v>
      </c>
      <c r="Q10" s="135">
        <f t="shared" ca="1" si="5"/>
        <v>1136.9000000000001</v>
      </c>
      <c r="R10" s="62"/>
      <c r="S10" s="246" t="str">
        <f>IF(AA10&gt;0,ABS((U10+AA10)),"")</f>
        <v/>
      </c>
      <c r="T10" s="110">
        <f t="shared" ref="T10:T17" si="68">SUMIFS(B$3:B$37,C$3:C$37,U10)</f>
        <v>0</v>
      </c>
      <c r="U10" s="240">
        <v>2091.5</v>
      </c>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MERV - XMEV - GFGC20915D - 24hs</v>
      </c>
      <c r="X10" s="113" t="str">
        <f t="shared" si="60"/>
        <v>GFGC20915D</v>
      </c>
      <c r="Y10" s="242">
        <f>IFERROR(VLOOKUP($X10,HomeBroker!$A$2:$F$103,2,0),0)</f>
        <v>0</v>
      </c>
      <c r="Z10" s="242">
        <f>IFERROR(VLOOKUP($X10,HomeBroker!$A$2:$F$103,3,0),0)</f>
        <v>0</v>
      </c>
      <c r="AA10" s="243">
        <f>IFERROR(VLOOKUP($X10,HomeBroker!$A$2:$F$103,6,0),0)</f>
        <v>0</v>
      </c>
      <c r="AB10" s="242">
        <f>IFERROR(VLOOKUP($X10,HomeBroker!$A$2:$F$103,4,0),0)</f>
        <v>0</v>
      </c>
      <c r="AC10" s="242">
        <f>IFERROR(VLOOKUP($X10,HomeBroker!$A$2:$F$103,5,0),0)</f>
        <v>0</v>
      </c>
      <c r="AD10" s="305">
        <f>IFERROR(VLOOKUP($X10,HomeBroker!$A$2:$N$103,14,0),0)</f>
        <v>0</v>
      </c>
      <c r="AE10" s="247" t="str">
        <f t="shared" si="61"/>
        <v/>
      </c>
      <c r="AF10" s="110">
        <f t="shared" si="62"/>
        <v>0</v>
      </c>
      <c r="AG10" s="240">
        <v>1150</v>
      </c>
      <c r="AH10" s="112">
        <f t="shared" ca="1" si="63"/>
        <v>0</v>
      </c>
      <c r="AI10" s="113" t="str">
        <f t="shared" si="9"/>
        <v>MERV - XMEV - GFGV1150DI - 24hs</v>
      </c>
      <c r="AJ10" s="113" t="str">
        <f t="shared" si="64"/>
        <v>GFGV1150DI</v>
      </c>
      <c r="AK10" s="237">
        <f>IFERROR(VLOOKUP($AJ10,HomeBroker!$A$2:$F$103,2,0),0)</f>
        <v>0</v>
      </c>
      <c r="AL10" s="242">
        <f>IFERROR(VLOOKUP($AJ10,HomeBroker!$A$2:$F$103,3,0),0)</f>
        <v>0</v>
      </c>
      <c r="AM10" s="243">
        <f>IFERROR(VLOOKUP($AJ10,HomeBroker!$A$2:$F$103,6,0),0)</f>
        <v>0</v>
      </c>
      <c r="AN10" s="242">
        <f>IFERROR(VLOOKUP($AJ10,HomeBroker!$A$2:$F$103,4,0),0)</f>
        <v>0</v>
      </c>
      <c r="AO10" s="237">
        <f>IFERROR(VLOOKUP($AJ10,HomeBroker!$A$2:$F$103,5,0),0)</f>
        <v>0</v>
      </c>
      <c r="AP10" s="115">
        <f>IFERROR(VLOOKUP($AJ10,HomeBroker!$A$2:$N$103,14,0),0)</f>
        <v>0</v>
      </c>
      <c r="AQ10" s="62"/>
      <c r="AR10" s="109" t="str">
        <f t="shared" si="65"/>
        <v>-</v>
      </c>
      <c r="AS10" s="109" t="str">
        <f t="shared" si="66"/>
        <v>-</v>
      </c>
      <c r="AT10" s="109">
        <f t="shared" si="67"/>
        <v>2091.5</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1136.9000000000001</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1136.9000000000001</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1136.9000000000001</v>
      </c>
      <c r="Q11" s="135">
        <f t="shared" ca="1" si="5"/>
        <v>1136.9000000000001</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IFERROR(VLOOKUP($X11,HomeBroker!$A$2:$F$103,2,0),0)</f>
        <v>0</v>
      </c>
      <c r="Z11" s="242">
        <f>IFERROR(VLOOKUP($X11,HomeBroker!$A$2:$F$103,3,0),0)</f>
        <v>0</v>
      </c>
      <c r="AA11" s="243">
        <f>IFERROR(VLOOKUP($X11,HomeBroker!$A$2:$F$103,6,0),0)</f>
        <v>0</v>
      </c>
      <c r="AB11" s="242">
        <f>IFERROR(VLOOKUP($X11,HomeBroker!$A$2:$F$103,4,0),0)</f>
        <v>0</v>
      </c>
      <c r="AC11" s="242">
        <f>IFERROR(VLOOKUP($X11,HomeBroker!$A$2:$F$103,5,0),0)</f>
        <v>0</v>
      </c>
      <c r="AD11" s="305">
        <f>IFERROR(VLOOKUP($X11,HomeBroker!$A$2:$N$103,14,0),0)</f>
        <v>0</v>
      </c>
      <c r="AE11" s="247" t="str">
        <f t="shared" si="61"/>
        <v/>
      </c>
      <c r="AF11" s="110">
        <f t="shared" si="62"/>
        <v>0</v>
      </c>
      <c r="AG11" s="240"/>
      <c r="AH11" s="112">
        <f t="shared" ca="1" si="63"/>
        <v>0</v>
      </c>
      <c r="AI11" s="113" t="str">
        <f t="shared" si="9"/>
        <v/>
      </c>
      <c r="AJ11" s="113" t="str">
        <f t="shared" si="64"/>
        <v/>
      </c>
      <c r="AK11" s="237">
        <f>IFERROR(VLOOKUP($AJ11,HomeBroker!$A$2:$F$103,2,0),0)</f>
        <v>0</v>
      </c>
      <c r="AL11" s="242">
        <f>IFERROR(VLOOKUP($AJ11,HomeBroker!$A$2:$F$103,3,0),0)</f>
        <v>0</v>
      </c>
      <c r="AM11" s="243">
        <f>IFERROR(VLOOKUP($AJ11,HomeBroker!$A$2:$F$103,6,0),0)</f>
        <v>0</v>
      </c>
      <c r="AN11" s="242">
        <f>IFERROR(VLOOKUP($AJ11,HomeBroker!$A$2:$F$103,4,0),0)</f>
        <v>0</v>
      </c>
      <c r="AO11" s="237">
        <f>IFERROR(VLOOKUP($AJ11,HomeBroker!$A$2:$F$103,5,0),0)</f>
        <v>0</v>
      </c>
      <c r="AP11" s="115">
        <f>IFERROR(VLOOKUP($AJ11,HomeBroker!$A$2:$N$103,14,0),0)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1136.9000000000001</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1136.9000000000001</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e">
        <f t="shared" ref="N12:N17" si="71">-1+(O12/$O$18)</f>
        <v>#DIV/0!</v>
      </c>
      <c r="O12" s="296">
        <f t="shared" si="3"/>
        <v>0</v>
      </c>
      <c r="P12" s="142">
        <f t="shared" si="4"/>
        <v>1136.9000000000001</v>
      </c>
      <c r="Q12" s="142">
        <f t="shared" ca="1" si="5"/>
        <v>1136.9000000000001</v>
      </c>
      <c r="R12" s="62"/>
      <c r="S12" s="246" t="str">
        <f t="shared" si="69"/>
        <v/>
      </c>
      <c r="T12" s="110">
        <f t="shared" si="68"/>
        <v>0</v>
      </c>
      <c r="U12" s="240"/>
      <c r="V12" s="112">
        <f t="shared" ca="1" si="59"/>
        <v>0</v>
      </c>
      <c r="W12" s="113" t="str">
        <f t="shared" si="70"/>
        <v/>
      </c>
      <c r="X12" s="113" t="str">
        <f t="shared" si="60"/>
        <v/>
      </c>
      <c r="Y12" s="242">
        <f>IFERROR(VLOOKUP($X12,HomeBroker!$A$2:$F$103,2,0),0)</f>
        <v>0</v>
      </c>
      <c r="Z12" s="242">
        <f>IFERROR(VLOOKUP($X12,HomeBroker!$A$2:$F$103,3,0),0)</f>
        <v>0</v>
      </c>
      <c r="AA12" s="243">
        <f>IFERROR(VLOOKUP($X12,HomeBroker!$A$2:$F$103,6,0),0)</f>
        <v>0</v>
      </c>
      <c r="AB12" s="242">
        <f>IFERROR(VLOOKUP($X12,HomeBroker!$A$2:$F$103,4,0),0)</f>
        <v>0</v>
      </c>
      <c r="AC12" s="242">
        <f>IFERROR(VLOOKUP($X12,HomeBroker!$A$2:$F$103,5,0),0)</f>
        <v>0</v>
      </c>
      <c r="AD12" s="305">
        <f>IFERROR(VLOOKUP($X12,HomeBroker!$A$2:$N$103,14,0),0)</f>
        <v>0</v>
      </c>
      <c r="AE12" s="247" t="str">
        <f t="shared" si="61"/>
        <v/>
      </c>
      <c r="AF12" s="110">
        <f t="shared" si="62"/>
        <v>0</v>
      </c>
      <c r="AG12" s="240"/>
      <c r="AH12" s="112">
        <f t="shared" ca="1" si="63"/>
        <v>0</v>
      </c>
      <c r="AI12" s="113" t="str">
        <f t="shared" si="9"/>
        <v/>
      </c>
      <c r="AJ12" s="113" t="str">
        <f t="shared" si="64"/>
        <v/>
      </c>
      <c r="AK12" s="237">
        <f>IFERROR(VLOOKUP($AJ12,HomeBroker!$A$2:$F$103,2,0),0)</f>
        <v>0</v>
      </c>
      <c r="AL12" s="242">
        <f>IFERROR(VLOOKUP($AJ12,HomeBroker!$A$2:$F$103,3,0),0)</f>
        <v>0</v>
      </c>
      <c r="AM12" s="243">
        <f>IFERROR(VLOOKUP($AJ12,HomeBroker!$A$2:$F$103,6,0),0)</f>
        <v>0</v>
      </c>
      <c r="AN12" s="242">
        <f>IFERROR(VLOOKUP($AJ12,HomeBroker!$A$2:$F$103,4,0),0)</f>
        <v>0</v>
      </c>
      <c r="AO12" s="237">
        <f>IFERROR(VLOOKUP($AJ12,HomeBroker!$A$2:$F$103,5,0),0)</f>
        <v>0</v>
      </c>
      <c r="AP12" s="115">
        <f>IFERROR(VLOOKUP($AJ12,HomeBroker!$A$2:$N$103,14,0),0)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1136.9000000000001</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1136.9000000000001</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e">
        <f t="shared" si="71"/>
        <v>#DIV/0!</v>
      </c>
      <c r="O13" s="297">
        <f t="shared" si="3"/>
        <v>0</v>
      </c>
      <c r="P13" s="135">
        <f t="shared" si="4"/>
        <v>1136.9000000000001</v>
      </c>
      <c r="Q13" s="135">
        <f t="shared" ca="1" si="5"/>
        <v>1136.9000000000001</v>
      </c>
      <c r="R13" s="62"/>
      <c r="S13" s="246" t="str">
        <f t="shared" si="69"/>
        <v/>
      </c>
      <c r="T13" s="110">
        <f t="shared" si="68"/>
        <v>0</v>
      </c>
      <c r="U13" s="240"/>
      <c r="V13" s="112">
        <f t="shared" ca="1" si="59"/>
        <v>0</v>
      </c>
      <c r="W13" s="113" t="str">
        <f t="shared" si="70"/>
        <v/>
      </c>
      <c r="X13" s="113" t="str">
        <f t="shared" si="60"/>
        <v/>
      </c>
      <c r="Y13" s="242">
        <f>IFERROR(VLOOKUP($X13,HomeBroker!$A$2:$F$103,2,0),0)</f>
        <v>0</v>
      </c>
      <c r="Z13" s="242">
        <f>IFERROR(VLOOKUP($X13,HomeBroker!$A$2:$F$103,3,0),0)</f>
        <v>0</v>
      </c>
      <c r="AA13" s="243">
        <f>IFERROR(VLOOKUP($X13,HomeBroker!$A$2:$F$103,6,0),0)</f>
        <v>0</v>
      </c>
      <c r="AB13" s="242">
        <f>IFERROR(VLOOKUP($X13,HomeBroker!$A$2:$F$103,4,0),0)</f>
        <v>0</v>
      </c>
      <c r="AC13" s="242">
        <f>IFERROR(VLOOKUP($X13,HomeBroker!$A$2:$F$103,5,0),0)</f>
        <v>0</v>
      </c>
      <c r="AD13" s="305">
        <f>IFERROR(VLOOKUP($X13,HomeBroker!$A$2:$N$103,14,0),0)</f>
        <v>0</v>
      </c>
      <c r="AE13" s="247" t="str">
        <f t="shared" si="61"/>
        <v/>
      </c>
      <c r="AF13" s="110">
        <f t="shared" si="62"/>
        <v>0</v>
      </c>
      <c r="AG13" s="240"/>
      <c r="AH13" s="112">
        <f t="shared" ca="1" si="63"/>
        <v>0</v>
      </c>
      <c r="AI13" s="113" t="str">
        <f t="shared" si="9"/>
        <v/>
      </c>
      <c r="AJ13" s="113" t="str">
        <f t="shared" si="64"/>
        <v/>
      </c>
      <c r="AK13" s="237">
        <f>IFERROR(VLOOKUP($AJ13,HomeBroker!$A$2:$F$103,2,0),0)</f>
        <v>0</v>
      </c>
      <c r="AL13" s="242">
        <f>IFERROR(VLOOKUP($AJ13,HomeBroker!$A$2:$F$103,3,0),0)</f>
        <v>0</v>
      </c>
      <c r="AM13" s="243">
        <f>IFERROR(VLOOKUP($AJ13,HomeBroker!$A$2:$F$103,6,0),0)</f>
        <v>0</v>
      </c>
      <c r="AN13" s="242">
        <f>IFERROR(VLOOKUP($AJ13,HomeBroker!$A$2:$F$103,4,0),0)</f>
        <v>0</v>
      </c>
      <c r="AO13" s="237">
        <f>IFERROR(VLOOKUP($AJ13,HomeBroker!$A$2:$F$103,5,0),0)</f>
        <v>0</v>
      </c>
      <c r="AP13" s="115">
        <f>IFERROR(VLOOKUP($AJ13,HomeBroker!$A$2:$N$103,14,0),0)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1136.9000000000001</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1136.9000000000001</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e">
        <f t="shared" si="71"/>
        <v>#DIV/0!</v>
      </c>
      <c r="O14" s="297">
        <f t="shared" si="3"/>
        <v>0</v>
      </c>
      <c r="P14" s="135">
        <f t="shared" si="4"/>
        <v>1136.9000000000001</v>
      </c>
      <c r="Q14" s="135">
        <f t="shared" ca="1" si="5"/>
        <v>1136.9000000000001</v>
      </c>
      <c r="R14" s="62"/>
      <c r="S14" s="246" t="str">
        <f t="shared" si="69"/>
        <v/>
      </c>
      <c r="T14" s="110">
        <f t="shared" si="68"/>
        <v>0</v>
      </c>
      <c r="U14" s="240"/>
      <c r="V14" s="112">
        <f t="shared" ca="1" si="59"/>
        <v>0</v>
      </c>
      <c r="W14" s="113" t="str">
        <f t="shared" si="70"/>
        <v/>
      </c>
      <c r="X14" s="113" t="str">
        <f t="shared" si="60"/>
        <v/>
      </c>
      <c r="Y14" s="242">
        <f>IFERROR(VLOOKUP($X14,HomeBroker!$A$2:$F$103,2,0),0)</f>
        <v>0</v>
      </c>
      <c r="Z14" s="242">
        <f>IFERROR(VLOOKUP($X14,HomeBroker!$A$2:$F$103,3,0),0)</f>
        <v>0</v>
      </c>
      <c r="AA14" s="243">
        <f>IFERROR(VLOOKUP($X14,HomeBroker!$A$2:$F$103,6,0),0)</f>
        <v>0</v>
      </c>
      <c r="AB14" s="242">
        <f>IFERROR(VLOOKUP($X14,HomeBroker!$A$2:$F$103,4,0),0)</f>
        <v>0</v>
      </c>
      <c r="AC14" s="242">
        <f>IFERROR(VLOOKUP($X14,HomeBroker!$A$2:$F$88,5,0),0)</f>
        <v>0</v>
      </c>
      <c r="AD14" s="305">
        <f>IFERROR(VLOOKUP($X14,HomeBroker!$A$2:$N$103,14,0),0)</f>
        <v>0</v>
      </c>
      <c r="AE14" s="247" t="str">
        <f t="shared" si="61"/>
        <v/>
      </c>
      <c r="AF14" s="110">
        <f t="shared" si="62"/>
        <v>0</v>
      </c>
      <c r="AG14" s="240"/>
      <c r="AH14" s="112">
        <f t="shared" ca="1" si="63"/>
        <v>0</v>
      </c>
      <c r="AI14" s="113" t="str">
        <f t="shared" si="9"/>
        <v/>
      </c>
      <c r="AJ14" s="113" t="str">
        <f t="shared" si="64"/>
        <v/>
      </c>
      <c r="AK14" s="237">
        <f>IFERROR(VLOOKUP($AJ14,HomeBroker!$A$2:$F$103,2,0),0)</f>
        <v>0</v>
      </c>
      <c r="AL14" s="242">
        <f>IFERROR(VLOOKUP($AJ14,HomeBroker!$A$2:$F$103,3,0),0)</f>
        <v>0</v>
      </c>
      <c r="AM14" s="243">
        <f>IFERROR(VLOOKUP($AJ14,HomeBroker!$A$2:$F$103,6,0),0)</f>
        <v>0</v>
      </c>
      <c r="AN14" s="242">
        <f>IFERROR(VLOOKUP($AJ14,HomeBroker!$A$2:$F$103,4,0),0)</f>
        <v>0</v>
      </c>
      <c r="AO14" s="237">
        <f>IFERROR(VLOOKUP($AJ14,HomeBroker!$A$2:$F$103,5,0),0)</f>
        <v>0</v>
      </c>
      <c r="AP14" s="115">
        <f>IFERROR(VLOOKUP($AJ14,HomeBroker!$A$2:$N$103,14,0),0)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1136.9000000000001</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1136.9000000000001</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e">
        <f t="shared" si="71"/>
        <v>#DIV/0!</v>
      </c>
      <c r="O15" s="297">
        <f t="shared" si="3"/>
        <v>0</v>
      </c>
      <c r="P15" s="142">
        <f t="shared" si="4"/>
        <v>1136.9000000000001</v>
      </c>
      <c r="Q15" s="142">
        <f t="shared" ca="1" si="5"/>
        <v>1136.9000000000001</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IFERROR(VLOOKUP($X15,HomeBroker!$A$2:$F$88,2,0),0)</f>
        <v>0</v>
      </c>
      <c r="Z15" s="242">
        <f>IFERROR(VLOOKUP($X15,HomeBroker!$A$2:$F$88,3,0),0)</f>
        <v>0</v>
      </c>
      <c r="AA15" s="243">
        <f>IFERROR(VLOOKUP($X15,HomeBroker!$A$2:$F$88,6,0),0)</f>
        <v>0</v>
      </c>
      <c r="AB15" s="242">
        <f>IFERROR(VLOOKUP($X15,HomeBroker!$A$2:$F$88,4,0),0)</f>
        <v>0</v>
      </c>
      <c r="AC15" s="242">
        <f>IFERROR(VLOOKUP($X15,HomeBroker!$A$2:$F$88,5,0),0)</f>
        <v>0</v>
      </c>
      <c r="AD15" s="305">
        <f>IFERROR(VLOOKUP($X15,HomeBroker!$A$2:$N$88,14,0),0)</f>
        <v>0</v>
      </c>
      <c r="AE15" s="247" t="str">
        <f t="shared" si="61"/>
        <v/>
      </c>
      <c r="AF15" s="110">
        <f t="shared" si="62"/>
        <v>0</v>
      </c>
      <c r="AG15" s="312"/>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IFERROR(VLOOKUP($AJ15,HomeBroker!$A$2:$F$88,2,0),0)</f>
        <v>0</v>
      </c>
      <c r="AL15" s="242">
        <f>IFERROR(VLOOKUP($AJ15,HomeBroker!$A$2:$F$88,3,0),0)</f>
        <v>0</v>
      </c>
      <c r="AM15" s="243">
        <f>IFERROR(VLOOKUP($AJ15,HomeBroker!$A$2:$F$88,6,0),0)</f>
        <v>0</v>
      </c>
      <c r="AN15" s="242">
        <f>IFERROR(VLOOKUP($AJ15,HomeBroker!$A$2:$F$88,4,0),0)</f>
        <v>0</v>
      </c>
      <c r="AO15" s="237">
        <f>IFERROR(VLOOKUP($AJ15,HomeBroker!$A$2:$F$88,5,0),0)</f>
        <v>0</v>
      </c>
      <c r="AP15" s="115">
        <f>IFERROR(VLOOKUP($AJ15,HomeBroker!$A$2:$N$88,14,0),0)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1136.9000000000001</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1136.9000000000001</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e">
        <f t="shared" si="71"/>
        <v>#DIV/0!</v>
      </c>
      <c r="O16" s="297">
        <f t="shared" si="3"/>
        <v>0</v>
      </c>
      <c r="P16" s="135">
        <f t="shared" si="4"/>
        <v>1136.9000000000001</v>
      </c>
      <c r="Q16" s="135">
        <f t="shared" ca="1" si="5"/>
        <v>1136.9000000000001</v>
      </c>
      <c r="R16" s="62"/>
      <c r="S16" s="246" t="str">
        <f t="shared" si="69"/>
        <v/>
      </c>
      <c r="T16" s="110">
        <f t="shared" si="68"/>
        <v>0</v>
      </c>
      <c r="U16" s="240"/>
      <c r="V16" s="112">
        <f t="shared" ca="1" si="59"/>
        <v>0</v>
      </c>
      <c r="W16" s="113" t="str">
        <f t="shared" si="70"/>
        <v/>
      </c>
      <c r="X16" s="113" t="str">
        <f t="shared" si="72"/>
        <v/>
      </c>
      <c r="Y16" s="242">
        <f>IFERROR(VLOOKUP($X16,HomeBroker!$A$2:$F$88,2,0),0)</f>
        <v>0</v>
      </c>
      <c r="Z16" s="242">
        <f>IFERROR(VLOOKUP($X16,HomeBroker!$A$2:$F$88,3,0),0)</f>
        <v>0</v>
      </c>
      <c r="AA16" s="243">
        <f>IFERROR(VLOOKUP($X16,HomeBroker!$A$2:$F$88,6,0),0)</f>
        <v>0</v>
      </c>
      <c r="AB16" s="242">
        <f>IFERROR(VLOOKUP($X16,HomeBroker!$A$2:$F$88,4,0),0)</f>
        <v>0</v>
      </c>
      <c r="AC16" s="242">
        <f>IFERROR(VLOOKUP($X16,HomeBroker!$A$2:$F$88,5,0),0)</f>
        <v>0</v>
      </c>
      <c r="AD16" s="305">
        <f>IFERROR(VLOOKUP($X16,HomeBroker!$A$2:$N$88,14,0),0)</f>
        <v>0</v>
      </c>
      <c r="AE16" s="247" t="str">
        <f t="shared" si="61"/>
        <v/>
      </c>
      <c r="AF16" s="110">
        <f t="shared" si="62"/>
        <v>0</v>
      </c>
      <c r="AG16" s="312"/>
      <c r="AH16" s="112">
        <f t="shared" ca="1" si="63"/>
        <v>0</v>
      </c>
      <c r="AI16" s="113" t="str">
        <f t="shared" si="9"/>
        <v/>
      </c>
      <c r="AJ16" s="113" t="str">
        <f t="shared" si="73"/>
        <v/>
      </c>
      <c r="AK16" s="237">
        <f>IFERROR(VLOOKUP($AJ16,HomeBroker!$A$2:$F$88,2,0),0)</f>
        <v>0</v>
      </c>
      <c r="AL16" s="242">
        <f>IFERROR(VLOOKUP($AJ16,HomeBroker!$A$2:$F$88,3,0),0)</f>
        <v>0</v>
      </c>
      <c r="AM16" s="243">
        <f>IFERROR(VLOOKUP($AJ16,HomeBroker!$A$2:$F$88,6,0),0)</f>
        <v>0</v>
      </c>
      <c r="AN16" s="242">
        <f>IFERROR(VLOOKUP($AJ16,HomeBroker!$A$2:$F$88,4,0),0)</f>
        <v>0</v>
      </c>
      <c r="AO16" s="237">
        <f>IFERROR(VLOOKUP($AJ16,HomeBroker!$A$2:$F$88,5,0),0)</f>
        <v>0</v>
      </c>
      <c r="AP16" s="115">
        <f>IFERROR(VLOOKUP($AJ16,HomeBroker!$A$2:$N$88,14,0),0)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1136.9000000000001</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1136.9000000000001</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e">
        <f t="shared" si="71"/>
        <v>#DIV/0!</v>
      </c>
      <c r="O17" s="297">
        <f t="shared" si="3"/>
        <v>0</v>
      </c>
      <c r="P17" s="135">
        <f t="shared" si="4"/>
        <v>1136.9000000000001</v>
      </c>
      <c r="Q17" s="135">
        <f t="shared" ca="1" si="5"/>
        <v>1136.9000000000001</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IFERROR(VLOOKUP($X17,HomeBroker!$A$2:$F$88,2,0),0)</f>
        <v>0</v>
      </c>
      <c r="Z17" s="242">
        <f>IFERROR(VLOOKUP($X17,HomeBroker!$A$2:$F$88,3,0),0)</f>
        <v>0</v>
      </c>
      <c r="AA17" s="243">
        <f>IFERROR(VLOOKUP($X17,HomeBroker!$A$2:$F$88,6,0),0)</f>
        <v>0</v>
      </c>
      <c r="AB17" s="242">
        <f>IFERROR(VLOOKUP($X17,HomeBroker!$A$2:$F$88,4,0),0)</f>
        <v>0</v>
      </c>
      <c r="AC17" s="242">
        <f>IFERROR(VLOOKUP($X17,HomeBroker!$A$2:$F$88,5,0),0)</f>
        <v>0</v>
      </c>
      <c r="AD17" s="305">
        <f>IFERROR(VLOOKUP($X17,HomeBroker!$A$2:$N$88,14,0),0)</f>
        <v>0</v>
      </c>
      <c r="AE17" s="247" t="str">
        <f t="shared" si="61"/>
        <v/>
      </c>
      <c r="AF17" s="110">
        <f t="shared" si="62"/>
        <v>0</v>
      </c>
      <c r="AG17" s="312"/>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IFERROR(VLOOKUP($AJ17,HomeBroker!$A$2:$F$88,2,0),0)</f>
        <v>0</v>
      </c>
      <c r="AL17" s="242">
        <f>IFERROR(VLOOKUP($AJ17,HomeBroker!$A$2:$F$88,3,0),0)</f>
        <v>0</v>
      </c>
      <c r="AM17" s="243">
        <f>IFERROR(VLOOKUP($AJ17,HomeBroker!$A$2:$F$88,6,0),0)</f>
        <v>0</v>
      </c>
      <c r="AN17" s="242">
        <f>IFERROR(VLOOKUP($AJ17,HomeBroker!$A$2:$F$88,4,0),0)</f>
        <v>0</v>
      </c>
      <c r="AO17" s="237">
        <f>IFERROR(VLOOKUP($AJ17,HomeBroker!$A$2:$F$88,5,0),0)</f>
        <v>0</v>
      </c>
      <c r="AP17" s="115">
        <f>IFERROR(VLOOKUP($AJ17,HomeBroker!$A$2:$N$88,14,0),0)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1136.9000000000001</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1136.9000000000001</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1136.9000000000001</v>
      </c>
      <c r="Q18" s="142">
        <f t="shared" ca="1" si="5"/>
        <v>1136.9000000000001</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IFERROR(VLOOKUP($X18,HomeBroker!$A$2:$F$88,2,0),0)</f>
        <v>0</v>
      </c>
      <c r="Z18" s="242">
        <f>IFERROR(VLOOKUP($X18,HomeBroker!$A$2:$F$88,3,0),0)</f>
        <v>0</v>
      </c>
      <c r="AA18" s="243">
        <f>IFERROR(VLOOKUP($X18,HomeBroker!$A$2:$F$88,6,0),0)</f>
        <v>0</v>
      </c>
      <c r="AB18" s="242">
        <f>IFERROR(VLOOKUP($X18,HomeBroker!$A$2:$F$88,4,0),0)</f>
        <v>0</v>
      </c>
      <c r="AC18" s="242">
        <f>IFERROR(VLOOKUP($X18,HomeBroker!$A$2:$F$88,5,0),0)</f>
        <v>0</v>
      </c>
      <c r="AD18" s="305">
        <f>IFERROR(VLOOKUP($X18,HomeBroker!$A$2:$N$88,14,0),0)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IFERROR(VLOOKUP($AJ18,HomeBroker!$A$2:$F$88,2,0),0)</f>
        <v>0</v>
      </c>
      <c r="AL18" s="242">
        <f>IFERROR(VLOOKUP($AJ18,HomeBroker!$A$2:$F$88,3,0),0)</f>
        <v>0</v>
      </c>
      <c r="AM18" s="243">
        <f>IFERROR(VLOOKUP($AJ18,HomeBroker!$A$2:$F$88,6,0),0)</f>
        <v>0</v>
      </c>
      <c r="AN18" s="242">
        <f>IFERROR(VLOOKUP($AJ18,HomeBroker!$A$2:$F$88,4,0),0)</f>
        <v>0</v>
      </c>
      <c r="AO18" s="114">
        <f>IFERROR(VLOOKUP($AJ18,HomeBroker!$A$2:$F$88,5,0),0)</f>
        <v>0</v>
      </c>
      <c r="AP18" s="115">
        <f>IFERROR(VLOOKUP($AJ18,HomeBroker!$A$2:$N$88,14,0),0)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1136.9000000000001</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1136.9000000000001</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e">
        <f t="shared" ref="N19:N24" si="79">+O19/$O$18-1</f>
        <v>#DIV/0!</v>
      </c>
      <c r="O19" s="297">
        <f t="shared" ref="O19:O34" si="80">+O18*(1+$Q$42)</f>
        <v>0</v>
      </c>
      <c r="P19" s="135">
        <f t="shared" si="4"/>
        <v>1136.9000000000001</v>
      </c>
      <c r="Q19" s="135">
        <f t="shared" ca="1" si="5"/>
        <v>1136.9000000000001</v>
      </c>
      <c r="R19" s="62"/>
      <c r="S19" s="246" t="str">
        <f t="shared" si="69"/>
        <v/>
      </c>
      <c r="T19" s="110">
        <f t="shared" si="74"/>
        <v>0</v>
      </c>
      <c r="U19" s="149"/>
      <c r="V19" s="112">
        <f t="shared" ca="1" si="59"/>
        <v>0</v>
      </c>
      <c r="W19" s="113" t="str">
        <f t="shared" ref="W19:W42" si="81">+IF(U19&lt;&gt;"",IF(LEN(U19)=1,CONCATENATE("MERV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IFERROR(VLOOKUP($X19,HomeBroker!$A$2:$F$88,2,0),0)</f>
        <v>0</v>
      </c>
      <c r="Z19" s="242">
        <f>IFERROR(VLOOKUP($X19,HomeBroker!$A$2:$F$88,3,0),0)</f>
        <v>0</v>
      </c>
      <c r="AA19" s="243">
        <f>IFERROR(VLOOKUP($X19,HomeBroker!$A$2:$F$88,6,0),0)</f>
        <v>0</v>
      </c>
      <c r="AB19" s="242">
        <f>IFERROR(VLOOKUP($X19,HomeBroker!$A$2:$F$88,4,0),0)</f>
        <v>0</v>
      </c>
      <c r="AC19" s="242">
        <f>IFERROR(VLOOKUP($X19,HomeBroker!$A$2:$F$88,5,0),0)</f>
        <v>0</v>
      </c>
      <c r="AD19" s="305">
        <f>IFERROR(VLOOKUP($X19,HomeBroker!$A$2:$N$88,14,0),0)</f>
        <v>0</v>
      </c>
      <c r="AE19" s="247" t="str">
        <f t="shared" si="61"/>
        <v/>
      </c>
      <c r="AF19" s="110">
        <f t="shared" si="76"/>
        <v>0</v>
      </c>
      <c r="AG19" s="149"/>
      <c r="AH19" s="112">
        <f t="shared" ca="1" si="63"/>
        <v>0</v>
      </c>
      <c r="AI19" s="113" t="str">
        <f t="shared" si="77"/>
        <v/>
      </c>
      <c r="AJ19" s="113" t="str">
        <f t="shared" si="78"/>
        <v/>
      </c>
      <c r="AK19" s="114">
        <f>IFERROR(VLOOKUP($AJ19,HomeBroker!$A$2:$F$88,2,0),0)</f>
        <v>0</v>
      </c>
      <c r="AL19" s="242">
        <f>IFERROR(VLOOKUP($AJ19,HomeBroker!$A$2:$F$88,3,0),0)</f>
        <v>0</v>
      </c>
      <c r="AM19" s="243">
        <f>IFERROR(VLOOKUP($AJ19,HomeBroker!$A$2:$F$88,6,0),0)</f>
        <v>0</v>
      </c>
      <c r="AN19" s="242">
        <f>IFERROR(VLOOKUP($AJ19,HomeBroker!$A$2:$F$88,4,0),0)</f>
        <v>0</v>
      </c>
      <c r="AO19" s="114">
        <f>IFERROR(VLOOKUP($AJ19,HomeBroker!$A$2:$F$88,5,0),0)</f>
        <v>0</v>
      </c>
      <c r="AP19" s="115">
        <f>IFERROR(VLOOKUP($AJ19,HomeBroker!$A$2:$N$88,14,0),0)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1136.9000000000001</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1136.9000000000001</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e">
        <f t="shared" si="79"/>
        <v>#DIV/0!</v>
      </c>
      <c r="O20" s="297">
        <f t="shared" si="80"/>
        <v>0</v>
      </c>
      <c r="P20" s="135">
        <f t="shared" si="4"/>
        <v>1136.9000000000001</v>
      </c>
      <c r="Q20" s="135">
        <f t="shared" ca="1" si="5"/>
        <v>1136.9000000000001</v>
      </c>
      <c r="R20" s="62"/>
      <c r="S20" s="246" t="str">
        <f t="shared" si="69"/>
        <v/>
      </c>
      <c r="T20" s="110">
        <f t="shared" si="74"/>
        <v>0</v>
      </c>
      <c r="U20" s="149"/>
      <c r="V20" s="112">
        <f t="shared" ca="1" si="59"/>
        <v>0</v>
      </c>
      <c r="W20" s="113" t="str">
        <f t="shared" si="81"/>
        <v/>
      </c>
      <c r="X20" s="113" t="str">
        <f t="shared" si="75"/>
        <v/>
      </c>
      <c r="Y20" s="242">
        <f>IFERROR(VLOOKUP($X20,HomeBroker!$A$2:$F$88,2,0),0)</f>
        <v>0</v>
      </c>
      <c r="Z20" s="242">
        <f>IFERROR(VLOOKUP($X20,HomeBroker!$A$2:$F$88,3,0),0)</f>
        <v>0</v>
      </c>
      <c r="AA20" s="243">
        <f>IFERROR(VLOOKUP($X20,HomeBroker!$A$2:$F$88,6,0),0)</f>
        <v>0</v>
      </c>
      <c r="AB20" s="242">
        <f>IFERROR(VLOOKUP($X20,HomeBroker!$A$2:$F$88,4,0),0)</f>
        <v>0</v>
      </c>
      <c r="AC20" s="242">
        <f>IFERROR(VLOOKUP($X20,HomeBroker!$A$2:$F$88,5,0),0)</f>
        <v>0</v>
      </c>
      <c r="AD20" s="305">
        <f>IFERROR(VLOOKUP($X20,HomeBroker!$A$2:$N$88,14,0),0)</f>
        <v>0</v>
      </c>
      <c r="AE20" s="247" t="str">
        <f t="shared" si="61"/>
        <v/>
      </c>
      <c r="AF20" s="110">
        <f t="shared" si="76"/>
        <v>0</v>
      </c>
      <c r="AG20" s="149"/>
      <c r="AH20" s="112">
        <f t="shared" ca="1" si="63"/>
        <v>0</v>
      </c>
      <c r="AI20" s="113" t="str">
        <f t="shared" si="77"/>
        <v/>
      </c>
      <c r="AJ20" s="113" t="str">
        <f t="shared" si="78"/>
        <v/>
      </c>
      <c r="AK20" s="114">
        <f>IFERROR(VLOOKUP($AJ20,HomeBroker!$A$2:$F$88,2,0),0)</f>
        <v>0</v>
      </c>
      <c r="AL20" s="242">
        <f>IFERROR(VLOOKUP($AJ20,HomeBroker!$A$2:$F$88,3,0),0)</f>
        <v>0</v>
      </c>
      <c r="AM20" s="243">
        <f>IFERROR(VLOOKUP($AJ20,HomeBroker!$A$2:$F$88,6,0),0)</f>
        <v>0</v>
      </c>
      <c r="AN20" s="242">
        <f>IFERROR(VLOOKUP($AJ20,HomeBroker!$A$2:$F$88,4,0),0)</f>
        <v>0</v>
      </c>
      <c r="AO20" s="114">
        <f>IFERROR(VLOOKUP($AJ20,HomeBroker!$A$2:$F$88,5,0),0)</f>
        <v>0</v>
      </c>
      <c r="AP20" s="115">
        <f>IFERROR(VLOOKUP($AJ20,HomeBroker!$A$2:$N$88,14,0),0)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1136.9000000000001</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1136.9000000000001</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e">
        <f t="shared" si="79"/>
        <v>#DIV/0!</v>
      </c>
      <c r="O21" s="297">
        <f t="shared" si="80"/>
        <v>0</v>
      </c>
      <c r="P21" s="142">
        <f t="shared" si="4"/>
        <v>1136.9000000000001</v>
      </c>
      <c r="Q21" s="142">
        <f t="shared" ca="1" si="5"/>
        <v>1136.9000000000001</v>
      </c>
      <c r="R21" s="62"/>
      <c r="S21" s="246" t="str">
        <f t="shared" si="69"/>
        <v/>
      </c>
      <c r="T21" s="110">
        <f t="shared" si="74"/>
        <v>0</v>
      </c>
      <c r="U21" s="149"/>
      <c r="V21" s="112">
        <f t="shared" ca="1" si="59"/>
        <v>0</v>
      </c>
      <c r="W21" s="113" t="str">
        <f t="shared" si="81"/>
        <v/>
      </c>
      <c r="X21" s="113" t="str">
        <f t="shared" si="75"/>
        <v/>
      </c>
      <c r="Y21" s="242">
        <f>IFERROR(VLOOKUP($X21,HomeBroker!$A$2:$F$88,2,0),0)</f>
        <v>0</v>
      </c>
      <c r="Z21" s="242">
        <f>IFERROR(VLOOKUP($X21,HomeBroker!$A$2:$F$88,3,0),0)</f>
        <v>0</v>
      </c>
      <c r="AA21" s="243">
        <f>IFERROR(VLOOKUP($X21,HomeBroker!$A$2:$F$88,6,0),0)</f>
        <v>0</v>
      </c>
      <c r="AB21" s="242">
        <f>IFERROR(VLOOKUP($X21,HomeBroker!$A$2:$F$88,4,0),0)</f>
        <v>0</v>
      </c>
      <c r="AC21" s="242">
        <f>IFERROR(VLOOKUP($X21,HomeBroker!$A$2:$F$88,5,0),0)</f>
        <v>0</v>
      </c>
      <c r="AD21" s="305">
        <f>IFERROR(VLOOKUP($X21,HomeBroker!$A$2:$N$88,14,0),0)</f>
        <v>0</v>
      </c>
      <c r="AE21" s="247" t="str">
        <f t="shared" si="61"/>
        <v/>
      </c>
      <c r="AF21" s="110">
        <f t="shared" si="76"/>
        <v>0</v>
      </c>
      <c r="AG21" s="149"/>
      <c r="AH21" s="112">
        <f t="shared" ca="1" si="63"/>
        <v>0</v>
      </c>
      <c r="AI21" s="113" t="str">
        <f t="shared" si="77"/>
        <v/>
      </c>
      <c r="AJ21" s="113" t="str">
        <f t="shared" si="78"/>
        <v/>
      </c>
      <c r="AK21" s="114">
        <f>IFERROR(VLOOKUP($AJ21,HomeBroker!$A$2:$F$88,2,0),0)</f>
        <v>0</v>
      </c>
      <c r="AL21" s="242">
        <f>IFERROR(VLOOKUP($AJ21,HomeBroker!$A$2:$F$88,3,0),0)</f>
        <v>0</v>
      </c>
      <c r="AM21" s="243">
        <f>IFERROR(VLOOKUP($AJ21,HomeBroker!$A$2:$F$88,6,0),0)</f>
        <v>0</v>
      </c>
      <c r="AN21" s="242">
        <f>IFERROR(VLOOKUP($AJ21,HomeBroker!$A$2:$F$88,4,0),0)</f>
        <v>0</v>
      </c>
      <c r="AO21" s="114">
        <f>IFERROR(VLOOKUP($AJ21,HomeBroker!$A$2:$F$88,5,0),0)</f>
        <v>0</v>
      </c>
      <c r="AP21" s="115">
        <f>IFERROR(VLOOKUP($AJ21,HomeBroker!$A$2:$N$88,14,0),0)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1136.9000000000001</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1136.9000000000001</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e">
        <f t="shared" si="79"/>
        <v>#DIV/0!</v>
      </c>
      <c r="O22" s="297">
        <f t="shared" si="80"/>
        <v>0</v>
      </c>
      <c r="P22" s="135">
        <f t="shared" si="4"/>
        <v>1136.9000000000001</v>
      </c>
      <c r="Q22" s="135">
        <f t="shared" ca="1" si="5"/>
        <v>1136.9000000000001</v>
      </c>
      <c r="R22" s="62"/>
      <c r="S22" s="246" t="str">
        <f t="shared" si="69"/>
        <v/>
      </c>
      <c r="T22" s="110">
        <f t="shared" si="74"/>
        <v>0</v>
      </c>
      <c r="U22" s="149"/>
      <c r="V22" s="112">
        <f t="shared" ca="1" si="59"/>
        <v>0</v>
      </c>
      <c r="W22" s="113" t="str">
        <f t="shared" si="81"/>
        <v/>
      </c>
      <c r="X22" s="113" t="str">
        <f t="shared" si="75"/>
        <v/>
      </c>
      <c r="Y22" s="242">
        <f>IFERROR(VLOOKUP($X22,HomeBroker!$A$2:$F$88,2,0),0)</f>
        <v>0</v>
      </c>
      <c r="Z22" s="242">
        <f>IFERROR(VLOOKUP($X22,HomeBroker!$A$2:$F$88,3,0),0)</f>
        <v>0</v>
      </c>
      <c r="AA22" s="243">
        <f>IFERROR(VLOOKUP($X22,HomeBroker!$A$2:$F$88,6,0),0)</f>
        <v>0</v>
      </c>
      <c r="AB22" s="242">
        <f>IFERROR(VLOOKUP($X22,HomeBroker!$A$2:$F$88,4,0),0)</f>
        <v>0</v>
      </c>
      <c r="AC22" s="242">
        <f>IFERROR(VLOOKUP($X22,HomeBroker!$A$2:$F$88,5,0),0)</f>
        <v>0</v>
      </c>
      <c r="AD22" s="305">
        <f>IFERROR(VLOOKUP($X22,HomeBroker!$A$2:$N$88,14,0),0)</f>
        <v>0</v>
      </c>
      <c r="AE22" s="247" t="str">
        <f t="shared" si="61"/>
        <v/>
      </c>
      <c r="AF22" s="110">
        <f t="shared" si="76"/>
        <v>0</v>
      </c>
      <c r="AG22" s="149"/>
      <c r="AH22" s="112">
        <f t="shared" ca="1" si="63"/>
        <v>0</v>
      </c>
      <c r="AI22" s="113" t="str">
        <f t="shared" si="77"/>
        <v/>
      </c>
      <c r="AJ22" s="113" t="str">
        <f t="shared" si="78"/>
        <v/>
      </c>
      <c r="AK22" s="114">
        <f>IFERROR(VLOOKUP($AJ22,HomeBroker!$A$2:$F$88,2,0),0)</f>
        <v>0</v>
      </c>
      <c r="AL22" s="242">
        <f>IFERROR(VLOOKUP($AJ22,HomeBroker!$A$2:$F$88,3,0),0)</f>
        <v>0</v>
      </c>
      <c r="AM22" s="243">
        <f>IFERROR(VLOOKUP($AJ22,HomeBroker!$A$2:$F$88,6,0),0)</f>
        <v>0</v>
      </c>
      <c r="AN22" s="242">
        <f>IFERROR(VLOOKUP($AJ22,HomeBroker!$A$2:$F$88,4,0),0)</f>
        <v>0</v>
      </c>
      <c r="AO22" s="114">
        <f>IFERROR(VLOOKUP($AJ22,HomeBroker!$A$2:$F$88,5,0),0)</f>
        <v>0</v>
      </c>
      <c r="AP22" s="115">
        <f>IFERROR(VLOOKUP($AJ22,HomeBroker!$A$2:$N$88,14,0),0)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1136.9000000000001</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1136.9000000000001</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e">
        <f t="shared" si="79"/>
        <v>#DIV/0!</v>
      </c>
      <c r="O23" s="297">
        <f t="shared" si="80"/>
        <v>0</v>
      </c>
      <c r="P23" s="135">
        <f t="shared" si="4"/>
        <v>1136.9000000000001</v>
      </c>
      <c r="Q23" s="135">
        <f t="shared" ca="1" si="5"/>
        <v>1136.9000000000001</v>
      </c>
      <c r="R23" s="62"/>
      <c r="S23" s="246" t="str">
        <f t="shared" si="69"/>
        <v/>
      </c>
      <c r="T23" s="110">
        <f t="shared" si="74"/>
        <v>0</v>
      </c>
      <c r="U23" s="111"/>
      <c r="V23" s="112">
        <f t="shared" ca="1" si="59"/>
        <v>0</v>
      </c>
      <c r="W23" s="113" t="str">
        <f t="shared" si="81"/>
        <v/>
      </c>
      <c r="X23" s="113" t="str">
        <f t="shared" si="75"/>
        <v/>
      </c>
      <c r="Y23" s="242">
        <f>IFERROR(VLOOKUP($X23,HomeBroker!$A$2:$F$88,2,0),0)</f>
        <v>0</v>
      </c>
      <c r="Z23" s="242">
        <f>IFERROR(VLOOKUP($X23,HomeBroker!$A$2:$F$88,3,0),0)</f>
        <v>0</v>
      </c>
      <c r="AA23" s="243">
        <f>IFERROR(VLOOKUP($X23,HomeBroker!$A$2:$F$88,6,0),0)</f>
        <v>0</v>
      </c>
      <c r="AB23" s="242">
        <f>IFERROR(VLOOKUP($X23,HomeBroker!$A$2:$F$88,4,0),0)</f>
        <v>0</v>
      </c>
      <c r="AC23" s="242">
        <f>IFERROR(VLOOKUP($X23,HomeBroker!$A$2:$F$88,5,0),0)</f>
        <v>0</v>
      </c>
      <c r="AD23" s="305">
        <f>IFERROR(VLOOKUP($X23,HomeBroker!$A$2:$N$88,14,0),0)</f>
        <v>0</v>
      </c>
      <c r="AE23" s="247" t="str">
        <f t="shared" si="61"/>
        <v/>
      </c>
      <c r="AF23" s="110">
        <f t="shared" si="76"/>
        <v>0</v>
      </c>
      <c r="AG23" s="149"/>
      <c r="AH23" s="112">
        <f t="shared" ca="1" si="63"/>
        <v>0</v>
      </c>
      <c r="AI23" s="113" t="str">
        <f t="shared" si="77"/>
        <v/>
      </c>
      <c r="AJ23" s="113" t="str">
        <f t="shared" si="78"/>
        <v/>
      </c>
      <c r="AK23" s="114">
        <f>IFERROR(VLOOKUP($AJ23,HomeBroker!$A$2:$F$88,2,0),0)</f>
        <v>0</v>
      </c>
      <c r="AL23" s="242">
        <f>IFERROR(VLOOKUP($AJ23,HomeBroker!$A$2:$F$88,3,0),0)</f>
        <v>0</v>
      </c>
      <c r="AM23" s="243">
        <f>IFERROR(VLOOKUP($AJ23,HomeBroker!$A$2:$F$88,6,0),0)</f>
        <v>0</v>
      </c>
      <c r="AN23" s="242">
        <f>IFERROR(VLOOKUP($AJ23,HomeBroker!$A$2:$F$88,4,0),0)</f>
        <v>0</v>
      </c>
      <c r="AO23" s="114">
        <f>IFERROR(VLOOKUP($AJ23,HomeBroker!$A$2:$F$88,5,0),0)</f>
        <v>0</v>
      </c>
      <c r="AP23" s="115">
        <f>IFERROR(VLOOKUP($AJ23,HomeBroker!$A$2:$N$88,14,0),0)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1136.9000000000001</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1136.9000000000001</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e">
        <f t="shared" si="79"/>
        <v>#DIV/0!</v>
      </c>
      <c r="O24" s="296">
        <f t="shared" si="80"/>
        <v>0</v>
      </c>
      <c r="P24" s="142">
        <f t="shared" si="4"/>
        <v>1136.9000000000001</v>
      </c>
      <c r="Q24" s="142">
        <f t="shared" ca="1" si="5"/>
        <v>1136.9000000000001</v>
      </c>
      <c r="R24" s="62"/>
      <c r="S24" s="246" t="str">
        <f t="shared" si="69"/>
        <v/>
      </c>
      <c r="T24" s="110">
        <f t="shared" si="74"/>
        <v>0</v>
      </c>
      <c r="U24" s="111"/>
      <c r="V24" s="112">
        <f t="shared" ca="1" si="59"/>
        <v>0</v>
      </c>
      <c r="W24" s="113" t="str">
        <f t="shared" si="81"/>
        <v/>
      </c>
      <c r="X24" s="113" t="str">
        <f t="shared" si="75"/>
        <v/>
      </c>
      <c r="Y24" s="242">
        <f>IFERROR(VLOOKUP($X24,HomeBroker!$A$2:$F$88,2,0),0)</f>
        <v>0</v>
      </c>
      <c r="Z24" s="242">
        <f>IFERROR(VLOOKUP($X24,HomeBroker!$A$2:$F$88,3,0),0)</f>
        <v>0</v>
      </c>
      <c r="AA24" s="243">
        <f>IFERROR(VLOOKUP($X24,HomeBroker!$A$2:$F$88,6,0),0)</f>
        <v>0</v>
      </c>
      <c r="AB24" s="242">
        <f>IFERROR(VLOOKUP($X24,HomeBroker!$A$2:$F$88,4,0),0)</f>
        <v>0</v>
      </c>
      <c r="AC24" s="242">
        <f>IFERROR(VLOOKUP($X24,HomeBroker!$A$2:$F$88,5,0),0)</f>
        <v>0</v>
      </c>
      <c r="AD24" s="305">
        <f>IFERROR(VLOOKUP($X24,HomeBroker!$A$2:$N$88,14,0),0)</f>
        <v>0</v>
      </c>
      <c r="AE24" s="247" t="str">
        <f t="shared" si="61"/>
        <v/>
      </c>
      <c r="AF24" s="110">
        <f t="shared" si="76"/>
        <v>0</v>
      </c>
      <c r="AG24" s="149"/>
      <c r="AH24" s="112">
        <f t="shared" ca="1" si="63"/>
        <v>0</v>
      </c>
      <c r="AI24" s="113" t="str">
        <f t="shared" si="77"/>
        <v/>
      </c>
      <c r="AJ24" s="113" t="str">
        <f t="shared" si="78"/>
        <v/>
      </c>
      <c r="AK24" s="114">
        <f>IFERROR(VLOOKUP($AJ24,HomeBroker!$A$2:$F$88,2,0),0)</f>
        <v>0</v>
      </c>
      <c r="AL24" s="242">
        <f>IFERROR(VLOOKUP($AJ24,HomeBroker!$A$2:$F$88,3,0),0)</f>
        <v>0</v>
      </c>
      <c r="AM24" s="243">
        <f>IFERROR(VLOOKUP($AJ24,HomeBroker!$A$2:$F$88,6,0),0)</f>
        <v>0</v>
      </c>
      <c r="AN24" s="242">
        <f>IFERROR(VLOOKUP($AJ24,HomeBroker!$A$2:$F$88,4,0),0)</f>
        <v>0</v>
      </c>
      <c r="AO24" s="114">
        <f>IFERROR(VLOOKUP($AJ24,HomeBroker!$A$2:$F$88,5,0),0)</f>
        <v>0</v>
      </c>
      <c r="AP24" s="115">
        <f>IFERROR(VLOOKUP($AJ24,HomeBroker!$A$2:$N$88,14,0),0)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1136.9000000000001</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1136.9000000000001</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80"/>
        <v>0</v>
      </c>
      <c r="P25" s="135">
        <f t="shared" si="4"/>
        <v>1136.9000000000001</v>
      </c>
      <c r="Q25" s="135">
        <f t="shared" ca="1" si="5"/>
        <v>1136.9000000000001</v>
      </c>
      <c r="R25" s="62"/>
      <c r="S25" s="246" t="str">
        <f t="shared" si="69"/>
        <v/>
      </c>
      <c r="T25" s="110">
        <f t="shared" si="74"/>
        <v>0</v>
      </c>
      <c r="U25" s="111"/>
      <c r="V25" s="112">
        <f t="shared" ca="1" si="59"/>
        <v>0</v>
      </c>
      <c r="W25" s="113" t="str">
        <f t="shared" si="81"/>
        <v/>
      </c>
      <c r="X25" s="113" t="str">
        <f t="shared" si="75"/>
        <v/>
      </c>
      <c r="Y25" s="242">
        <f>IFERROR(VLOOKUP($X25,HomeBroker!$A$2:$F$88,2,0),0)</f>
        <v>0</v>
      </c>
      <c r="Z25" s="242">
        <f>IFERROR(VLOOKUP($X25,HomeBroker!$A$2:$F$88,3,0),0)</f>
        <v>0</v>
      </c>
      <c r="AA25" s="243">
        <f>IFERROR(VLOOKUP($X25,HomeBroker!$A$2:$F$88,6,0),0)</f>
        <v>0</v>
      </c>
      <c r="AB25" s="242">
        <f>IFERROR(VLOOKUP($X25,HomeBroker!$A$2:$F$88,4,0),0)</f>
        <v>0</v>
      </c>
      <c r="AC25" s="242">
        <f>IFERROR(VLOOKUP($X25,HomeBroker!$A$2:$F$88,5,0),0)</f>
        <v>0</v>
      </c>
      <c r="AD25" s="305">
        <f>IFERROR(VLOOKUP($X25,HomeBroker!$A$2:$N$88,14,0),0)</f>
        <v>0</v>
      </c>
      <c r="AE25" s="247" t="str">
        <f t="shared" si="61"/>
        <v/>
      </c>
      <c r="AF25" s="110">
        <f t="shared" si="76"/>
        <v>0</v>
      </c>
      <c r="AG25" s="149"/>
      <c r="AH25" s="112">
        <f t="shared" ca="1" si="63"/>
        <v>0</v>
      </c>
      <c r="AI25" s="113" t="str">
        <f t="shared" si="77"/>
        <v/>
      </c>
      <c r="AJ25" s="113" t="str">
        <f t="shared" si="78"/>
        <v/>
      </c>
      <c r="AK25" s="114">
        <f>IFERROR(VLOOKUP($AJ25,HomeBroker!$A$2:$F$88,2,0),0)</f>
        <v>0</v>
      </c>
      <c r="AL25" s="242">
        <f>IFERROR(VLOOKUP($AJ25,HomeBroker!$A$2:$F$88,3,0),0)</f>
        <v>0</v>
      </c>
      <c r="AM25" s="243">
        <f>IFERROR(VLOOKUP($AJ25,HomeBroker!$A$2:$F$88,6,0),0)</f>
        <v>0</v>
      </c>
      <c r="AN25" s="242">
        <f>IFERROR(VLOOKUP($AJ25,HomeBroker!$A$2:$F$88,4,0),0)</f>
        <v>0</v>
      </c>
      <c r="AO25" s="114">
        <f>IFERROR(VLOOKUP($AJ25,HomeBroker!$A$2:$F$88,5,0),0)</f>
        <v>0</v>
      </c>
      <c r="AP25" s="115">
        <f>IFERROR(VLOOKUP($AJ25,HomeBroker!$A$2:$N$88,14,0),0)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1136.9000000000001</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1136.9000000000001</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80"/>
        <v>0</v>
      </c>
      <c r="P26" s="135">
        <f t="shared" si="4"/>
        <v>1136.9000000000001</v>
      </c>
      <c r="Q26" s="135">
        <f t="shared" ca="1" si="5"/>
        <v>1136.9000000000001</v>
      </c>
      <c r="R26" s="62"/>
      <c r="S26" s="246" t="str">
        <f t="shared" si="69"/>
        <v/>
      </c>
      <c r="T26" s="110">
        <f t="shared" si="74"/>
        <v>0</v>
      </c>
      <c r="U26" s="111"/>
      <c r="V26" s="112">
        <f t="shared" ca="1" si="59"/>
        <v>0</v>
      </c>
      <c r="W26" s="113" t="str">
        <f t="shared" si="81"/>
        <v/>
      </c>
      <c r="X26" s="113" t="str">
        <f t="shared" si="75"/>
        <v/>
      </c>
      <c r="Y26" s="242">
        <f>IFERROR(VLOOKUP($X26,HomeBroker!$A$2:$F$88,2,0),0)</f>
        <v>0</v>
      </c>
      <c r="Z26" s="242">
        <f>IFERROR(VLOOKUP($X26,HomeBroker!$A$2:$F$88,3,0),0)</f>
        <v>0</v>
      </c>
      <c r="AA26" s="243">
        <f>IFERROR(VLOOKUP($X26,HomeBroker!$A$2:$F$88,6,0),0)</f>
        <v>0</v>
      </c>
      <c r="AB26" s="242">
        <f>IFERROR(VLOOKUP($X26,HomeBroker!$A$2:$F$88,4,0),0)</f>
        <v>0</v>
      </c>
      <c r="AC26" s="242">
        <f>IFERROR(VLOOKUP($X26,HomeBroker!$A$2:$F$88,5,0),0)</f>
        <v>0</v>
      </c>
      <c r="AD26" s="305">
        <f>IFERROR(VLOOKUP($X26,HomeBroker!$A$2:$N$88,14,0),0)</f>
        <v>0</v>
      </c>
      <c r="AE26" s="247" t="str">
        <f t="shared" si="61"/>
        <v/>
      </c>
      <c r="AF26" s="110">
        <f t="shared" si="76"/>
        <v>0</v>
      </c>
      <c r="AG26" s="149"/>
      <c r="AH26" s="112">
        <f t="shared" ca="1" si="63"/>
        <v>0</v>
      </c>
      <c r="AI26" s="113" t="str">
        <f t="shared" si="77"/>
        <v/>
      </c>
      <c r="AJ26" s="113" t="str">
        <f t="shared" si="78"/>
        <v/>
      </c>
      <c r="AK26" s="114">
        <f>IFERROR(VLOOKUP($AJ26,HomeBroker!$A$2:$F$88,2,0),0)</f>
        <v>0</v>
      </c>
      <c r="AL26" s="242">
        <f>IFERROR(VLOOKUP($AJ26,HomeBroker!$A$2:$F$88,3,0),0)</f>
        <v>0</v>
      </c>
      <c r="AM26" s="243">
        <f>IFERROR(VLOOKUP($AJ26,HomeBroker!$A$2:$F$88,6,0),0)</f>
        <v>0</v>
      </c>
      <c r="AN26" s="242">
        <f>IFERROR(VLOOKUP($AJ26,HomeBroker!$A$2:$F$88,4,0),0)</f>
        <v>0</v>
      </c>
      <c r="AO26" s="114">
        <f>IFERROR(VLOOKUP($AJ26,HomeBroker!$A$2:$F$88,5,0),0)</f>
        <v>0</v>
      </c>
      <c r="AP26" s="115">
        <f>IFERROR(VLOOKUP($AJ26,HomeBroker!$A$2:$N$88,14,0),0)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1136.9000000000001</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1136.9000000000001</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80"/>
        <v>0</v>
      </c>
      <c r="P27" s="142">
        <f t="shared" si="4"/>
        <v>1136.9000000000001</v>
      </c>
      <c r="Q27" s="142">
        <f t="shared" ca="1" si="5"/>
        <v>1136.9000000000001</v>
      </c>
      <c r="R27" s="62"/>
      <c r="S27" s="246" t="str">
        <f t="shared" si="69"/>
        <v/>
      </c>
      <c r="T27" s="110">
        <f t="shared" si="74"/>
        <v>0</v>
      </c>
      <c r="U27" s="111"/>
      <c r="V27" s="112">
        <f t="shared" ca="1" si="59"/>
        <v>0</v>
      </c>
      <c r="W27" s="113" t="str">
        <f t="shared" si="81"/>
        <v/>
      </c>
      <c r="X27" s="113" t="str">
        <f t="shared" si="75"/>
        <v/>
      </c>
      <c r="Y27" s="242">
        <f>IFERROR(VLOOKUP($X27,HomeBroker!$A$2:$F$88,2,0),0)</f>
        <v>0</v>
      </c>
      <c r="Z27" s="242">
        <f>IFERROR(VLOOKUP($X27,HomeBroker!$A$2:$F$88,3,0),0)</f>
        <v>0</v>
      </c>
      <c r="AA27" s="243">
        <f>IFERROR(VLOOKUP($X27,HomeBroker!$A$2:$F$88,6,0),0)</f>
        <v>0</v>
      </c>
      <c r="AB27" s="242">
        <f>IFERROR(VLOOKUP($X27,HomeBroker!$A$2:$F$88,4,0),0)</f>
        <v>0</v>
      </c>
      <c r="AC27" s="242">
        <f>IFERROR(VLOOKUP($X27,HomeBroker!$A$2:$F$88,5,0),0)</f>
        <v>0</v>
      </c>
      <c r="AD27" s="305">
        <f>IFERROR(VLOOKUP($X27,HomeBroker!$A$2:$N$88,14,0),0)</f>
        <v>0</v>
      </c>
      <c r="AE27" s="247" t="str">
        <f t="shared" si="61"/>
        <v/>
      </c>
      <c r="AF27" s="110">
        <f t="shared" si="76"/>
        <v>0</v>
      </c>
      <c r="AG27" s="149"/>
      <c r="AH27" s="112">
        <f t="shared" ca="1" si="63"/>
        <v>0</v>
      </c>
      <c r="AI27" s="113" t="str">
        <f t="shared" si="77"/>
        <v/>
      </c>
      <c r="AJ27" s="113" t="str">
        <f t="shared" si="78"/>
        <v/>
      </c>
      <c r="AK27" s="114">
        <f>IFERROR(VLOOKUP($AJ27,HomeBroker!$A$2:$F$88,2,0),0)</f>
        <v>0</v>
      </c>
      <c r="AL27" s="242">
        <f>IFERROR(VLOOKUP($AJ27,HomeBroker!$A$2:$F$88,3,0),0)</f>
        <v>0</v>
      </c>
      <c r="AM27" s="243">
        <f>IFERROR(VLOOKUP($AJ27,HomeBroker!$A$2:$F$88,6,0),0)</f>
        <v>0</v>
      </c>
      <c r="AN27" s="242">
        <f>IFERROR(VLOOKUP($AJ27,HomeBroker!$A$2:$F$88,4,0),0)</f>
        <v>0</v>
      </c>
      <c r="AO27" s="114">
        <f>IFERROR(VLOOKUP($AJ27,HomeBroker!$A$2:$F$88,5,0),0)</f>
        <v>0</v>
      </c>
      <c r="AP27" s="115">
        <f>IFERROR(VLOOKUP($AJ27,HomeBroker!$A$2:$N$88,14,0),0)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1136.9000000000001</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1136.9000000000001</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80"/>
        <v>0</v>
      </c>
      <c r="P28" s="135">
        <f t="shared" si="4"/>
        <v>1136.9000000000001</v>
      </c>
      <c r="Q28" s="135">
        <f t="shared" ca="1" si="5"/>
        <v>1136.9000000000001</v>
      </c>
      <c r="R28" s="62"/>
      <c r="S28" s="246" t="str">
        <f t="shared" si="69"/>
        <v/>
      </c>
      <c r="T28" s="110">
        <f t="shared" si="74"/>
        <v>0</v>
      </c>
      <c r="U28" s="111"/>
      <c r="V28" s="112">
        <f t="shared" ca="1" si="59"/>
        <v>0</v>
      </c>
      <c r="W28" s="113" t="str">
        <f t="shared" si="81"/>
        <v/>
      </c>
      <c r="X28" s="113" t="str">
        <f t="shared" si="75"/>
        <v/>
      </c>
      <c r="Y28" s="242">
        <f>IFERROR(VLOOKUP($X28,HomeBroker!$A$2:$F$88,2,0),0)</f>
        <v>0</v>
      </c>
      <c r="Z28" s="242">
        <f>IFERROR(VLOOKUP($X28,HomeBroker!$A$2:$F$88,3,0),0)</f>
        <v>0</v>
      </c>
      <c r="AA28" s="243">
        <f>IFERROR(VLOOKUP($X28,HomeBroker!$A$2:$F$88,6,0),0)</f>
        <v>0</v>
      </c>
      <c r="AB28" s="242">
        <f>IFERROR(VLOOKUP($X28,HomeBroker!$A$2:$F$88,4,0),0)</f>
        <v>0</v>
      </c>
      <c r="AC28" s="242">
        <f>IFERROR(VLOOKUP($X28,HomeBroker!$A$2:$F$88,5,0),0)</f>
        <v>0</v>
      </c>
      <c r="AD28" s="305">
        <f>IFERROR(VLOOKUP($X28,HomeBroker!$A$2:$N$88,14,0),0)</f>
        <v>0</v>
      </c>
      <c r="AE28" s="247" t="str">
        <f t="shared" si="61"/>
        <v/>
      </c>
      <c r="AF28" s="110">
        <f t="shared" si="76"/>
        <v>0</v>
      </c>
      <c r="AG28" s="149"/>
      <c r="AH28" s="112">
        <f t="shared" ca="1" si="63"/>
        <v>0</v>
      </c>
      <c r="AI28" s="113" t="str">
        <f t="shared" si="77"/>
        <v/>
      </c>
      <c r="AJ28" s="113" t="str">
        <f t="shared" si="78"/>
        <v/>
      </c>
      <c r="AK28" s="114">
        <f>IFERROR(VLOOKUP($AJ28,HomeBroker!$A$2:$F$88,2,0),0)</f>
        <v>0</v>
      </c>
      <c r="AL28" s="242">
        <f>IFERROR(VLOOKUP($AJ28,HomeBroker!$A$2:$F$88,3,0),0)</f>
        <v>0</v>
      </c>
      <c r="AM28" s="243">
        <f>IFERROR(VLOOKUP($AJ28,HomeBroker!$A$2:$F$88,6,0),0)</f>
        <v>0</v>
      </c>
      <c r="AN28" s="242">
        <f>IFERROR(VLOOKUP($AJ28,HomeBroker!$A$2:$F$88,4,0),0)</f>
        <v>0</v>
      </c>
      <c r="AO28" s="114">
        <f>IFERROR(VLOOKUP($AJ28,HomeBroker!$A$2:$F$88,5,0),0)</f>
        <v>0</v>
      </c>
      <c r="AP28" s="115">
        <f>IFERROR(VLOOKUP($AJ28,HomeBroker!$A$2:$N$88,14,0),0)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1136.9000000000001</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1136.9000000000001</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e">
        <f>+O29/$O$18-1</f>
        <v>#DIV/0!</v>
      </c>
      <c r="O29" s="299">
        <f t="shared" si="80"/>
        <v>0</v>
      </c>
      <c r="P29" s="135">
        <f t="shared" si="4"/>
        <v>1136.9000000000001</v>
      </c>
      <c r="Q29" s="135">
        <f t="shared" ca="1" si="5"/>
        <v>1136.9000000000001</v>
      </c>
      <c r="R29" s="62"/>
      <c r="S29" s="246" t="str">
        <f t="shared" si="69"/>
        <v/>
      </c>
      <c r="T29" s="110">
        <f t="shared" si="74"/>
        <v>0</v>
      </c>
      <c r="U29" s="111"/>
      <c r="V29" s="112">
        <f t="shared" ca="1" si="59"/>
        <v>0</v>
      </c>
      <c r="W29" s="113" t="str">
        <f t="shared" si="81"/>
        <v/>
      </c>
      <c r="X29" s="113" t="str">
        <f t="shared" si="75"/>
        <v/>
      </c>
      <c r="Y29" s="242">
        <f>IFERROR(VLOOKUP($X29,HomeBroker!$A$2:$F$88,2,0),0)</f>
        <v>0</v>
      </c>
      <c r="Z29" s="242">
        <f>IFERROR(VLOOKUP($X29,HomeBroker!$A$2:$F$88,3,0),0)</f>
        <v>0</v>
      </c>
      <c r="AA29" s="243">
        <f>IFERROR(VLOOKUP($X29,HomeBroker!$A$2:$F$88,6,0),0)</f>
        <v>0</v>
      </c>
      <c r="AB29" s="242">
        <f>IFERROR(VLOOKUP($X29,HomeBroker!$A$2:$F$88,4,0),0)</f>
        <v>0</v>
      </c>
      <c r="AC29" s="242">
        <f>IFERROR(VLOOKUP($X29,HomeBroker!$A$2:$F$88,5,0),0)</f>
        <v>0</v>
      </c>
      <c r="AD29" s="305">
        <f>IFERROR(VLOOKUP($X29,HomeBroker!$A$2:$N$88,14,0),0)</f>
        <v>0</v>
      </c>
      <c r="AE29" s="247" t="str">
        <f t="shared" si="61"/>
        <v/>
      </c>
      <c r="AF29" s="110">
        <f t="shared" si="76"/>
        <v>0</v>
      </c>
      <c r="AG29" s="149"/>
      <c r="AH29" s="112">
        <f t="shared" ca="1" si="63"/>
        <v>0</v>
      </c>
      <c r="AI29" s="113" t="str">
        <f t="shared" si="77"/>
        <v/>
      </c>
      <c r="AJ29" s="113" t="str">
        <f t="shared" si="78"/>
        <v/>
      </c>
      <c r="AK29" s="114">
        <f>IFERROR(VLOOKUP($AJ29,HomeBroker!$A$2:$F$88,2,0),0)</f>
        <v>0</v>
      </c>
      <c r="AL29" s="242">
        <f>IFERROR(VLOOKUP($AJ29,HomeBroker!$A$2:$F$88,3,0),0)</f>
        <v>0</v>
      </c>
      <c r="AM29" s="243">
        <f>IFERROR(VLOOKUP($AJ29,HomeBroker!$A$2:$F$88,6,0),0)</f>
        <v>0</v>
      </c>
      <c r="AN29" s="242">
        <f>IFERROR(VLOOKUP($AJ29,HomeBroker!$A$2:$F$88,4,0),0)</f>
        <v>0</v>
      </c>
      <c r="AO29" s="114">
        <f>IFERROR(VLOOKUP($AJ29,HomeBroker!$A$2:$F$88,5,0),0)</f>
        <v>0</v>
      </c>
      <c r="AP29" s="115">
        <f>IFERROR(VLOOKUP($AJ29,HomeBroker!$A$2:$N$88,14,0),0)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1136.9000000000001</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1136.9000000000001</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80"/>
        <v>0</v>
      </c>
      <c r="P30" s="142">
        <f t="shared" si="4"/>
        <v>1136.9000000000001</v>
      </c>
      <c r="Q30" s="142">
        <f t="shared" ca="1" si="5"/>
        <v>1136.9000000000001</v>
      </c>
      <c r="R30" s="62"/>
      <c r="S30" s="246" t="str">
        <f t="shared" si="69"/>
        <v/>
      </c>
      <c r="T30" s="110">
        <f t="shared" si="74"/>
        <v>0</v>
      </c>
      <c r="U30" s="111"/>
      <c r="V30" s="112">
        <f t="shared" ca="1" si="59"/>
        <v>0</v>
      </c>
      <c r="W30" s="113" t="str">
        <f t="shared" si="81"/>
        <v/>
      </c>
      <c r="X30" s="113" t="str">
        <f t="shared" si="75"/>
        <v/>
      </c>
      <c r="Y30" s="242">
        <f>IFERROR(VLOOKUP($X30,HomeBroker!$A$2:$F$88,2,0),0)</f>
        <v>0</v>
      </c>
      <c r="Z30" s="242">
        <f>IFERROR(VLOOKUP($X30,HomeBroker!$A$2:$F$88,3,0),0)</f>
        <v>0</v>
      </c>
      <c r="AA30" s="243">
        <f>IFERROR(VLOOKUP($X30,HomeBroker!$A$2:$F$88,6,0),0)</f>
        <v>0</v>
      </c>
      <c r="AB30" s="242">
        <f>IFERROR(VLOOKUP($X30,HomeBroker!$A$2:$F$88,4,0),0)</f>
        <v>0</v>
      </c>
      <c r="AC30" s="242">
        <f>IFERROR(VLOOKUP($X30,HomeBroker!$A$2:$F$88,5,0),0)</f>
        <v>0</v>
      </c>
      <c r="AD30" s="305">
        <f>IFERROR(VLOOKUP($X30,HomeBroker!$A$2:$N$88,14,0),0)</f>
        <v>0</v>
      </c>
      <c r="AE30" s="247" t="str">
        <f t="shared" si="61"/>
        <v/>
      </c>
      <c r="AF30" s="110">
        <f t="shared" si="76"/>
        <v>0</v>
      </c>
      <c r="AG30" s="149"/>
      <c r="AH30" s="112">
        <f t="shared" ca="1" si="63"/>
        <v>0</v>
      </c>
      <c r="AI30" s="113" t="str">
        <f t="shared" si="77"/>
        <v/>
      </c>
      <c r="AJ30" s="113" t="str">
        <f t="shared" si="78"/>
        <v/>
      </c>
      <c r="AK30" s="114">
        <f>IFERROR(VLOOKUP($AJ30,HomeBroker!$A$2:$F$88,2,0),0)</f>
        <v>0</v>
      </c>
      <c r="AL30" s="242">
        <f>IFERROR(VLOOKUP($AJ30,HomeBroker!$A$2:$F$88,3,0),0)</f>
        <v>0</v>
      </c>
      <c r="AM30" s="243">
        <f>IFERROR(VLOOKUP($AJ30,HomeBroker!$A$2:$F$88,6,0),0)</f>
        <v>0</v>
      </c>
      <c r="AN30" s="242">
        <f>IFERROR(VLOOKUP($AJ30,HomeBroker!$A$2:$F$88,4,0),0)</f>
        <v>0</v>
      </c>
      <c r="AO30" s="114">
        <f>IFERROR(VLOOKUP($AJ30,HomeBroker!$A$2:$F$88,5,0),0)</f>
        <v>0</v>
      </c>
      <c r="AP30" s="115">
        <f>IFERROR(VLOOKUP($AJ30,HomeBroker!$A$2:$N$88,14,0),0)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1136.9000000000001</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1136.9000000000001</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80"/>
        <v>0</v>
      </c>
      <c r="P31" s="135">
        <f t="shared" si="4"/>
        <v>1136.9000000000001</v>
      </c>
      <c r="Q31" s="135">
        <f t="shared" ca="1" si="5"/>
        <v>1136.9000000000001</v>
      </c>
      <c r="R31" s="62"/>
      <c r="S31" s="246" t="str">
        <f t="shared" si="69"/>
        <v/>
      </c>
      <c r="T31" s="110">
        <f t="shared" si="74"/>
        <v>0</v>
      </c>
      <c r="U31" s="111"/>
      <c r="V31" s="112">
        <f t="shared" ca="1" si="59"/>
        <v>0</v>
      </c>
      <c r="W31" s="113" t="str">
        <f t="shared" si="81"/>
        <v/>
      </c>
      <c r="X31" s="113" t="str">
        <f t="shared" si="75"/>
        <v/>
      </c>
      <c r="Y31" s="242">
        <f>IFERROR(VLOOKUP($X31,HomeBroker!$A$2:$F$88,2,0),0)</f>
        <v>0</v>
      </c>
      <c r="Z31" s="242">
        <f>IFERROR(VLOOKUP($X31,HomeBroker!$A$2:$F$88,3,0),0)</f>
        <v>0</v>
      </c>
      <c r="AA31" s="243">
        <f>IFERROR(VLOOKUP($X31,HomeBroker!$A$2:$F$88,6,0),0)</f>
        <v>0</v>
      </c>
      <c r="AB31" s="242">
        <f>IFERROR(VLOOKUP($X31,HomeBroker!$A$2:$F$88,4,0),0)</f>
        <v>0</v>
      </c>
      <c r="AC31" s="242">
        <f>IFERROR(VLOOKUP($X31,HomeBroker!$A$2:$F$88,5,0),0)</f>
        <v>0</v>
      </c>
      <c r="AD31" s="305">
        <f>IFERROR(VLOOKUP($X31,HomeBroker!$A$2:$N$88,14,0),0)</f>
        <v>0</v>
      </c>
      <c r="AE31" s="247" t="str">
        <f t="shared" si="61"/>
        <v/>
      </c>
      <c r="AF31" s="110">
        <f t="shared" si="76"/>
        <v>0</v>
      </c>
      <c r="AG31" s="149"/>
      <c r="AH31" s="112">
        <f t="shared" ca="1" si="63"/>
        <v>0</v>
      </c>
      <c r="AI31" s="113" t="str">
        <f t="shared" si="77"/>
        <v/>
      </c>
      <c r="AJ31" s="113" t="str">
        <f t="shared" si="78"/>
        <v/>
      </c>
      <c r="AK31" s="114">
        <f>IFERROR(VLOOKUP($AJ31,HomeBroker!$A$2:$F$88,2,0),0)</f>
        <v>0</v>
      </c>
      <c r="AL31" s="242">
        <f>IFERROR(VLOOKUP($AJ31,HomeBroker!$A$2:$F$88,3,0),0)</f>
        <v>0</v>
      </c>
      <c r="AM31" s="243">
        <f>IFERROR(VLOOKUP($AJ31,HomeBroker!$A$2:$F$88,6,0),0)</f>
        <v>0</v>
      </c>
      <c r="AN31" s="242">
        <f>IFERROR(VLOOKUP($AJ31,HomeBroker!$A$2:$F$88,4,0),0)</f>
        <v>0</v>
      </c>
      <c r="AO31" s="114">
        <f>IFERROR(VLOOKUP($AJ31,HomeBroker!$A$2:$F$88,5,0),0)</f>
        <v>0</v>
      </c>
      <c r="AP31" s="115">
        <f>IFERROR(VLOOKUP($AJ31,HomeBroker!$A$2:$N$88,14,0),0)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1136.9000000000001</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1136.9000000000001</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80"/>
        <v>0</v>
      </c>
      <c r="P32" s="135">
        <f t="shared" si="4"/>
        <v>1136.9000000000001</v>
      </c>
      <c r="Q32" s="135">
        <f t="shared" ca="1" si="5"/>
        <v>1136.9000000000001</v>
      </c>
      <c r="R32" s="62"/>
      <c r="S32" s="246" t="str">
        <f t="shared" si="69"/>
        <v/>
      </c>
      <c r="T32" s="110">
        <f t="shared" si="74"/>
        <v>0</v>
      </c>
      <c r="U32" s="111"/>
      <c r="V32" s="112">
        <f t="shared" ca="1" si="59"/>
        <v>0</v>
      </c>
      <c r="W32" s="113" t="str">
        <f t="shared" si="81"/>
        <v/>
      </c>
      <c r="X32" s="113" t="str">
        <f t="shared" si="75"/>
        <v/>
      </c>
      <c r="Y32" s="242">
        <f>IFERROR(VLOOKUP($X32,HomeBroker!$A$2:$F$88,2,0),0)</f>
        <v>0</v>
      </c>
      <c r="Z32" s="242">
        <f>IFERROR(VLOOKUP($X32,HomeBroker!$A$2:$F$88,3,0),0)</f>
        <v>0</v>
      </c>
      <c r="AA32" s="243">
        <f>IFERROR(VLOOKUP($X32,HomeBroker!$A$2:$F$88,6,0),0)</f>
        <v>0</v>
      </c>
      <c r="AB32" s="242">
        <f>IFERROR(VLOOKUP($X32,HomeBroker!$A$2:$F$88,4,0),0)</f>
        <v>0</v>
      </c>
      <c r="AC32" s="242">
        <f>IFERROR(VLOOKUP($X32,HomeBroker!$A$2:$F$88,5,0),0)</f>
        <v>0</v>
      </c>
      <c r="AD32" s="305">
        <f>IFERROR(VLOOKUP($X32,HomeBroker!$A$2:$N$88,14,0),0)</f>
        <v>0</v>
      </c>
      <c r="AE32" s="247" t="str">
        <f t="shared" si="61"/>
        <v/>
      </c>
      <c r="AF32" s="110">
        <f t="shared" si="76"/>
        <v>0</v>
      </c>
      <c r="AG32" s="149"/>
      <c r="AH32" s="112">
        <f t="shared" ca="1" si="63"/>
        <v>0</v>
      </c>
      <c r="AI32" s="113" t="str">
        <f t="shared" si="77"/>
        <v/>
      </c>
      <c r="AJ32" s="113" t="str">
        <f t="shared" si="78"/>
        <v/>
      </c>
      <c r="AK32" s="114">
        <f>IFERROR(VLOOKUP($AJ32,HomeBroker!$A$2:$F$88,2,0),0)</f>
        <v>0</v>
      </c>
      <c r="AL32" s="242">
        <f>IFERROR(VLOOKUP($AJ32,HomeBroker!$A$2:$F$88,3,0),0)</f>
        <v>0</v>
      </c>
      <c r="AM32" s="243">
        <f>IFERROR(VLOOKUP($AJ32,HomeBroker!$A$2:$F$88,6,0),0)</f>
        <v>0</v>
      </c>
      <c r="AN32" s="242">
        <f>IFERROR(VLOOKUP($AJ32,HomeBroker!$A$2:$F$88,4,0),0)</f>
        <v>0</v>
      </c>
      <c r="AO32" s="114">
        <f>IFERROR(VLOOKUP($AJ32,HomeBroker!$A$2:$F$88,5,0),0)</f>
        <v>0</v>
      </c>
      <c r="AP32" s="115">
        <f>IFERROR(VLOOKUP($AJ32,HomeBroker!$A$2:$N$88,14,0),0)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1136.9000000000001</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1136.9000000000001</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80"/>
        <v>0</v>
      </c>
      <c r="P33" s="142">
        <f t="shared" si="4"/>
        <v>1136.9000000000001</v>
      </c>
      <c r="Q33" s="142">
        <f t="shared" ca="1" si="5"/>
        <v>1136.9000000000001</v>
      </c>
      <c r="R33" s="62"/>
      <c r="S33" s="246" t="str">
        <f t="shared" si="69"/>
        <v/>
      </c>
      <c r="T33" s="110">
        <f t="shared" si="74"/>
        <v>0</v>
      </c>
      <c r="U33" s="111"/>
      <c r="V33" s="112">
        <f t="shared" ca="1" si="59"/>
        <v>0</v>
      </c>
      <c r="W33" s="113" t="str">
        <f t="shared" si="81"/>
        <v/>
      </c>
      <c r="X33" s="113" t="str">
        <f t="shared" si="75"/>
        <v/>
      </c>
      <c r="Y33" s="242">
        <f>IFERROR(VLOOKUP($X33,HomeBroker!$A$2:$F$88,2,0),0)</f>
        <v>0</v>
      </c>
      <c r="Z33" s="242">
        <f>IFERROR(VLOOKUP($X33,HomeBroker!$A$2:$F$88,3,0),0)</f>
        <v>0</v>
      </c>
      <c r="AA33" s="243">
        <f>IFERROR(VLOOKUP($X33,HomeBroker!$A$2:$F$88,6,0),0)</f>
        <v>0</v>
      </c>
      <c r="AB33" s="242">
        <f>IFERROR(VLOOKUP($X33,HomeBroker!$A$2:$F$88,4,0),0)</f>
        <v>0</v>
      </c>
      <c r="AC33" s="242">
        <f>IFERROR(VLOOKUP($X33,HomeBroker!$A$2:$F$88,5,0),0)</f>
        <v>0</v>
      </c>
      <c r="AD33" s="305">
        <f>IFERROR(VLOOKUP($X33,HomeBroker!$A$2:$N$88,14,0),0)</f>
        <v>0</v>
      </c>
      <c r="AE33" s="247" t="str">
        <f t="shared" si="61"/>
        <v/>
      </c>
      <c r="AF33" s="110">
        <f t="shared" si="76"/>
        <v>0</v>
      </c>
      <c r="AG33" s="149"/>
      <c r="AH33" s="112">
        <f t="shared" ca="1" si="63"/>
        <v>0</v>
      </c>
      <c r="AI33" s="113" t="str">
        <f t="shared" si="77"/>
        <v/>
      </c>
      <c r="AJ33" s="113" t="str">
        <f t="shared" si="78"/>
        <v/>
      </c>
      <c r="AK33" s="114">
        <f>IFERROR(VLOOKUP($AJ33,HomeBroker!$A$2:$F$88,2,0),0)</f>
        <v>0</v>
      </c>
      <c r="AL33" s="242">
        <f>IFERROR(VLOOKUP($AJ33,HomeBroker!$A$2:$F$88,3,0),0)</f>
        <v>0</v>
      </c>
      <c r="AM33" s="243">
        <f>IFERROR(VLOOKUP($AJ33,HomeBroker!$A$2:$F$88,6,0),0)</f>
        <v>0</v>
      </c>
      <c r="AN33" s="242">
        <f>IFERROR(VLOOKUP($AJ33,HomeBroker!$A$2:$F$88,4,0),0)</f>
        <v>0</v>
      </c>
      <c r="AO33" s="114">
        <f>IFERROR(VLOOKUP($AJ33,HomeBroker!$A$2:$F$88,5,0),0)</f>
        <v>0</v>
      </c>
      <c r="AP33" s="115">
        <f>IFERROR(VLOOKUP($AJ33,HomeBroker!$A$2:$N$88,14,0),0)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1136.9000000000001</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1136.9000000000001</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80"/>
        <v>0</v>
      </c>
      <c r="P34" s="154">
        <f t="shared" si="4"/>
        <v>1136.9000000000001</v>
      </c>
      <c r="Q34" s="154">
        <f t="shared" ca="1" si="5"/>
        <v>1136.9000000000001</v>
      </c>
      <c r="R34" s="155"/>
      <c r="S34" s="246" t="str">
        <f t="shared" si="69"/>
        <v/>
      </c>
      <c r="T34" s="110">
        <f t="shared" si="74"/>
        <v>0</v>
      </c>
      <c r="U34" s="111"/>
      <c r="V34" s="112">
        <f t="shared" ca="1" si="59"/>
        <v>0</v>
      </c>
      <c r="W34" s="113" t="str">
        <f t="shared" si="81"/>
        <v/>
      </c>
      <c r="X34" s="113" t="str">
        <f t="shared" si="75"/>
        <v/>
      </c>
      <c r="Y34" s="242">
        <f>IFERROR(VLOOKUP($X34,HomeBroker!$A$2:$F$88,2,0),0)</f>
        <v>0</v>
      </c>
      <c r="Z34" s="242">
        <f>IFERROR(VLOOKUP($X34,HomeBroker!$A$2:$F$88,3,0),0)</f>
        <v>0</v>
      </c>
      <c r="AA34" s="243">
        <f>IFERROR(VLOOKUP($X34,HomeBroker!$A$2:$F$88,6,0),0)</f>
        <v>0</v>
      </c>
      <c r="AB34" s="242">
        <f>IFERROR(VLOOKUP($X34,HomeBroker!$A$2:$F$88,4,0),0)</f>
        <v>0</v>
      </c>
      <c r="AC34" s="242">
        <f>IFERROR(VLOOKUP($X34,HomeBroker!$A$2:$F$88,5,0),0)</f>
        <v>0</v>
      </c>
      <c r="AD34" s="305">
        <f>IFERROR(VLOOKUP($X34,HomeBroker!$A$2:$N$88,14,0),0)</f>
        <v>0</v>
      </c>
      <c r="AE34" s="247" t="str">
        <f t="shared" si="61"/>
        <v/>
      </c>
      <c r="AF34" s="110">
        <f t="shared" si="76"/>
        <v>0</v>
      </c>
      <c r="AG34" s="111"/>
      <c r="AH34" s="112">
        <f t="shared" ca="1" si="63"/>
        <v>0</v>
      </c>
      <c r="AI34" s="113" t="str">
        <f t="shared" si="77"/>
        <v/>
      </c>
      <c r="AJ34" s="113" t="str">
        <f t="shared" si="78"/>
        <v/>
      </c>
      <c r="AK34" s="114">
        <f>IFERROR(VLOOKUP($AJ34,HomeBroker!$A$2:$F$88,2,0),0)</f>
        <v>0</v>
      </c>
      <c r="AL34" s="242">
        <f>IFERROR(VLOOKUP($AJ34,HomeBroker!$A$2:$F$88,3,0),0)</f>
        <v>0</v>
      </c>
      <c r="AM34" s="243">
        <f>IFERROR(VLOOKUP($AJ34,HomeBroker!$A$2:$F$88,6,0),0)</f>
        <v>0</v>
      </c>
      <c r="AN34" s="242">
        <f>IFERROR(VLOOKUP($AJ34,HomeBroker!$A$2:$F$88,4,0),0)</f>
        <v>0</v>
      </c>
      <c r="AO34" s="114">
        <f>IFERROR(VLOOKUP($AJ34,HomeBroker!$A$2:$F$88,5,0),0)</f>
        <v>0</v>
      </c>
      <c r="AP34" s="115">
        <f>IFERROR(VLOOKUP($AJ34,HomeBroker!$A$2:$N$88,14,0),0)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1136.9000000000001</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1136.9000000000001</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1"/>
        <v/>
      </c>
      <c r="X35" s="113" t="str">
        <f t="shared" si="75"/>
        <v/>
      </c>
      <c r="Y35" s="242">
        <f>IFERROR(VLOOKUP($X35,HomeBroker!$A$2:$F$88,2,0),0)</f>
        <v>0</v>
      </c>
      <c r="Z35" s="242">
        <f>IFERROR(VLOOKUP($X35,HomeBroker!$A$2:$F$88,3,0),0)</f>
        <v>0</v>
      </c>
      <c r="AA35" s="243">
        <f>IFERROR(VLOOKUP($X35,HomeBroker!$A$2:$F$88,6,0),0)</f>
        <v>0</v>
      </c>
      <c r="AB35" s="242">
        <f>IFERROR(VLOOKUP($X35,HomeBroker!$A$2:$F$88,4,0),0)</f>
        <v>0</v>
      </c>
      <c r="AC35" s="242">
        <f>IFERROR(VLOOKUP($X35,HomeBroker!$A$2:$F$88,5,0),0)</f>
        <v>0</v>
      </c>
      <c r="AD35" s="305">
        <f>IFERROR(VLOOKUP($X35,HomeBroker!$A$2:$N$88,14,0),0)</f>
        <v>0</v>
      </c>
      <c r="AE35" s="247" t="str">
        <f t="shared" si="61"/>
        <v/>
      </c>
      <c r="AF35" s="110">
        <f t="shared" si="76"/>
        <v>0</v>
      </c>
      <c r="AG35" s="111"/>
      <c r="AH35" s="112">
        <f t="shared" ca="1" si="63"/>
        <v>0</v>
      </c>
      <c r="AI35" s="113" t="str">
        <f t="shared" si="77"/>
        <v/>
      </c>
      <c r="AJ35" s="113" t="str">
        <f t="shared" si="78"/>
        <v/>
      </c>
      <c r="AK35" s="114">
        <f>IFERROR(VLOOKUP($AJ35,HomeBroker!$A$2:$F$88,2,0),0)</f>
        <v>0</v>
      </c>
      <c r="AL35" s="242">
        <f>IFERROR(VLOOKUP($AJ35,HomeBroker!$A$2:$F$88,3,0),0)</f>
        <v>0</v>
      </c>
      <c r="AM35" s="243">
        <f>IFERROR(VLOOKUP($AJ35,HomeBroker!$A$2:$F$88,6,0),0)</f>
        <v>0</v>
      </c>
      <c r="AN35" s="242">
        <f>IFERROR(VLOOKUP($AJ35,HomeBroker!$A$2:$F$88,4,0),0)</f>
        <v>0</v>
      </c>
      <c r="AO35" s="114">
        <f>IFERROR(VLOOKUP($AJ35,HomeBroker!$A$2:$F$88,5,0),0)</f>
        <v>0</v>
      </c>
      <c r="AP35" s="115">
        <f>IFERROR(VLOOKUP($AJ35,HomeBroker!$A$2:$N$88,14,0),0)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729" t="s">
        <v>450</v>
      </c>
      <c r="O36" s="706"/>
      <c r="P36" s="707"/>
      <c r="Q36" s="165">
        <f>SUM(BB:BB)+SUM(BH:BH)+SUM(BM:BM)+$F$76</f>
        <v>1136.8976000000002</v>
      </c>
      <c r="R36" s="62"/>
      <c r="S36" s="246" t="str">
        <f t="shared" si="69"/>
        <v/>
      </c>
      <c r="T36" s="110">
        <f t="shared" si="74"/>
        <v>0</v>
      </c>
      <c r="U36" s="111"/>
      <c r="V36" s="112">
        <f t="shared" ca="1" si="59"/>
        <v>0</v>
      </c>
      <c r="W36" s="113" t="str">
        <f t="shared" si="81"/>
        <v/>
      </c>
      <c r="X36" s="113" t="str">
        <f t="shared" si="75"/>
        <v/>
      </c>
      <c r="Y36" s="242">
        <f>IFERROR(VLOOKUP($X36,HomeBroker!$A$2:$F$88,2,0),0)</f>
        <v>0</v>
      </c>
      <c r="Z36" s="242">
        <f>IFERROR(VLOOKUP($X36,HomeBroker!$A$2:$F$88,3,0),0)</f>
        <v>0</v>
      </c>
      <c r="AA36" s="243">
        <f>IFERROR(VLOOKUP($X36,HomeBroker!$A$2:$F$88,6,0),0)</f>
        <v>0</v>
      </c>
      <c r="AB36" s="242">
        <f>IFERROR(VLOOKUP($X36,HomeBroker!$A$2:$F$88,4,0),0)</f>
        <v>0</v>
      </c>
      <c r="AC36" s="242">
        <f>IFERROR(VLOOKUP($X36,HomeBroker!$A$2:$F$88,5,0),0)</f>
        <v>0</v>
      </c>
      <c r="AD36" s="305">
        <f>IFERROR(VLOOKUP($X36,HomeBroker!$A$2:$N$88,14,0),0)</f>
        <v>0</v>
      </c>
      <c r="AE36" s="247" t="str">
        <f t="shared" si="61"/>
        <v/>
      </c>
      <c r="AF36" s="110">
        <f t="shared" si="76"/>
        <v>0</v>
      </c>
      <c r="AG36" s="111"/>
      <c r="AH36" s="112">
        <f t="shared" ca="1" si="63"/>
        <v>0</v>
      </c>
      <c r="AI36" s="113" t="str">
        <f t="shared" si="77"/>
        <v/>
      </c>
      <c r="AJ36" s="113" t="str">
        <f t="shared" si="78"/>
        <v/>
      </c>
      <c r="AK36" s="114">
        <f>IFERROR(VLOOKUP($AJ36,HomeBroker!$A$2:$F$88,2,0),0)</f>
        <v>0</v>
      </c>
      <c r="AL36" s="242">
        <f>IFERROR(VLOOKUP($AJ36,HomeBroker!$A$2:$F$88,3,0),0)</f>
        <v>0</v>
      </c>
      <c r="AM36" s="243">
        <f>IFERROR(VLOOKUP($AJ36,HomeBroker!$A$2:$F$88,6,0),0)</f>
        <v>0</v>
      </c>
      <c r="AN36" s="242">
        <f>IFERROR(VLOOKUP($AJ36,HomeBroker!$A$2:$F$88,4,0),0)</f>
        <v>0</v>
      </c>
      <c r="AO36" s="114">
        <f>IFERROR(VLOOKUP($AJ36,HomeBroker!$A$2:$F$88,5,0),0)</f>
        <v>0</v>
      </c>
      <c r="AP36" s="115">
        <f>IFERROR(VLOOKUP($AJ36,HomeBroker!$A$2:$N$88,14,0),0)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729" t="s">
        <v>451</v>
      </c>
      <c r="O37" s="706"/>
      <c r="P37" s="707"/>
      <c r="Q37" s="171">
        <f>IF(AND(F76&lt;&gt;0,I76&lt;&gt;0),($Q$36+ SUMPRODUCT(-(AA3:AA42),T3:T42)*-100 + SUMPRODUCT(-(AM3:AM42),AF3:AF42)*-100 + ($AE$43*$O$18)  +$I$76)-F76,($Q$36+ SUMPRODUCT(-(AA3:AA42),T3:T42)*-100 + SUMPRODUCT(-(AM3:AM42),AF3:AF42)*-100 + ($AE$43*$O$18)  +$I$76))</f>
        <v>1136.8976000000002</v>
      </c>
      <c r="R37" s="62"/>
      <c r="S37" s="246" t="str">
        <f t="shared" si="69"/>
        <v/>
      </c>
      <c r="T37" s="110">
        <f t="shared" si="74"/>
        <v>0</v>
      </c>
      <c r="U37" s="111"/>
      <c r="V37" s="112">
        <f t="shared" ca="1" si="59"/>
        <v>0</v>
      </c>
      <c r="W37" s="113" t="str">
        <f t="shared" si="81"/>
        <v/>
      </c>
      <c r="X37" s="113" t="str">
        <f t="shared" si="75"/>
        <v/>
      </c>
      <c r="Y37" s="242">
        <f>IFERROR(VLOOKUP($X37,HomeBroker!$A$2:$F$88,2,0),0)</f>
        <v>0</v>
      </c>
      <c r="Z37" s="242">
        <f>IFERROR(VLOOKUP($X37,HomeBroker!$A$2:$F$88,3,0),0)</f>
        <v>0</v>
      </c>
      <c r="AA37" s="243">
        <f>IFERROR(VLOOKUP($X37,HomeBroker!$A$2:$F$88,6,0),0)</f>
        <v>0</v>
      </c>
      <c r="AB37" s="242">
        <f>IFERROR(VLOOKUP($X37,HomeBroker!$A$2:$F$88,4,0),0)</f>
        <v>0</v>
      </c>
      <c r="AC37" s="242">
        <f>IFERROR(VLOOKUP($X37,HomeBroker!$A$2:$F$88,5,0),0)</f>
        <v>0</v>
      </c>
      <c r="AD37" s="305">
        <f>IFERROR(VLOOKUP($X37,HomeBroker!$A$2:$N$88,14,0),0)</f>
        <v>0</v>
      </c>
      <c r="AE37" s="247" t="str">
        <f t="shared" si="61"/>
        <v/>
      </c>
      <c r="AF37" s="110">
        <f t="shared" si="76"/>
        <v>0</v>
      </c>
      <c r="AG37" s="111"/>
      <c r="AH37" s="112">
        <f t="shared" ca="1" si="63"/>
        <v>0</v>
      </c>
      <c r="AI37" s="113" t="str">
        <f t="shared" si="77"/>
        <v/>
      </c>
      <c r="AJ37" s="113" t="str">
        <f t="shared" si="78"/>
        <v/>
      </c>
      <c r="AK37" s="114">
        <f>IFERROR(VLOOKUP($AJ37,HomeBroker!$A$2:$F$88,2,0),0)</f>
        <v>0</v>
      </c>
      <c r="AL37" s="242">
        <f>IFERROR(VLOOKUP($AJ37,HomeBroker!$A$2:$F$88,3,0),0)</f>
        <v>0</v>
      </c>
      <c r="AM37" s="243">
        <f>IFERROR(VLOOKUP($AJ37,HomeBroker!$A$2:$F$88,6,0),0)</f>
        <v>0</v>
      </c>
      <c r="AN37" s="242">
        <f>IFERROR(VLOOKUP($AJ37,HomeBroker!$A$2:$F$88,4,0),0)</f>
        <v>0</v>
      </c>
      <c r="AO37" s="114">
        <f>IFERROR(VLOOKUP($AJ37,HomeBroker!$A$2:$F$88,5,0),0)</f>
        <v>0</v>
      </c>
      <c r="AP37" s="115">
        <f>IFERROR(VLOOKUP($AJ37,HomeBroker!$A$2:$N$88,14,0),0)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730" t="s">
        <v>452</v>
      </c>
      <c r="O38" s="706"/>
      <c r="P38" s="707"/>
      <c r="Q38" s="174">
        <f>SUM(T3:T42)</f>
        <v>-1</v>
      </c>
      <c r="R38" s="62"/>
      <c r="S38" s="246" t="str">
        <f t="shared" si="69"/>
        <v/>
      </c>
      <c r="T38" s="110">
        <f t="shared" si="74"/>
        <v>0</v>
      </c>
      <c r="U38" s="111"/>
      <c r="V38" s="112">
        <f t="shared" ca="1" si="59"/>
        <v>0</v>
      </c>
      <c r="W38" s="113" t="str">
        <f t="shared" si="81"/>
        <v/>
      </c>
      <c r="X38" s="113" t="str">
        <f t="shared" si="75"/>
        <v/>
      </c>
      <c r="Y38" s="242">
        <f>IFERROR(VLOOKUP($X38,HomeBroker!$A$2:$F$88,2,0),0)</f>
        <v>0</v>
      </c>
      <c r="Z38" s="242">
        <f>IFERROR(VLOOKUP($X38,HomeBroker!$A$2:$F$88,3,0),0)</f>
        <v>0</v>
      </c>
      <c r="AA38" s="243">
        <f>IFERROR(VLOOKUP($X38,HomeBroker!$A$2:$F$88,6,0),0)</f>
        <v>0</v>
      </c>
      <c r="AB38" s="242">
        <f>IFERROR(VLOOKUP($X38,HomeBroker!$A$2:$F$88,4,0),0)</f>
        <v>0</v>
      </c>
      <c r="AC38" s="242">
        <f>IFERROR(VLOOKUP($X38,HomeBroker!$A$2:$F$88,5,0),0)</f>
        <v>0</v>
      </c>
      <c r="AD38" s="305">
        <f>IFERROR(VLOOKUP($X38,HomeBroker!$A$2:$N$88,14,0),0)</f>
        <v>0</v>
      </c>
      <c r="AE38" s="247" t="str">
        <f t="shared" si="61"/>
        <v/>
      </c>
      <c r="AF38" s="110">
        <f t="shared" si="76"/>
        <v>0</v>
      </c>
      <c r="AG38" s="111"/>
      <c r="AH38" s="112">
        <f t="shared" ca="1" si="63"/>
        <v>0</v>
      </c>
      <c r="AI38" s="113" t="str">
        <f t="shared" si="77"/>
        <v/>
      </c>
      <c r="AJ38" s="113" t="str">
        <f t="shared" si="78"/>
        <v/>
      </c>
      <c r="AK38" s="114">
        <f>IFERROR(VLOOKUP($AJ38,HomeBroker!$A$2:$F$88,2,0),0)</f>
        <v>0</v>
      </c>
      <c r="AL38" s="242">
        <f>IFERROR(VLOOKUP($AJ38,HomeBroker!$A$2:$F$88,3,0),0)</f>
        <v>0</v>
      </c>
      <c r="AM38" s="243">
        <f>IFERROR(VLOOKUP($AJ38,HomeBroker!$A$2:$F$88,6,0),0)</f>
        <v>0</v>
      </c>
      <c r="AN38" s="242">
        <f>IFERROR(VLOOKUP($AJ38,HomeBroker!$A$2:$F$88,4,0),0)</f>
        <v>0</v>
      </c>
      <c r="AO38" s="114">
        <f>IFERROR(VLOOKUP($AJ38,HomeBroker!$A$2:$F$88,5,0),0)</f>
        <v>0</v>
      </c>
      <c r="AP38" s="115">
        <f>IFERROR(VLOOKUP($AJ38,HomeBroker!$A$2:$N$88,14,0),0)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731" t="s">
        <v>453</v>
      </c>
      <c r="O39" s="706"/>
      <c r="P39" s="707"/>
      <c r="Q39" s="180">
        <f>SUM(AF3:AF42)</f>
        <v>0</v>
      </c>
      <c r="R39" s="62"/>
      <c r="S39" s="246" t="str">
        <f t="shared" si="69"/>
        <v/>
      </c>
      <c r="T39" s="110">
        <f t="shared" si="74"/>
        <v>0</v>
      </c>
      <c r="U39" s="111"/>
      <c r="V39" s="112">
        <f t="shared" ca="1" si="59"/>
        <v>0</v>
      </c>
      <c r="W39" s="113" t="str">
        <f t="shared" si="81"/>
        <v/>
      </c>
      <c r="X39" s="113" t="str">
        <f t="shared" si="75"/>
        <v/>
      </c>
      <c r="Y39" s="242">
        <f>IFERROR(VLOOKUP($X39,HomeBroker!$A$2:$F$88,2,0),0)</f>
        <v>0</v>
      </c>
      <c r="Z39" s="242">
        <f>IFERROR(VLOOKUP($X39,HomeBroker!$A$2:$F$88,3,0),0)</f>
        <v>0</v>
      </c>
      <c r="AA39" s="243">
        <f>IFERROR(VLOOKUP($X39,HomeBroker!$A$2:$F$88,6,0),0)</f>
        <v>0</v>
      </c>
      <c r="AB39" s="242">
        <f>IFERROR(VLOOKUP($X39,HomeBroker!$A$2:$F$88,4,0),0)</f>
        <v>0</v>
      </c>
      <c r="AC39" s="242">
        <f>IFERROR(VLOOKUP($X39,HomeBroker!$A$2:$F$88,5,0),0)</f>
        <v>0</v>
      </c>
      <c r="AD39" s="305">
        <f>IFERROR(VLOOKUP($X39,HomeBroker!$A$2:$N$88,14,0),0)</f>
        <v>0</v>
      </c>
      <c r="AE39" s="247" t="str">
        <f t="shared" si="61"/>
        <v/>
      </c>
      <c r="AF39" s="110">
        <f t="shared" si="76"/>
        <v>0</v>
      </c>
      <c r="AG39" s="111"/>
      <c r="AH39" s="112">
        <f t="shared" ca="1" si="63"/>
        <v>0</v>
      </c>
      <c r="AI39" s="113" t="str">
        <f t="shared" si="77"/>
        <v/>
      </c>
      <c r="AJ39" s="113" t="str">
        <f t="shared" si="78"/>
        <v/>
      </c>
      <c r="AK39" s="114">
        <f>IFERROR(VLOOKUP($AJ39,HomeBroker!$A$2:$F$88,2,0),0)</f>
        <v>0</v>
      </c>
      <c r="AL39" s="242">
        <f>IFERROR(VLOOKUP($AJ39,HomeBroker!$A$2:$F$88,3,0),0)</f>
        <v>0</v>
      </c>
      <c r="AM39" s="243">
        <f>IFERROR(VLOOKUP($AJ39,HomeBroker!$A$2:$F$88,6,0),0)</f>
        <v>0</v>
      </c>
      <c r="AN39" s="242">
        <f>IFERROR(VLOOKUP($AJ39,HomeBroker!$A$2:$F$88,4,0),0)</f>
        <v>0</v>
      </c>
      <c r="AO39" s="114">
        <f>IFERROR(VLOOKUP($AJ39,HomeBroker!$A$2:$F$88,5,0),0)</f>
        <v>0</v>
      </c>
      <c r="AP39" s="115">
        <f>IFERROR(VLOOKUP($AJ39,HomeBroker!$A$2:$N$88,14,0),0)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726" t="s">
        <v>0</v>
      </c>
      <c r="O40" s="706"/>
      <c r="P40" s="707"/>
      <c r="Q40" s="182">
        <f>AE43+SUM(B73:B75)</f>
        <v>0</v>
      </c>
      <c r="R40" s="62"/>
      <c r="S40" s="246" t="str">
        <f t="shared" si="69"/>
        <v/>
      </c>
      <c r="T40" s="110">
        <f t="shared" si="74"/>
        <v>0</v>
      </c>
      <c r="U40" s="111"/>
      <c r="V40" s="112">
        <f t="shared" ca="1" si="59"/>
        <v>0</v>
      </c>
      <c r="W40" s="113" t="str">
        <f t="shared" si="81"/>
        <v/>
      </c>
      <c r="X40" s="113" t="str">
        <f t="shared" si="75"/>
        <v/>
      </c>
      <c r="Y40" s="242">
        <f>IFERROR(VLOOKUP($X40,HomeBroker!$A$2:$F$88,2,0),0)</f>
        <v>0</v>
      </c>
      <c r="Z40" s="242">
        <f>IFERROR(VLOOKUP($X40,HomeBroker!$A$2:$F$88,3,0),0)</f>
        <v>0</v>
      </c>
      <c r="AA40" s="243">
        <f>IFERROR(VLOOKUP($X40,HomeBroker!$A$2:$F$88,6,0),0)</f>
        <v>0</v>
      </c>
      <c r="AB40" s="242">
        <f>IFERROR(VLOOKUP($X40,HomeBroker!$A$2:$F$88,4,0),0)</f>
        <v>0</v>
      </c>
      <c r="AC40" s="242">
        <f>IFERROR(VLOOKUP($X40,HomeBroker!$A$2:$F$88,5,0),0)</f>
        <v>0</v>
      </c>
      <c r="AD40" s="305">
        <f>IFERROR(VLOOKUP($X40,HomeBroker!$A$2:$N$88,14,0),0)</f>
        <v>0</v>
      </c>
      <c r="AE40" s="247" t="str">
        <f t="shared" si="61"/>
        <v/>
      </c>
      <c r="AF40" s="110">
        <f t="shared" si="76"/>
        <v>0</v>
      </c>
      <c r="AG40" s="111"/>
      <c r="AH40" s="112">
        <f t="shared" ca="1" si="63"/>
        <v>0</v>
      </c>
      <c r="AI40" s="113" t="str">
        <f t="shared" si="77"/>
        <v/>
      </c>
      <c r="AJ40" s="113" t="str">
        <f t="shared" si="78"/>
        <v/>
      </c>
      <c r="AK40" s="114">
        <f>IFERROR(VLOOKUP($AJ40,HomeBroker!$A$2:$F$88,2,0),0)</f>
        <v>0</v>
      </c>
      <c r="AL40" s="242">
        <f>IFERROR(VLOOKUP($AJ40,HomeBroker!$A$2:$F$88,3,0),0)</f>
        <v>0</v>
      </c>
      <c r="AM40" s="243">
        <f>IFERROR(VLOOKUP($AJ40,HomeBroker!$A$2:$F$88,6,0),0)</f>
        <v>0</v>
      </c>
      <c r="AN40" s="242">
        <f>IFERROR(VLOOKUP($AJ40,HomeBroker!$A$2:$F$88,4,0),0)</f>
        <v>0</v>
      </c>
      <c r="AO40" s="114">
        <f>IFERROR(VLOOKUP($AJ40,HomeBroker!$A$2:$F$88,5,0),0)</f>
        <v>0</v>
      </c>
      <c r="AP40" s="115">
        <f>IFERROR(VLOOKUP($AJ40,HomeBroker!$A$2:$N$88,14,0),0)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1"/>
        <v/>
      </c>
      <c r="X41" s="113" t="str">
        <f t="shared" si="75"/>
        <v/>
      </c>
      <c r="Y41" s="242">
        <f>IFERROR(VLOOKUP($X41,HomeBroker!$A$2:$F$88,2,0),0)</f>
        <v>0</v>
      </c>
      <c r="Z41" s="242">
        <f>IFERROR(VLOOKUP($X41,HomeBroker!$A$2:$F$88,3,0),0)</f>
        <v>0</v>
      </c>
      <c r="AA41" s="243">
        <f>IFERROR(VLOOKUP($X41,HomeBroker!$A$2:$F$88,6,0),0)</f>
        <v>0</v>
      </c>
      <c r="AB41" s="242">
        <f>IFERROR(VLOOKUP($X41,HomeBroker!$A$2:$F$88,4,0),0)</f>
        <v>0</v>
      </c>
      <c r="AC41" s="242">
        <f>IFERROR(VLOOKUP($X41,HomeBroker!$A$2:$F$88,5,0),0)</f>
        <v>0</v>
      </c>
      <c r="AD41" s="305">
        <f>IFERROR(VLOOKUP($X41,HomeBroker!$A$2:$N$88,14,0),0)</f>
        <v>0</v>
      </c>
      <c r="AE41" s="247" t="str">
        <f t="shared" si="61"/>
        <v/>
      </c>
      <c r="AF41" s="110">
        <f t="shared" si="76"/>
        <v>0</v>
      </c>
      <c r="AG41" s="111"/>
      <c r="AH41" s="112">
        <f t="shared" ca="1" si="63"/>
        <v>0</v>
      </c>
      <c r="AI41" s="113" t="str">
        <f t="shared" si="77"/>
        <v/>
      </c>
      <c r="AJ41" s="113" t="str">
        <f t="shared" si="78"/>
        <v/>
      </c>
      <c r="AK41" s="114">
        <f>IFERROR(VLOOKUP($AJ41,HomeBroker!$A$2:$F$88,2,0),0)</f>
        <v>0</v>
      </c>
      <c r="AL41" s="242">
        <f>IFERROR(VLOOKUP($AJ41,HomeBroker!$A$2:$F$88,3,0),0)</f>
        <v>0</v>
      </c>
      <c r="AM41" s="243">
        <f>IFERROR(VLOOKUP($AJ41,HomeBroker!$A$2:$F$88,6,0),0)</f>
        <v>0</v>
      </c>
      <c r="AN41" s="242">
        <f>IFERROR(VLOOKUP($AJ41,HomeBroker!$A$2:$F$88,4,0),0)</f>
        <v>0</v>
      </c>
      <c r="AO41" s="114">
        <f>IFERROR(VLOOKUP($AJ41,HomeBroker!$A$2:$F$88,5,0),0)</f>
        <v>0</v>
      </c>
      <c r="AP41" s="115">
        <f>IFERROR(VLOOKUP($AJ41,HomeBroker!$A$2:$N$88,14,0),0)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710" t="s">
        <v>454</v>
      </c>
      <c r="O42" s="706"/>
      <c r="P42" s="707"/>
      <c r="Q42" s="184">
        <v>0.05</v>
      </c>
      <c r="R42" s="62"/>
      <c r="S42" s="246" t="str">
        <f t="shared" si="69"/>
        <v/>
      </c>
      <c r="T42" s="110">
        <f t="shared" si="74"/>
        <v>0</v>
      </c>
      <c r="U42" s="111"/>
      <c r="V42" s="112">
        <f t="shared" ca="1" si="59"/>
        <v>0</v>
      </c>
      <c r="W42" s="113" t="str">
        <f t="shared" si="81"/>
        <v/>
      </c>
      <c r="X42" s="113" t="str">
        <f t="shared" si="75"/>
        <v/>
      </c>
      <c r="Y42" s="242">
        <f>IFERROR(VLOOKUP($X42,HomeBroker!$A$2:$F$88,2,0),0)</f>
        <v>0</v>
      </c>
      <c r="Z42" s="242">
        <f>IFERROR(VLOOKUP($X42,HomeBroker!$A$2:$F$88,3,0),0)</f>
        <v>0</v>
      </c>
      <c r="AA42" s="243">
        <f>IFERROR(VLOOKUP($X42,HomeBroker!$A$2:$F$88,6,0),0)</f>
        <v>0</v>
      </c>
      <c r="AB42" s="242">
        <f>IFERROR(VLOOKUP($X42,HomeBroker!$A$2:$F$88,4,0),0)</f>
        <v>0</v>
      </c>
      <c r="AC42" s="242">
        <f>IFERROR(VLOOKUP($X42,HomeBroker!$A$2:$F$88,5,0),0)</f>
        <v>0</v>
      </c>
      <c r="AD42" s="305">
        <f>IFERROR(VLOOKUP($X42,HomeBroker!$A$2:$N$88,14,0),0)</f>
        <v>0</v>
      </c>
      <c r="AE42" s="247" t="str">
        <f t="shared" si="61"/>
        <v/>
      </c>
      <c r="AF42" s="110">
        <f t="shared" si="76"/>
        <v>0</v>
      </c>
      <c r="AG42" s="111"/>
      <c r="AH42" s="112">
        <f t="shared" ca="1" si="63"/>
        <v>0</v>
      </c>
      <c r="AI42" s="113" t="str">
        <f t="shared" si="77"/>
        <v/>
      </c>
      <c r="AJ42" s="113" t="str">
        <f t="shared" si="78"/>
        <v/>
      </c>
      <c r="AK42" s="114">
        <f>IFERROR(VLOOKUP($AJ42,HomeBroker!$A$2:$F$88,2,0),0)</f>
        <v>0</v>
      </c>
      <c r="AL42" s="242">
        <f>IFERROR(VLOOKUP($AJ42,HomeBroker!$A$2:$F$88,3,0),0)</f>
        <v>0</v>
      </c>
      <c r="AM42" s="243">
        <f>IFERROR(VLOOKUP($AJ42,HomeBroker!$A$2:$F$88,6,0),0)</f>
        <v>0</v>
      </c>
      <c r="AN42" s="242">
        <f>IFERROR(VLOOKUP($AJ42,HomeBroker!$A$2:$F$88,4,0),0)</f>
        <v>0</v>
      </c>
      <c r="AO42" s="114">
        <f>IFERROR(VLOOKUP($AJ42,HomeBroker!$A$2:$F$88,5,0),0)</f>
        <v>0</v>
      </c>
      <c r="AP42" s="115">
        <f>IFERROR(VLOOKUP($AJ42,HomeBroker!$A$2:$N$88,14,0),0)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569</v>
      </c>
      <c r="R43" s="62"/>
      <c r="S43" s="711" t="s">
        <v>409</v>
      </c>
      <c r="T43" s="712"/>
      <c r="U43" s="712"/>
      <c r="V43" s="712"/>
      <c r="W43" s="712"/>
      <c r="X43" s="712"/>
      <c r="Y43" s="712"/>
      <c r="Z43" s="712"/>
      <c r="AA43" s="712"/>
      <c r="AB43" s="712"/>
      <c r="AC43" s="712"/>
      <c r="AD43" s="713"/>
      <c r="AE43" s="717">
        <f>SUMIFS(BJ:BJ,BI:BI,S43)</f>
        <v>0</v>
      </c>
      <c r="AF43" s="717"/>
      <c r="AG43" s="717"/>
      <c r="AH43" s="717"/>
      <c r="AI43" s="717"/>
      <c r="AJ43" s="717"/>
      <c r="AK43" s="717"/>
      <c r="AL43" s="717"/>
      <c r="AM43" s="717"/>
      <c r="AN43" s="717"/>
      <c r="AO43" s="717"/>
      <c r="AP43" s="718"/>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708" t="s">
        <v>458</v>
      </c>
      <c r="O44" s="706"/>
      <c r="P44" s="707"/>
      <c r="Q44" s="188"/>
      <c r="R44" s="62"/>
      <c r="S44" s="714"/>
      <c r="T44" s="715"/>
      <c r="U44" s="715"/>
      <c r="V44" s="715"/>
      <c r="W44" s="715"/>
      <c r="X44" s="715"/>
      <c r="Y44" s="715"/>
      <c r="Z44" s="715"/>
      <c r="AA44" s="715"/>
      <c r="AB44" s="715"/>
      <c r="AC44" s="715"/>
      <c r="AD44" s="716"/>
      <c r="AE44" s="719"/>
      <c r="AF44" s="719"/>
      <c r="AG44" s="719"/>
      <c r="AH44" s="719"/>
      <c r="AI44" s="719"/>
      <c r="AJ44" s="719"/>
      <c r="AK44" s="719"/>
      <c r="AL44" s="719"/>
      <c r="AM44" s="719"/>
      <c r="AN44" s="719"/>
      <c r="AO44" s="719"/>
      <c r="AP44" s="720"/>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721" t="s">
        <v>459</v>
      </c>
      <c r="O45" s="706"/>
      <c r="P45" s="707"/>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725" t="s">
        <v>460</v>
      </c>
      <c r="O46" s="706"/>
      <c r="P46" s="707"/>
      <c r="Q46" s="193">
        <f>Q48</f>
        <v>0.79599999999999993</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705" t="s">
        <v>461</v>
      </c>
      <c r="O47" s="706"/>
      <c r="P47" s="707"/>
      <c r="Q47" s="193">
        <f>Q46</f>
        <v>0.79599999999999993</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708" t="s">
        <v>462</v>
      </c>
      <c r="O48" s="706"/>
      <c r="P48" s="707"/>
      <c r="Q48" s="193">
        <f>HomeBroker!AE1*365</f>
        <v>0.79599999999999993</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709" t="s">
        <v>463</v>
      </c>
      <c r="O49" s="706"/>
      <c r="P49" s="707"/>
      <c r="Q49" s="194">
        <v>45280</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709" t="s">
        <v>464</v>
      </c>
      <c r="O50" s="706"/>
      <c r="P50" s="707"/>
      <c r="Q50" s="195">
        <f ca="1">Q49-TODAY()-Q44</f>
        <v>-15</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709" t="s">
        <v>465</v>
      </c>
      <c r="O51" s="706"/>
      <c r="P51" s="707"/>
      <c r="Q51" s="196">
        <f ca="1">Q50/365</f>
        <v>-4.1095890410958902E-2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710" t="s">
        <v>0</v>
      </c>
      <c r="O52" s="706"/>
      <c r="P52" s="707"/>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722" t="s">
        <v>1</v>
      </c>
      <c r="O53" s="723"/>
      <c r="P53" s="724"/>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702"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703"/>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704"/>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- 48hs",HomeBroker!$A$2:$F$88,6,0),0)</f>
        <v>0</v>
      </c>
      <c r="C76" s="228"/>
      <c r="D76" s="229" t="s">
        <v>467</v>
      </c>
      <c r="E76" s="230">
        <f>SUM(E3:E75)</f>
        <v>1400</v>
      </c>
      <c r="F76" s="231">
        <f>SUM(F3:F75)</f>
        <v>1136.8976000000002</v>
      </c>
      <c r="G76" s="232"/>
      <c r="H76" s="233"/>
      <c r="I76" s="234">
        <f>SUM(I3:I75)</f>
        <v>1136.8976000000002</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N40:P40"/>
    <mergeCell ref="N42:P42"/>
    <mergeCell ref="L2:M2"/>
    <mergeCell ref="N36:P36"/>
    <mergeCell ref="N37:P37"/>
    <mergeCell ref="N38:P38"/>
    <mergeCell ref="N39:P39"/>
    <mergeCell ref="S43:AD44"/>
    <mergeCell ref="AE43:AP44"/>
    <mergeCell ref="N44:P44"/>
    <mergeCell ref="N45:P45"/>
    <mergeCell ref="N53:P53"/>
    <mergeCell ref="N46:P46"/>
    <mergeCell ref="A73:A75"/>
    <mergeCell ref="N47:P47"/>
    <mergeCell ref="N48:P48"/>
    <mergeCell ref="N49:P49"/>
    <mergeCell ref="N50:P50"/>
    <mergeCell ref="N51:P51"/>
    <mergeCell ref="N52:P52"/>
  </mergeCells>
  <conditionalFormatting sqref="AG3:AG42 U3:U42">
    <cfRule type="expression" dxfId="471" priority="355">
      <formula>T3&gt;0</formula>
    </cfRule>
  </conditionalFormatting>
  <conditionalFormatting sqref="AG3:AG42 U3:U42">
    <cfRule type="expression" dxfId="470" priority="356">
      <formula>T3&lt;0</formula>
    </cfRule>
  </conditionalFormatting>
  <conditionalFormatting sqref="P3:Q34">
    <cfRule type="cellIs" dxfId="469" priority="357" operator="greaterThan">
      <formula>0</formula>
    </cfRule>
  </conditionalFormatting>
  <conditionalFormatting sqref="P3:Q34">
    <cfRule type="cellIs" dxfId="468" priority="358" operator="lessThan">
      <formula>0</formula>
    </cfRule>
  </conditionalFormatting>
  <conditionalFormatting sqref="B73:B74 B17:B18 B20:B30 AF3:AF17">
    <cfRule type="cellIs" dxfId="467" priority="359" operator="greaterThan">
      <formula>0</formula>
    </cfRule>
  </conditionalFormatting>
  <conditionalFormatting sqref="B73:B74 B17:B18 B20:B30 AF3:AF17">
    <cfRule type="cellIs" dxfId="466" priority="360" operator="lessThan">
      <formula>0</formula>
    </cfRule>
  </conditionalFormatting>
  <conditionalFormatting sqref="BD61:BD76">
    <cfRule type="cellIs" dxfId="465" priority="361" operator="greaterThan">
      <formula>0</formula>
    </cfRule>
  </conditionalFormatting>
  <conditionalFormatting sqref="BD61:BD76">
    <cfRule type="cellIs" dxfId="464" priority="362" operator="lessThan">
      <formula>0</formula>
    </cfRule>
  </conditionalFormatting>
  <conditionalFormatting sqref="BD6:BD8">
    <cfRule type="cellIs" dxfId="463" priority="363" operator="greaterThan">
      <formula>0</formula>
    </cfRule>
  </conditionalFormatting>
  <conditionalFormatting sqref="BD6:BD8">
    <cfRule type="cellIs" dxfId="462" priority="364" operator="lessThan">
      <formula>0</formula>
    </cfRule>
  </conditionalFormatting>
  <conditionalFormatting sqref="B43 B17:B18 B41 B20:B30 T3:T42 AF3:AF42">
    <cfRule type="cellIs" dxfId="461" priority="365" operator="greaterThan">
      <formula>0</formula>
    </cfRule>
  </conditionalFormatting>
  <conditionalFormatting sqref="B43 B17:B18 B41 B20:B30 T3:T42 AF3:AF42">
    <cfRule type="cellIs" dxfId="460" priority="366" operator="lessThan">
      <formula>0</formula>
    </cfRule>
  </conditionalFormatting>
  <conditionalFormatting sqref="B30">
    <cfRule type="cellIs" dxfId="459" priority="367" operator="greaterThan">
      <formula>0</formula>
    </cfRule>
  </conditionalFormatting>
  <conditionalFormatting sqref="B30">
    <cfRule type="cellIs" dxfId="458" priority="368" operator="lessThan">
      <formula>0</formula>
    </cfRule>
  </conditionalFormatting>
  <conditionalFormatting sqref="B75">
    <cfRule type="cellIs" dxfId="457" priority="369" operator="greaterThan">
      <formula>0</formula>
    </cfRule>
  </conditionalFormatting>
  <conditionalFormatting sqref="B75">
    <cfRule type="cellIs" dxfId="456" priority="370" operator="lessThan">
      <formula>0</formula>
    </cfRule>
  </conditionalFormatting>
  <conditionalFormatting sqref="BD9">
    <cfRule type="cellIs" dxfId="455" priority="371" operator="greaterThan">
      <formula>0</formula>
    </cfRule>
  </conditionalFormatting>
  <conditionalFormatting sqref="BD9">
    <cfRule type="cellIs" dxfId="454" priority="372" operator="lessThan">
      <formula>0</formula>
    </cfRule>
  </conditionalFormatting>
  <conditionalFormatting sqref="AX14:AX16">
    <cfRule type="cellIs" dxfId="453" priority="373" operator="greaterThan">
      <formula>0</formula>
    </cfRule>
  </conditionalFormatting>
  <conditionalFormatting sqref="AX14:AX16">
    <cfRule type="cellIs" dxfId="452" priority="374" operator="lessThan">
      <formula>0</formula>
    </cfRule>
  </conditionalFormatting>
  <conditionalFormatting sqref="AX28">
    <cfRule type="cellIs" dxfId="451" priority="375" operator="greaterThan">
      <formula>0</formula>
    </cfRule>
  </conditionalFormatting>
  <conditionalFormatting sqref="AX28">
    <cfRule type="cellIs" dxfId="450" priority="376" operator="lessThan">
      <formula>0</formula>
    </cfRule>
  </conditionalFormatting>
  <conditionalFormatting sqref="BD27">
    <cfRule type="cellIs" dxfId="449" priority="377" operator="greaterThan">
      <formula>0</formula>
    </cfRule>
  </conditionalFormatting>
  <conditionalFormatting sqref="BD27">
    <cfRule type="cellIs" dxfId="448" priority="378" operator="lessThan">
      <formula>0</formula>
    </cfRule>
  </conditionalFormatting>
  <conditionalFormatting sqref="BD22">
    <cfRule type="cellIs" dxfId="447" priority="379" operator="greaterThan">
      <formula>0</formula>
    </cfRule>
  </conditionalFormatting>
  <conditionalFormatting sqref="BD22">
    <cfRule type="cellIs" dxfId="446" priority="380" operator="lessThan">
      <formula>0</formula>
    </cfRule>
  </conditionalFormatting>
  <conditionalFormatting sqref="AX16:AX42">
    <cfRule type="cellIs" dxfId="445" priority="381" operator="greaterThan">
      <formula>0</formula>
    </cfRule>
  </conditionalFormatting>
  <conditionalFormatting sqref="AX16:AX42">
    <cfRule type="cellIs" dxfId="444" priority="382" operator="lessThan">
      <formula>0</formula>
    </cfRule>
  </conditionalFormatting>
  <conditionalFormatting sqref="AX24:AX27">
    <cfRule type="cellIs" dxfId="443" priority="383" operator="greaterThan">
      <formula>0</formula>
    </cfRule>
  </conditionalFormatting>
  <conditionalFormatting sqref="AX24:AX27">
    <cfRule type="cellIs" dxfId="442" priority="384" operator="lessThan">
      <formula>0</formula>
    </cfRule>
  </conditionalFormatting>
  <conditionalFormatting sqref="BD10:BD11 BD16:BD18 BD20:BD42">
    <cfRule type="cellIs" dxfId="441" priority="385" operator="greaterThan">
      <formula>0</formula>
    </cfRule>
  </conditionalFormatting>
  <conditionalFormatting sqref="BD10:BD11 BD16:BD18 BD20:BD42">
    <cfRule type="cellIs" dxfId="440" priority="386" operator="lessThan">
      <formula>0</formula>
    </cfRule>
  </conditionalFormatting>
  <conditionalFormatting sqref="BD12:BD15">
    <cfRule type="cellIs" dxfId="439" priority="387" operator="greaterThan">
      <formula>0</formula>
    </cfRule>
  </conditionalFormatting>
  <conditionalFormatting sqref="BD12:BD15">
    <cfRule type="cellIs" dxfId="438" priority="388" operator="lessThan">
      <formula>0</formula>
    </cfRule>
  </conditionalFormatting>
  <conditionalFormatting sqref="BD19">
    <cfRule type="cellIs" dxfId="437" priority="389" operator="greaterThan">
      <formula>0</formula>
    </cfRule>
  </conditionalFormatting>
  <conditionalFormatting sqref="BD19">
    <cfRule type="cellIs" dxfId="436" priority="390" operator="lessThan">
      <formula>0</formula>
    </cfRule>
  </conditionalFormatting>
  <conditionalFormatting sqref="AX29:AX36">
    <cfRule type="cellIs" dxfId="435" priority="391" operator="greaterThan">
      <formula>0</formula>
    </cfRule>
  </conditionalFormatting>
  <conditionalFormatting sqref="AX29:AX36">
    <cfRule type="cellIs" dxfId="434" priority="392" operator="lessThan">
      <formula>0</formula>
    </cfRule>
  </conditionalFormatting>
  <conditionalFormatting sqref="BD23:BD24">
    <cfRule type="cellIs" dxfId="433" priority="393" operator="greaterThan">
      <formula>0</formula>
    </cfRule>
  </conditionalFormatting>
  <conditionalFormatting sqref="BD23:BD24">
    <cfRule type="cellIs" dxfId="432" priority="394" operator="lessThan">
      <formula>0</formula>
    </cfRule>
  </conditionalFormatting>
  <conditionalFormatting sqref="BD25:BD26">
    <cfRule type="cellIs" dxfId="431" priority="395" operator="greaterThan">
      <formula>0</formula>
    </cfRule>
  </conditionalFormatting>
  <conditionalFormatting sqref="BD25:BD26">
    <cfRule type="cellIs" dxfId="430" priority="396" operator="lessThan">
      <formula>0</formula>
    </cfRule>
  </conditionalFormatting>
  <conditionalFormatting sqref="AX61:AX76">
    <cfRule type="cellIs" dxfId="429" priority="397" operator="greaterThan">
      <formula>0</formula>
    </cfRule>
  </conditionalFormatting>
  <conditionalFormatting sqref="AX61:AX76">
    <cfRule type="cellIs" dxfId="428" priority="398" operator="lessThan">
      <formula>0</formula>
    </cfRule>
  </conditionalFormatting>
  <conditionalFormatting sqref="AX50:AX53 AX55:AX68">
    <cfRule type="cellIs" dxfId="427" priority="399" operator="greaterThan">
      <formula>0</formula>
    </cfRule>
  </conditionalFormatting>
  <conditionalFormatting sqref="AX50:AX53 AX55:AX68">
    <cfRule type="cellIs" dxfId="426" priority="400" operator="lessThan">
      <formula>0</formula>
    </cfRule>
  </conditionalFormatting>
  <conditionalFormatting sqref="AX50">
    <cfRule type="cellIs" dxfId="425" priority="401" operator="greaterThan">
      <formula>0</formula>
    </cfRule>
  </conditionalFormatting>
  <conditionalFormatting sqref="AX50">
    <cfRule type="cellIs" dxfId="424" priority="402" operator="lessThan">
      <formula>0</formula>
    </cfRule>
  </conditionalFormatting>
  <conditionalFormatting sqref="AX70">
    <cfRule type="cellIs" dxfId="423" priority="403" operator="greaterThan">
      <formula>0</formula>
    </cfRule>
  </conditionalFormatting>
  <conditionalFormatting sqref="AX70">
    <cfRule type="cellIs" dxfId="422" priority="404" operator="lessThan">
      <formula>0</formula>
    </cfRule>
  </conditionalFormatting>
  <conditionalFormatting sqref="AX35:AX47 AX50">
    <cfRule type="cellIs" dxfId="421" priority="405" operator="greaterThan">
      <formula>0</formula>
    </cfRule>
  </conditionalFormatting>
  <conditionalFormatting sqref="AX35:AX47 AX50">
    <cfRule type="cellIs" dxfId="420" priority="406" operator="lessThan">
      <formula>0</formula>
    </cfRule>
  </conditionalFormatting>
  <conditionalFormatting sqref="AX43:AX47 AX50">
    <cfRule type="cellIs" dxfId="419" priority="407" operator="greaterThan">
      <formula>0</formula>
    </cfRule>
  </conditionalFormatting>
  <conditionalFormatting sqref="AX43:AX47 AX50">
    <cfRule type="cellIs" dxfId="418" priority="408" operator="lessThan">
      <formula>0</formula>
    </cfRule>
  </conditionalFormatting>
  <conditionalFormatting sqref="AX69">
    <cfRule type="cellIs" dxfId="417" priority="409" operator="greaterThan">
      <formula>0</formula>
    </cfRule>
  </conditionalFormatting>
  <conditionalFormatting sqref="AX69">
    <cfRule type="cellIs" dxfId="416" priority="410" operator="lessThan">
      <formula>0</formula>
    </cfRule>
  </conditionalFormatting>
  <conditionalFormatting sqref="AX59">
    <cfRule type="cellIs" dxfId="415" priority="411" operator="greaterThan">
      <formula>0</formula>
    </cfRule>
  </conditionalFormatting>
  <conditionalFormatting sqref="AX59">
    <cfRule type="cellIs" dxfId="414" priority="412" operator="lessThan">
      <formula>0</formula>
    </cfRule>
  </conditionalFormatting>
  <conditionalFormatting sqref="AX47:AX50">
    <cfRule type="cellIs" dxfId="413" priority="413" operator="greaterThan">
      <formula>0</formula>
    </cfRule>
  </conditionalFormatting>
  <conditionalFormatting sqref="AX47:AX50">
    <cfRule type="cellIs" dxfId="412" priority="414" operator="lessThan">
      <formula>0</formula>
    </cfRule>
  </conditionalFormatting>
  <conditionalFormatting sqref="AX59">
    <cfRule type="cellIs" dxfId="411" priority="415" operator="greaterThan">
      <formula>0</formula>
    </cfRule>
  </conditionalFormatting>
  <conditionalFormatting sqref="AX59">
    <cfRule type="cellIs" dxfId="410" priority="416" operator="lessThan">
      <formula>0</formula>
    </cfRule>
  </conditionalFormatting>
  <conditionalFormatting sqref="AX60">
    <cfRule type="cellIs" dxfId="409" priority="417" operator="greaterThan">
      <formula>0</formula>
    </cfRule>
  </conditionalFormatting>
  <conditionalFormatting sqref="AX60">
    <cfRule type="cellIs" dxfId="408" priority="418" operator="lessThan">
      <formula>0</formula>
    </cfRule>
  </conditionalFormatting>
  <conditionalFormatting sqref="AX61:AX63">
    <cfRule type="cellIs" dxfId="407" priority="419" operator="greaterThan">
      <formula>0</formula>
    </cfRule>
  </conditionalFormatting>
  <conditionalFormatting sqref="AX61:AX63">
    <cfRule type="cellIs" dxfId="406" priority="420" operator="lessThan">
      <formula>0</formula>
    </cfRule>
  </conditionalFormatting>
  <conditionalFormatting sqref="AX63">
    <cfRule type="cellIs" dxfId="405" priority="421" operator="greaterThan">
      <formula>0</formula>
    </cfRule>
  </conditionalFormatting>
  <conditionalFormatting sqref="AX63">
    <cfRule type="cellIs" dxfId="404" priority="422" operator="lessThan">
      <formula>0</formula>
    </cfRule>
  </conditionalFormatting>
  <conditionalFormatting sqref="AX64:AX65">
    <cfRule type="cellIs" dxfId="403" priority="423" operator="greaterThan">
      <formula>0</formula>
    </cfRule>
  </conditionalFormatting>
  <conditionalFormatting sqref="AX64:AX65">
    <cfRule type="cellIs" dxfId="402" priority="424" operator="lessThan">
      <formula>0</formula>
    </cfRule>
  </conditionalFormatting>
  <conditionalFormatting sqref="AX52:AX54">
    <cfRule type="cellIs" dxfId="401" priority="425" operator="greaterThan">
      <formula>0</formula>
    </cfRule>
  </conditionalFormatting>
  <conditionalFormatting sqref="AX52:AX54">
    <cfRule type="cellIs" dxfId="400" priority="426" operator="lessThan">
      <formula>0</formula>
    </cfRule>
  </conditionalFormatting>
  <conditionalFormatting sqref="AX65">
    <cfRule type="cellIs" dxfId="399" priority="427" operator="greaterThan">
      <formula>0</formula>
    </cfRule>
  </conditionalFormatting>
  <conditionalFormatting sqref="AX65">
    <cfRule type="cellIs" dxfId="398" priority="428" operator="lessThan">
      <formula>0</formula>
    </cfRule>
  </conditionalFormatting>
  <conditionalFormatting sqref="AX64">
    <cfRule type="cellIs" dxfId="397" priority="429" operator="greaterThan">
      <formula>0</formula>
    </cfRule>
  </conditionalFormatting>
  <conditionalFormatting sqref="AX64">
    <cfRule type="cellIs" dxfId="396" priority="430" operator="lessThan">
      <formula>0</formula>
    </cfRule>
  </conditionalFormatting>
  <conditionalFormatting sqref="AX54">
    <cfRule type="cellIs" dxfId="395" priority="431" operator="greaterThan">
      <formula>0</formula>
    </cfRule>
  </conditionalFormatting>
  <conditionalFormatting sqref="AX54">
    <cfRule type="cellIs" dxfId="394" priority="432" operator="lessThan">
      <formula>0</formula>
    </cfRule>
  </conditionalFormatting>
  <conditionalFormatting sqref="AX54">
    <cfRule type="cellIs" dxfId="393" priority="433" operator="greaterThan">
      <formula>0</formula>
    </cfRule>
  </conditionalFormatting>
  <conditionalFormatting sqref="AX54">
    <cfRule type="cellIs" dxfId="392" priority="434" operator="lessThan">
      <formula>0</formula>
    </cfRule>
  </conditionalFormatting>
  <conditionalFormatting sqref="AX55:AX68">
    <cfRule type="cellIs" dxfId="391" priority="435" operator="greaterThan">
      <formula>0</formula>
    </cfRule>
  </conditionalFormatting>
  <conditionalFormatting sqref="AX55:AX68">
    <cfRule type="cellIs" dxfId="390" priority="436" operator="lessThan">
      <formula>0</formula>
    </cfRule>
  </conditionalFormatting>
  <conditionalFormatting sqref="AX56:AX58">
    <cfRule type="cellIs" dxfId="389" priority="437" operator="greaterThan">
      <formula>0</formula>
    </cfRule>
  </conditionalFormatting>
  <conditionalFormatting sqref="AX56:AX58">
    <cfRule type="cellIs" dxfId="388" priority="438" operator="lessThan">
      <formula>0</formula>
    </cfRule>
  </conditionalFormatting>
  <conditionalFormatting sqref="AX58">
    <cfRule type="cellIs" dxfId="387" priority="439" operator="greaterThan">
      <formula>0</formula>
    </cfRule>
  </conditionalFormatting>
  <conditionalFormatting sqref="AX58">
    <cfRule type="cellIs" dxfId="386" priority="440" operator="lessThan">
      <formula>0</formula>
    </cfRule>
  </conditionalFormatting>
  <conditionalFormatting sqref="AX59:AX60">
    <cfRule type="cellIs" dxfId="385" priority="441" operator="greaterThan">
      <formula>0</formula>
    </cfRule>
  </conditionalFormatting>
  <conditionalFormatting sqref="AX59:AX60">
    <cfRule type="cellIs" dxfId="384" priority="442" operator="lessThan">
      <formula>0</formula>
    </cfRule>
  </conditionalFormatting>
  <conditionalFormatting sqref="BD28:BD29 BD34:BD36 BD38:BD68">
    <cfRule type="cellIs" dxfId="383" priority="443" operator="greaterThan">
      <formula>0</formula>
    </cfRule>
  </conditionalFormatting>
  <conditionalFormatting sqref="BD28:BD29 BD34:BD36 BD38:BD68">
    <cfRule type="cellIs" dxfId="382" priority="444" operator="lessThan">
      <formula>0</formula>
    </cfRule>
  </conditionalFormatting>
  <conditionalFormatting sqref="BD30:BD33">
    <cfRule type="cellIs" dxfId="381" priority="445" operator="greaterThan">
      <formula>0</formula>
    </cfRule>
  </conditionalFormatting>
  <conditionalFormatting sqref="BD30:BD33">
    <cfRule type="cellIs" dxfId="380" priority="446" operator="lessThan">
      <formula>0</formula>
    </cfRule>
  </conditionalFormatting>
  <conditionalFormatting sqref="BD57">
    <cfRule type="cellIs" dxfId="379" priority="447" operator="greaterThan">
      <formula>0</formula>
    </cfRule>
  </conditionalFormatting>
  <conditionalFormatting sqref="BD57">
    <cfRule type="cellIs" dxfId="378" priority="448" operator="lessThan">
      <formula>0</formula>
    </cfRule>
  </conditionalFormatting>
  <conditionalFormatting sqref="BD37">
    <cfRule type="cellIs" dxfId="377" priority="449" operator="greaterThan">
      <formula>0</formula>
    </cfRule>
  </conditionalFormatting>
  <conditionalFormatting sqref="BD37">
    <cfRule type="cellIs" dxfId="376" priority="450" operator="lessThan">
      <formula>0</formula>
    </cfRule>
  </conditionalFormatting>
  <conditionalFormatting sqref="AX5:AX14">
    <cfRule type="cellIs" dxfId="375" priority="451" operator="greaterThan">
      <formula>0</formula>
    </cfRule>
  </conditionalFormatting>
  <conditionalFormatting sqref="AX5:AX14">
    <cfRule type="cellIs" dxfId="374" priority="452" operator="lessThan">
      <formula>0</formula>
    </cfRule>
  </conditionalFormatting>
  <conditionalFormatting sqref="AX13">
    <cfRule type="cellIs" dxfId="373" priority="453" operator="greaterThan">
      <formula>0</formula>
    </cfRule>
  </conditionalFormatting>
  <conditionalFormatting sqref="AX13">
    <cfRule type="cellIs" dxfId="372" priority="454" operator="lessThan">
      <formula>0</formula>
    </cfRule>
  </conditionalFormatting>
  <conditionalFormatting sqref="B65:B72">
    <cfRule type="cellIs" dxfId="371" priority="455" operator="greaterThan">
      <formula>0</formula>
    </cfRule>
  </conditionalFormatting>
  <conditionalFormatting sqref="B65:B72">
    <cfRule type="cellIs" dxfId="370" priority="456" operator="lessThan">
      <formula>0</formula>
    </cfRule>
  </conditionalFormatting>
  <conditionalFormatting sqref="BJ3:BJ76">
    <cfRule type="cellIs" dxfId="369" priority="457" operator="greaterThan">
      <formula>0</formula>
    </cfRule>
  </conditionalFormatting>
  <conditionalFormatting sqref="BJ3:BJ76">
    <cfRule type="cellIs" dxfId="368" priority="458" operator="lessThan">
      <formula>0</formula>
    </cfRule>
  </conditionalFormatting>
  <conditionalFormatting sqref="AX21">
    <cfRule type="cellIs" dxfId="367" priority="459" operator="greaterThan">
      <formula>0</formula>
    </cfRule>
  </conditionalFormatting>
  <conditionalFormatting sqref="AX21">
    <cfRule type="cellIs" dxfId="366" priority="460" operator="lessThan">
      <formula>0</formula>
    </cfRule>
  </conditionalFormatting>
  <conditionalFormatting sqref="AX21">
    <cfRule type="cellIs" dxfId="365" priority="461" operator="greaterThan">
      <formula>0</formula>
    </cfRule>
  </conditionalFormatting>
  <conditionalFormatting sqref="AX21">
    <cfRule type="cellIs" dxfId="364" priority="462" operator="lessThan">
      <formula>0</formula>
    </cfRule>
  </conditionalFormatting>
  <conditionalFormatting sqref="AX14">
    <cfRule type="cellIs" dxfId="363" priority="463" operator="greaterThan">
      <formula>0</formula>
    </cfRule>
  </conditionalFormatting>
  <conditionalFormatting sqref="AX14">
    <cfRule type="cellIs" dxfId="362" priority="464" operator="lessThan">
      <formula>0</formula>
    </cfRule>
  </conditionalFormatting>
  <conditionalFormatting sqref="AX22">
    <cfRule type="cellIs" dxfId="361" priority="465" operator="greaterThan">
      <formula>0</formula>
    </cfRule>
  </conditionalFormatting>
  <conditionalFormatting sqref="AX22">
    <cfRule type="cellIs" dxfId="360" priority="466" operator="lessThan">
      <formula>0</formula>
    </cfRule>
  </conditionalFormatting>
  <conditionalFormatting sqref="AX22">
    <cfRule type="cellIs" dxfId="359" priority="467" operator="greaterThan">
      <formula>0</formula>
    </cfRule>
  </conditionalFormatting>
  <conditionalFormatting sqref="AX22">
    <cfRule type="cellIs" dxfId="358" priority="468" operator="lessThan">
      <formula>0</formula>
    </cfRule>
  </conditionalFormatting>
  <conditionalFormatting sqref="B64">
    <cfRule type="cellIs" dxfId="357" priority="469" operator="greaterThan">
      <formula>0</formula>
    </cfRule>
  </conditionalFormatting>
  <conditionalFormatting sqref="B64">
    <cfRule type="cellIs" dxfId="356" priority="470" operator="lessThan">
      <formula>0</formula>
    </cfRule>
  </conditionalFormatting>
  <conditionalFormatting sqref="B41 B43:B72 AF3:AF42">
    <cfRule type="cellIs" dxfId="355" priority="471" operator="greaterThan">
      <formula>0</formula>
    </cfRule>
  </conditionalFormatting>
  <conditionalFormatting sqref="B41 B43:B72 AF3:AF42">
    <cfRule type="cellIs" dxfId="354" priority="472" operator="lessThan">
      <formula>0</formula>
    </cfRule>
  </conditionalFormatting>
  <conditionalFormatting sqref="B41 B43:B72">
    <cfRule type="cellIs" dxfId="353" priority="473" operator="greaterThan">
      <formula>0</formula>
    </cfRule>
  </conditionalFormatting>
  <conditionalFormatting sqref="B41 B43:B72">
    <cfRule type="cellIs" dxfId="352" priority="474" operator="lessThan">
      <formula>0</formula>
    </cfRule>
  </conditionalFormatting>
  <conditionalFormatting sqref="B29">
    <cfRule type="cellIs" dxfId="351" priority="475" operator="greaterThan">
      <formula>0</formula>
    </cfRule>
  </conditionalFormatting>
  <conditionalFormatting sqref="B29">
    <cfRule type="cellIs" dxfId="350" priority="476" operator="lessThan">
      <formula>0</formula>
    </cfRule>
  </conditionalFormatting>
  <conditionalFormatting sqref="AX3">
    <cfRule type="cellIs" dxfId="349" priority="477" operator="greaterThan">
      <formula>0</formula>
    </cfRule>
  </conditionalFormatting>
  <conditionalFormatting sqref="AX3">
    <cfRule type="cellIs" dxfId="348" priority="478" operator="lessThan">
      <formula>0</formula>
    </cfRule>
  </conditionalFormatting>
  <conditionalFormatting sqref="AX4">
    <cfRule type="cellIs" dxfId="347" priority="479" operator="greaterThan">
      <formula>0</formula>
    </cfRule>
  </conditionalFormatting>
  <conditionalFormatting sqref="AX4">
    <cfRule type="cellIs" dxfId="346" priority="480" operator="lessThan">
      <formula>0</formula>
    </cfRule>
  </conditionalFormatting>
  <conditionalFormatting sqref="BD3">
    <cfRule type="cellIs" dxfId="345" priority="481" operator="greaterThan">
      <formula>0</formula>
    </cfRule>
  </conditionalFormatting>
  <conditionalFormatting sqref="BD3">
    <cfRule type="cellIs" dxfId="344" priority="482" operator="lessThan">
      <formula>0</formula>
    </cfRule>
  </conditionalFormatting>
  <conditionalFormatting sqref="T3:T42 AF3:AF42">
    <cfRule type="cellIs" dxfId="343" priority="483" operator="greaterThan">
      <formula>0</formula>
    </cfRule>
  </conditionalFormatting>
  <conditionalFormatting sqref="T3:T42 AF3:AF42">
    <cfRule type="cellIs" dxfId="342" priority="484" operator="lessThan">
      <formula>0</formula>
    </cfRule>
  </conditionalFormatting>
  <conditionalFormatting sqref="Q37">
    <cfRule type="cellIs" dxfId="341" priority="485" operator="lessThan">
      <formula>0</formula>
    </cfRule>
  </conditionalFormatting>
  <conditionalFormatting sqref="Q37">
    <cfRule type="cellIs" dxfId="340" priority="486" operator="greaterThan">
      <formula>0</formula>
    </cfRule>
  </conditionalFormatting>
  <conditionalFormatting sqref="I3:I37">
    <cfRule type="cellIs" dxfId="339" priority="353" operator="lessThan">
      <formula>0</formula>
    </cfRule>
    <cfRule type="cellIs" dxfId="338" priority="354" operator="greaterThan">
      <formula>0</formula>
    </cfRule>
  </conditionalFormatting>
  <conditionalFormatting sqref="I41:I72">
    <cfRule type="cellIs" dxfId="337" priority="351" operator="lessThan">
      <formula>0</formula>
    </cfRule>
    <cfRule type="cellIs" dxfId="336" priority="352" operator="greaterThan">
      <formula>0</formula>
    </cfRule>
  </conditionalFormatting>
  <conditionalFormatting sqref="I76">
    <cfRule type="cellIs" dxfId="335" priority="349" operator="lessThan">
      <formula>0</formula>
    </cfRule>
    <cfRule type="cellIs" dxfId="334" priority="350" operator="greaterThan">
      <formula>0</formula>
    </cfRule>
  </conditionalFormatting>
  <conditionalFormatting sqref="B5:B6">
    <cfRule type="cellIs" dxfId="333" priority="345" operator="greaterThan">
      <formula>0</formula>
    </cfRule>
  </conditionalFormatting>
  <conditionalFormatting sqref="B5:B6">
    <cfRule type="cellIs" dxfId="332" priority="346" operator="lessThan">
      <formula>0</formula>
    </cfRule>
  </conditionalFormatting>
  <conditionalFormatting sqref="B5:B6">
    <cfRule type="cellIs" dxfId="331" priority="347" operator="greaterThan">
      <formula>0</formula>
    </cfRule>
  </conditionalFormatting>
  <conditionalFormatting sqref="B5:B6">
    <cfRule type="cellIs" dxfId="330" priority="348" operator="lessThan">
      <formula>0</formula>
    </cfRule>
  </conditionalFormatting>
  <conditionalFormatting sqref="K4:L4 K7:L7 K10:L10 K13:L13 K16:L16 K19:L19 K22:L22 K25:L25 K28:L28 K31:L31 K34:L34">
    <cfRule type="cellIs" dxfId="329"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28" priority="343" operator="greaterThan">
      <formula>0</formula>
    </cfRule>
  </conditionalFormatting>
  <conditionalFormatting sqref="AE43">
    <cfRule type="cellIs" dxfId="327" priority="340" operator="greaterThan">
      <formula>0</formula>
    </cfRule>
  </conditionalFormatting>
  <conditionalFormatting sqref="AE43">
    <cfRule type="cellIs" dxfId="326" priority="341" operator="lessThan">
      <formula>0</formula>
    </cfRule>
  </conditionalFormatting>
  <conditionalFormatting sqref="Q38">
    <cfRule type="cellIs" dxfId="325" priority="339" operator="lessThan">
      <formula>0</formula>
    </cfRule>
  </conditionalFormatting>
  <conditionalFormatting sqref="Q39">
    <cfRule type="cellIs" dxfId="324" priority="338" operator="lessThan">
      <formula>0</formula>
    </cfRule>
  </conditionalFormatting>
  <conditionalFormatting sqref="J4 J7 J10 J13 J16 J19 J22 J25 J28 J31 J34">
    <cfRule type="cellIs" dxfId="323" priority="337" operator="greaterThan">
      <formula>1.49</formula>
    </cfRule>
  </conditionalFormatting>
  <conditionalFormatting sqref="AD3:AD42">
    <cfRule type="cellIs" dxfId="322" priority="336" operator="equal">
      <formula>0</formula>
    </cfRule>
  </conditionalFormatting>
  <conditionalFormatting sqref="AP3:AP42">
    <cfRule type="cellIs" dxfId="321" priority="335" operator="equal">
      <formula>0</formula>
    </cfRule>
  </conditionalFormatting>
  <conditionalFormatting sqref="AP15:AP42">
    <cfRule type="cellIs" dxfId="320" priority="334" operator="equal">
      <formula>0</formula>
    </cfRule>
  </conditionalFormatting>
  <conditionalFormatting sqref="B42">
    <cfRule type="cellIs" dxfId="319" priority="328" operator="greaterThan">
      <formula>0</formula>
    </cfRule>
  </conditionalFormatting>
  <conditionalFormatting sqref="B42">
    <cfRule type="cellIs" dxfId="318" priority="329" operator="lessThan">
      <formula>0</formula>
    </cfRule>
  </conditionalFormatting>
  <conditionalFormatting sqref="B42">
    <cfRule type="cellIs" dxfId="317" priority="330" operator="greaterThan">
      <formula>0</formula>
    </cfRule>
  </conditionalFormatting>
  <conditionalFormatting sqref="B42">
    <cfRule type="cellIs" dxfId="316" priority="331" operator="lessThan">
      <formula>0</formula>
    </cfRule>
  </conditionalFormatting>
  <conditionalFormatting sqref="B42">
    <cfRule type="cellIs" dxfId="315" priority="332" operator="greaterThan">
      <formula>0</formula>
    </cfRule>
  </conditionalFormatting>
  <conditionalFormatting sqref="B42">
    <cfRule type="cellIs" dxfId="314" priority="333" operator="lessThan">
      <formula>0</formula>
    </cfRule>
  </conditionalFormatting>
  <conditionalFormatting sqref="S3:S42">
    <cfRule type="expression" dxfId="313"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2" priority="488" operator="greaterThan">
      <formula>0</formula>
    </cfRule>
  </conditionalFormatting>
  <conditionalFormatting sqref="S3:S42">
    <cfRule type="expression" dxfId="311" priority="325">
      <formula>$O$18-$U3&gt;0</formula>
    </cfRule>
  </conditionalFormatting>
  <conditionalFormatting sqref="AA3:AA42">
    <cfRule type="cellIs" dxfId="310" priority="323" operator="lessThan">
      <formula>V3</formula>
    </cfRule>
    <cfRule type="cellIs" dxfId="309" priority="324" operator="equal">
      <formula>0</formula>
    </cfRule>
  </conditionalFormatting>
  <conditionalFormatting sqref="BD5">
    <cfRule type="cellIs" dxfId="308" priority="319" operator="greaterThan">
      <formula>0</formula>
    </cfRule>
  </conditionalFormatting>
  <conditionalFormatting sqref="BD5">
    <cfRule type="cellIs" dxfId="307" priority="320" operator="lessThan">
      <formula>0</formula>
    </cfRule>
  </conditionalFormatting>
  <conditionalFormatting sqref="BD4">
    <cfRule type="cellIs" dxfId="306" priority="317" operator="greaterThan">
      <formula>0</formula>
    </cfRule>
  </conditionalFormatting>
  <conditionalFormatting sqref="BD4">
    <cfRule type="cellIs" dxfId="305" priority="318" operator="lessThan">
      <formula>0</formula>
    </cfRule>
  </conditionalFormatting>
  <conditionalFormatting sqref="AE3:AE42">
    <cfRule type="expression" dxfId="304" priority="316">
      <formula>$O$18-$AG3&gt;0</formula>
    </cfRule>
  </conditionalFormatting>
  <conditionalFormatting sqref="AE3:AE42">
    <cfRule type="expression" dxfId="303"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2" priority="313" operator="equal">
      <formula>0</formula>
    </cfRule>
  </conditionalFormatting>
  <conditionalFormatting sqref="B14">
    <cfRule type="cellIs" dxfId="301" priority="306" operator="greaterThan">
      <formula>0</formula>
    </cfRule>
  </conditionalFormatting>
  <conditionalFormatting sqref="B14">
    <cfRule type="cellIs" dxfId="300" priority="307" operator="lessThan">
      <formula>0</formula>
    </cfRule>
  </conditionalFormatting>
  <conditionalFormatting sqref="B14">
    <cfRule type="cellIs" dxfId="299" priority="308" operator="greaterThan">
      <formula>0</formula>
    </cfRule>
  </conditionalFormatting>
  <conditionalFormatting sqref="B14">
    <cfRule type="cellIs" dxfId="298" priority="309" operator="lessThan">
      <formula>0</formula>
    </cfRule>
  </conditionalFormatting>
  <conditionalFormatting sqref="B13">
    <cfRule type="cellIs" dxfId="297" priority="302" operator="greaterThan">
      <formula>0</formula>
    </cfRule>
  </conditionalFormatting>
  <conditionalFormatting sqref="B13">
    <cfRule type="cellIs" dxfId="296" priority="303" operator="lessThan">
      <formula>0</formula>
    </cfRule>
  </conditionalFormatting>
  <conditionalFormatting sqref="B13">
    <cfRule type="cellIs" dxfId="295" priority="304" operator="greaterThan">
      <formula>0</formula>
    </cfRule>
  </conditionalFormatting>
  <conditionalFormatting sqref="B13">
    <cfRule type="cellIs" dxfId="294" priority="305" operator="lessThan">
      <formula>0</formula>
    </cfRule>
  </conditionalFormatting>
  <conditionalFormatting sqref="B17:B18">
    <cfRule type="cellIs" dxfId="293" priority="298" operator="greaterThan">
      <formula>0</formula>
    </cfRule>
  </conditionalFormatting>
  <conditionalFormatting sqref="B17:B18">
    <cfRule type="cellIs" dxfId="292" priority="299" operator="lessThan">
      <formula>0</formula>
    </cfRule>
  </conditionalFormatting>
  <conditionalFormatting sqref="B17:B18">
    <cfRule type="cellIs" dxfId="291" priority="300" operator="greaterThan">
      <formula>0</formula>
    </cfRule>
  </conditionalFormatting>
  <conditionalFormatting sqref="B17:B18">
    <cfRule type="cellIs" dxfId="290" priority="301" operator="lessThan">
      <formula>0</formula>
    </cfRule>
  </conditionalFormatting>
  <conditionalFormatting sqref="B13:B14">
    <cfRule type="cellIs" dxfId="289" priority="294" operator="greaterThan">
      <formula>0</formula>
    </cfRule>
  </conditionalFormatting>
  <conditionalFormatting sqref="B13:B14">
    <cfRule type="cellIs" dxfId="288" priority="295" operator="lessThan">
      <formula>0</formula>
    </cfRule>
  </conditionalFormatting>
  <conditionalFormatting sqref="B13:B14">
    <cfRule type="cellIs" dxfId="287" priority="296" operator="greaterThan">
      <formula>0</formula>
    </cfRule>
  </conditionalFormatting>
  <conditionalFormatting sqref="B13:B14">
    <cfRule type="cellIs" dxfId="286" priority="297" operator="lessThan">
      <formula>0</formula>
    </cfRule>
  </conditionalFormatting>
  <conditionalFormatting sqref="B5:B6">
    <cfRule type="cellIs" dxfId="285" priority="290" operator="greaterThan">
      <formula>0</formula>
    </cfRule>
  </conditionalFormatting>
  <conditionalFormatting sqref="B5:B6">
    <cfRule type="cellIs" dxfId="284" priority="291" operator="lessThan">
      <formula>0</formula>
    </cfRule>
  </conditionalFormatting>
  <conditionalFormatting sqref="B5:B6">
    <cfRule type="cellIs" dxfId="283" priority="292" operator="greaterThan">
      <formula>0</formula>
    </cfRule>
  </conditionalFormatting>
  <conditionalFormatting sqref="B5:B6">
    <cfRule type="cellIs" dxfId="282" priority="293" operator="lessThan">
      <formula>0</formula>
    </cfRule>
  </conditionalFormatting>
  <conditionalFormatting sqref="B12">
    <cfRule type="cellIs" dxfId="281" priority="230" operator="greaterThan">
      <formula>0</formula>
    </cfRule>
  </conditionalFormatting>
  <conditionalFormatting sqref="B12">
    <cfRule type="cellIs" dxfId="280" priority="231" operator="lessThan">
      <formula>0</formula>
    </cfRule>
  </conditionalFormatting>
  <conditionalFormatting sqref="B12">
    <cfRule type="cellIs" dxfId="279" priority="232" operator="greaterThan">
      <formula>0</formula>
    </cfRule>
  </conditionalFormatting>
  <conditionalFormatting sqref="B12">
    <cfRule type="cellIs" dxfId="278" priority="233" operator="lessThan">
      <formula>0</formula>
    </cfRule>
  </conditionalFormatting>
  <conditionalFormatting sqref="B15:B16">
    <cfRule type="cellIs" dxfId="277" priority="286" operator="greaterThan">
      <formula>0</formula>
    </cfRule>
  </conditionalFormatting>
  <conditionalFormatting sqref="B15:B16">
    <cfRule type="cellIs" dxfId="276" priority="287" operator="lessThan">
      <formula>0</formula>
    </cfRule>
  </conditionalFormatting>
  <conditionalFormatting sqref="B15:B16">
    <cfRule type="cellIs" dxfId="275" priority="288" operator="greaterThan">
      <formula>0</formula>
    </cfRule>
  </conditionalFormatting>
  <conditionalFormatting sqref="B15:B16">
    <cfRule type="cellIs" dxfId="274" priority="289" operator="lessThan">
      <formula>0</formula>
    </cfRule>
  </conditionalFormatting>
  <conditionalFormatting sqref="B16">
    <cfRule type="cellIs" dxfId="273" priority="282" operator="greaterThan">
      <formula>0</formula>
    </cfRule>
  </conditionalFormatting>
  <conditionalFormatting sqref="B16">
    <cfRule type="cellIs" dxfId="272" priority="283" operator="lessThan">
      <formula>0</formula>
    </cfRule>
  </conditionalFormatting>
  <conditionalFormatting sqref="B16">
    <cfRule type="cellIs" dxfId="271" priority="284" operator="greaterThan">
      <formula>0</formula>
    </cfRule>
  </conditionalFormatting>
  <conditionalFormatting sqref="B16">
    <cfRule type="cellIs" dxfId="270" priority="285" operator="lessThan">
      <formula>0</formula>
    </cfRule>
  </conditionalFormatting>
  <conditionalFormatting sqref="B16">
    <cfRule type="cellIs" dxfId="269" priority="278" operator="greaterThan">
      <formula>0</formula>
    </cfRule>
  </conditionalFormatting>
  <conditionalFormatting sqref="B16">
    <cfRule type="cellIs" dxfId="268" priority="279" operator="lessThan">
      <formula>0</formula>
    </cfRule>
  </conditionalFormatting>
  <conditionalFormatting sqref="B16">
    <cfRule type="cellIs" dxfId="267" priority="280" operator="greaterThan">
      <formula>0</formula>
    </cfRule>
  </conditionalFormatting>
  <conditionalFormatting sqref="B16">
    <cfRule type="cellIs" dxfId="266" priority="281" operator="lessThan">
      <formula>0</formula>
    </cfRule>
  </conditionalFormatting>
  <conditionalFormatting sqref="B15">
    <cfRule type="cellIs" dxfId="265" priority="274" operator="greaterThan">
      <formula>0</formula>
    </cfRule>
  </conditionalFormatting>
  <conditionalFormatting sqref="B15">
    <cfRule type="cellIs" dxfId="264" priority="275" operator="lessThan">
      <formula>0</formula>
    </cfRule>
  </conditionalFormatting>
  <conditionalFormatting sqref="B15">
    <cfRule type="cellIs" dxfId="263" priority="276" operator="greaterThan">
      <formula>0</formula>
    </cfRule>
  </conditionalFormatting>
  <conditionalFormatting sqref="B15">
    <cfRule type="cellIs" dxfId="262" priority="277" operator="lessThan">
      <formula>0</formula>
    </cfRule>
  </conditionalFormatting>
  <conditionalFormatting sqref="B15:B16">
    <cfRule type="cellIs" dxfId="261" priority="270" operator="greaterThan">
      <formula>0</formula>
    </cfRule>
  </conditionalFormatting>
  <conditionalFormatting sqref="B15:B16">
    <cfRule type="cellIs" dxfId="260" priority="271" operator="lessThan">
      <formula>0</formula>
    </cfRule>
  </conditionalFormatting>
  <conditionalFormatting sqref="B15:B16">
    <cfRule type="cellIs" dxfId="259" priority="272" operator="greaterThan">
      <formula>0</formula>
    </cfRule>
  </conditionalFormatting>
  <conditionalFormatting sqref="B15:B16">
    <cfRule type="cellIs" dxfId="258" priority="273" operator="lessThan">
      <formula>0</formula>
    </cfRule>
  </conditionalFormatting>
  <conditionalFormatting sqref="B15:B16">
    <cfRule type="cellIs" dxfId="257" priority="266" operator="greaterThan">
      <formula>0</formula>
    </cfRule>
  </conditionalFormatting>
  <conditionalFormatting sqref="B15:B16">
    <cfRule type="cellIs" dxfId="256" priority="267" operator="lessThan">
      <formula>0</formula>
    </cfRule>
  </conditionalFormatting>
  <conditionalFormatting sqref="B15:B16">
    <cfRule type="cellIs" dxfId="255" priority="268" operator="greaterThan">
      <formula>0</formula>
    </cfRule>
  </conditionalFormatting>
  <conditionalFormatting sqref="B15:B16">
    <cfRule type="cellIs" dxfId="254" priority="269" operator="lessThan">
      <formula>0</formula>
    </cfRule>
  </conditionalFormatting>
  <conditionalFormatting sqref="B11:B12">
    <cfRule type="cellIs" dxfId="253" priority="262" operator="greaterThan">
      <formula>0</formula>
    </cfRule>
  </conditionalFormatting>
  <conditionalFormatting sqref="B11:B12">
    <cfRule type="cellIs" dxfId="252" priority="263" operator="lessThan">
      <formula>0</formula>
    </cfRule>
  </conditionalFormatting>
  <conditionalFormatting sqref="B11:B12">
    <cfRule type="cellIs" dxfId="251" priority="264" operator="greaterThan">
      <formula>0</formula>
    </cfRule>
  </conditionalFormatting>
  <conditionalFormatting sqref="B11:B12">
    <cfRule type="cellIs" dxfId="250" priority="265" operator="lessThan">
      <formula>0</formula>
    </cfRule>
  </conditionalFormatting>
  <conditionalFormatting sqref="B11">
    <cfRule type="cellIs" dxfId="249" priority="258" operator="greaterThan">
      <formula>0</formula>
    </cfRule>
  </conditionalFormatting>
  <conditionalFormatting sqref="B11">
    <cfRule type="cellIs" dxfId="248" priority="259" operator="lessThan">
      <formula>0</formula>
    </cfRule>
  </conditionalFormatting>
  <conditionalFormatting sqref="B11">
    <cfRule type="cellIs" dxfId="247" priority="260" operator="greaterThan">
      <formula>0</formula>
    </cfRule>
  </conditionalFormatting>
  <conditionalFormatting sqref="B11">
    <cfRule type="cellIs" dxfId="246" priority="261" operator="lessThan">
      <formula>0</formula>
    </cfRule>
  </conditionalFormatting>
  <conditionalFormatting sqref="B12">
    <cfRule type="cellIs" dxfId="245" priority="254" operator="greaterThan">
      <formula>0</formula>
    </cfRule>
  </conditionalFormatting>
  <conditionalFormatting sqref="B12">
    <cfRule type="cellIs" dxfId="244" priority="255" operator="lessThan">
      <formula>0</formula>
    </cfRule>
  </conditionalFormatting>
  <conditionalFormatting sqref="B12">
    <cfRule type="cellIs" dxfId="243" priority="256" operator="greaterThan">
      <formula>0</formula>
    </cfRule>
  </conditionalFormatting>
  <conditionalFormatting sqref="B12">
    <cfRule type="cellIs" dxfId="242" priority="257" operator="lessThan">
      <formula>0</formula>
    </cfRule>
  </conditionalFormatting>
  <conditionalFormatting sqref="B5:B6">
    <cfRule type="cellIs" dxfId="241" priority="250" operator="greaterThan">
      <formula>0</formula>
    </cfRule>
  </conditionalFormatting>
  <conditionalFormatting sqref="B5:B6">
    <cfRule type="cellIs" dxfId="240" priority="251" operator="lessThan">
      <formula>0</formula>
    </cfRule>
  </conditionalFormatting>
  <conditionalFormatting sqref="B5:B6">
    <cfRule type="cellIs" dxfId="239" priority="252" operator="greaterThan">
      <formula>0</formula>
    </cfRule>
  </conditionalFormatting>
  <conditionalFormatting sqref="B5:B6">
    <cfRule type="cellIs" dxfId="238" priority="253" operator="lessThan">
      <formula>0</formula>
    </cfRule>
  </conditionalFormatting>
  <conditionalFormatting sqref="B5:B6">
    <cfRule type="cellIs" dxfId="237" priority="246" operator="greaterThan">
      <formula>0</formula>
    </cfRule>
  </conditionalFormatting>
  <conditionalFormatting sqref="B5:B6">
    <cfRule type="cellIs" dxfId="236" priority="247" operator="lessThan">
      <formula>0</formula>
    </cfRule>
  </conditionalFormatting>
  <conditionalFormatting sqref="B5:B6">
    <cfRule type="cellIs" dxfId="235" priority="248" operator="greaterThan">
      <formula>0</formula>
    </cfRule>
  </conditionalFormatting>
  <conditionalFormatting sqref="B5:B6">
    <cfRule type="cellIs" dxfId="234" priority="249" operator="lessThan">
      <formula>0</formula>
    </cfRule>
  </conditionalFormatting>
  <conditionalFormatting sqref="B5:B6">
    <cfRule type="cellIs" dxfId="233" priority="242" operator="greaterThan">
      <formula>0</formula>
    </cfRule>
  </conditionalFormatting>
  <conditionalFormatting sqref="B5:B6">
    <cfRule type="cellIs" dxfId="232" priority="243" operator="lessThan">
      <formula>0</formula>
    </cfRule>
  </conditionalFormatting>
  <conditionalFormatting sqref="B5:B6">
    <cfRule type="cellIs" dxfId="231" priority="244" operator="greaterThan">
      <formula>0</formula>
    </cfRule>
  </conditionalFormatting>
  <conditionalFormatting sqref="B5:B6">
    <cfRule type="cellIs" dxfId="230" priority="245" operator="lessThan">
      <formula>0</formula>
    </cfRule>
  </conditionalFormatting>
  <conditionalFormatting sqref="B11:B12">
    <cfRule type="cellIs" dxfId="229" priority="238" operator="greaterThan">
      <formula>0</formula>
    </cfRule>
  </conditionalFormatting>
  <conditionalFormatting sqref="B11:B12">
    <cfRule type="cellIs" dxfId="228" priority="239" operator="lessThan">
      <formula>0</formula>
    </cfRule>
  </conditionalFormatting>
  <conditionalFormatting sqref="B11:B12">
    <cfRule type="cellIs" dxfId="227" priority="240" operator="greaterThan">
      <formula>0</formula>
    </cfRule>
  </conditionalFormatting>
  <conditionalFormatting sqref="B11:B12">
    <cfRule type="cellIs" dxfId="226" priority="241" operator="lessThan">
      <formula>0</formula>
    </cfRule>
  </conditionalFormatting>
  <conditionalFormatting sqref="B12">
    <cfRule type="cellIs" dxfId="225" priority="234" operator="greaterThan">
      <formula>0</formula>
    </cfRule>
  </conditionalFormatting>
  <conditionalFormatting sqref="B12">
    <cfRule type="cellIs" dxfId="224" priority="235" operator="lessThan">
      <formula>0</formula>
    </cfRule>
  </conditionalFormatting>
  <conditionalFormatting sqref="B12">
    <cfRule type="cellIs" dxfId="223" priority="236" operator="greaterThan">
      <formula>0</formula>
    </cfRule>
  </conditionalFormatting>
  <conditionalFormatting sqref="B12">
    <cfRule type="cellIs" dxfId="222" priority="237" operator="lessThan">
      <formula>0</formula>
    </cfRule>
  </conditionalFormatting>
  <conditionalFormatting sqref="B11">
    <cfRule type="cellIs" dxfId="221" priority="226" operator="greaterThan">
      <formula>0</formula>
    </cfRule>
  </conditionalFormatting>
  <conditionalFormatting sqref="B11">
    <cfRule type="cellIs" dxfId="220" priority="227" operator="lessThan">
      <formula>0</formula>
    </cfRule>
  </conditionalFormatting>
  <conditionalFormatting sqref="B11">
    <cfRule type="cellIs" dxfId="219" priority="228" operator="greaterThan">
      <formula>0</formula>
    </cfRule>
  </conditionalFormatting>
  <conditionalFormatting sqref="B11">
    <cfRule type="cellIs" dxfId="218" priority="229" operator="lessThan">
      <formula>0</formula>
    </cfRule>
  </conditionalFormatting>
  <conditionalFormatting sqref="B11:B12">
    <cfRule type="cellIs" dxfId="217" priority="222" operator="greaterThan">
      <formula>0</formula>
    </cfRule>
  </conditionalFormatting>
  <conditionalFormatting sqref="B11:B12">
    <cfRule type="cellIs" dxfId="216" priority="223" operator="lessThan">
      <formula>0</formula>
    </cfRule>
  </conditionalFormatting>
  <conditionalFormatting sqref="B11:B12">
    <cfRule type="cellIs" dxfId="215" priority="224" operator="greaterThan">
      <formula>0</formula>
    </cfRule>
  </conditionalFormatting>
  <conditionalFormatting sqref="B11:B12">
    <cfRule type="cellIs" dxfId="214" priority="225" operator="lessThan">
      <formula>0</formula>
    </cfRule>
  </conditionalFormatting>
  <conditionalFormatting sqref="B11:B12">
    <cfRule type="cellIs" dxfId="213" priority="218" operator="greaterThan">
      <formula>0</formula>
    </cfRule>
  </conditionalFormatting>
  <conditionalFormatting sqref="B11:B12">
    <cfRule type="cellIs" dxfId="212" priority="219" operator="lessThan">
      <formula>0</formula>
    </cfRule>
  </conditionalFormatting>
  <conditionalFormatting sqref="B11:B12">
    <cfRule type="cellIs" dxfId="211" priority="220" operator="greaterThan">
      <formula>0</formula>
    </cfRule>
  </conditionalFormatting>
  <conditionalFormatting sqref="B11:B12">
    <cfRule type="cellIs" dxfId="210" priority="221" operator="lessThan">
      <formula>0</formula>
    </cfRule>
  </conditionalFormatting>
  <conditionalFormatting sqref="B40">
    <cfRule type="cellIs" dxfId="209" priority="212" operator="greaterThan">
      <formula>0</formula>
    </cfRule>
  </conditionalFormatting>
  <conditionalFormatting sqref="B40">
    <cfRule type="cellIs" dxfId="208" priority="213" operator="lessThan">
      <formula>0</formula>
    </cfRule>
  </conditionalFormatting>
  <conditionalFormatting sqref="B40">
    <cfRule type="cellIs" dxfId="207" priority="214" operator="greaterThan">
      <formula>0</formula>
    </cfRule>
  </conditionalFormatting>
  <conditionalFormatting sqref="B40">
    <cfRule type="cellIs" dxfId="206" priority="215" operator="lessThan">
      <formula>0</formula>
    </cfRule>
  </conditionalFormatting>
  <conditionalFormatting sqref="B40">
    <cfRule type="cellIs" dxfId="205" priority="216" operator="greaterThan">
      <formula>0</formula>
    </cfRule>
  </conditionalFormatting>
  <conditionalFormatting sqref="B40">
    <cfRule type="cellIs" dxfId="204" priority="217" operator="lessThan">
      <formula>0</formula>
    </cfRule>
  </conditionalFormatting>
  <conditionalFormatting sqref="I38:I40">
    <cfRule type="cellIs" dxfId="203" priority="210" operator="lessThan">
      <formula>0</formula>
    </cfRule>
    <cfRule type="cellIs" dxfId="202" priority="211" operator="greaterThan">
      <formula>0</formula>
    </cfRule>
  </conditionalFormatting>
  <conditionalFormatting sqref="B38">
    <cfRule type="cellIs" dxfId="201" priority="204" operator="greaterThan">
      <formula>0</formula>
    </cfRule>
  </conditionalFormatting>
  <conditionalFormatting sqref="B38">
    <cfRule type="cellIs" dxfId="200" priority="205" operator="lessThan">
      <formula>0</formula>
    </cfRule>
  </conditionalFormatting>
  <conditionalFormatting sqref="B38">
    <cfRule type="cellIs" dxfId="199" priority="206" operator="greaterThan">
      <formula>0</formula>
    </cfRule>
  </conditionalFormatting>
  <conditionalFormatting sqref="B38">
    <cfRule type="cellIs" dxfId="198" priority="207" operator="lessThan">
      <formula>0</formula>
    </cfRule>
  </conditionalFormatting>
  <conditionalFormatting sqref="B38">
    <cfRule type="cellIs" dxfId="197" priority="208" operator="greaterThan">
      <formula>0</formula>
    </cfRule>
  </conditionalFormatting>
  <conditionalFormatting sqref="B38">
    <cfRule type="cellIs" dxfId="196" priority="209" operator="lessThan">
      <formula>0</formula>
    </cfRule>
  </conditionalFormatting>
  <conditionalFormatting sqref="B39">
    <cfRule type="cellIs" dxfId="195" priority="198" operator="greaterThan">
      <formula>0</formula>
    </cfRule>
  </conditionalFormatting>
  <conditionalFormatting sqref="B39">
    <cfRule type="cellIs" dxfId="194" priority="199" operator="lessThan">
      <formula>0</formula>
    </cfRule>
  </conditionalFormatting>
  <conditionalFormatting sqref="B39">
    <cfRule type="cellIs" dxfId="193" priority="200" operator="greaterThan">
      <formula>0</formula>
    </cfRule>
  </conditionalFormatting>
  <conditionalFormatting sqref="B39">
    <cfRule type="cellIs" dxfId="192" priority="201" operator="lessThan">
      <formula>0</formula>
    </cfRule>
  </conditionalFormatting>
  <conditionalFormatting sqref="B39">
    <cfRule type="cellIs" dxfId="191" priority="202" operator="greaterThan">
      <formula>0</formula>
    </cfRule>
  </conditionalFormatting>
  <conditionalFormatting sqref="B39">
    <cfRule type="cellIs" dxfId="190" priority="203" operator="lessThan">
      <formula>0</formula>
    </cfRule>
  </conditionalFormatting>
  <conditionalFormatting sqref="B31:B34 B37">
    <cfRule type="cellIs" dxfId="189" priority="194" operator="greaterThan">
      <formula>0</formula>
    </cfRule>
  </conditionalFormatting>
  <conditionalFormatting sqref="B31:B34 B37">
    <cfRule type="cellIs" dxfId="188" priority="195" operator="lessThan">
      <formula>0</formula>
    </cfRule>
  </conditionalFormatting>
  <conditionalFormatting sqref="B31:B34 B37">
    <cfRule type="cellIs" dxfId="187" priority="196" operator="greaterThan">
      <formula>0</formula>
    </cfRule>
  </conditionalFormatting>
  <conditionalFormatting sqref="B31:B34 B37">
    <cfRule type="cellIs" dxfId="186" priority="197" operator="lessThan">
      <formula>0</formula>
    </cfRule>
  </conditionalFormatting>
  <conditionalFormatting sqref="B35:B36">
    <cfRule type="cellIs" dxfId="185" priority="186" operator="greaterThan">
      <formula>0</formula>
    </cfRule>
  </conditionalFormatting>
  <conditionalFormatting sqref="B35:B36">
    <cfRule type="cellIs" dxfId="184" priority="187" operator="lessThan">
      <formula>0</formula>
    </cfRule>
  </conditionalFormatting>
  <conditionalFormatting sqref="B35:B36">
    <cfRule type="cellIs" dxfId="183" priority="188" operator="greaterThan">
      <formula>0</formula>
    </cfRule>
  </conditionalFormatting>
  <conditionalFormatting sqref="B35:B36">
    <cfRule type="cellIs" dxfId="182" priority="189" operator="lessThan">
      <formula>0</formula>
    </cfRule>
  </conditionalFormatting>
  <conditionalFormatting sqref="B36">
    <cfRule type="cellIs" dxfId="181" priority="190" operator="greaterThan">
      <formula>0</formula>
    </cfRule>
  </conditionalFormatting>
  <conditionalFormatting sqref="B36">
    <cfRule type="cellIs" dxfId="180" priority="191" operator="lessThan">
      <formula>0</formula>
    </cfRule>
  </conditionalFormatting>
  <conditionalFormatting sqref="B35">
    <cfRule type="cellIs" dxfId="179" priority="192" operator="greaterThan">
      <formula>0</formula>
    </cfRule>
  </conditionalFormatting>
  <conditionalFormatting sqref="B35">
    <cfRule type="cellIs" dxfId="178" priority="193" operator="lessThan">
      <formula>0</formula>
    </cfRule>
  </conditionalFormatting>
  <conditionalFormatting sqref="K39 K41 K43 K45 K47 K49 K51 K53 K55 K57 K59 K61 K63 K65 K67 K69 K71">
    <cfRule type="cellIs" dxfId="177" priority="185" operator="greaterThan">
      <formula>J39</formula>
    </cfRule>
  </conditionalFormatting>
  <conditionalFormatting sqref="J39 J41 J43 J45 J47 J49 J51 J53 J55 J57 J59 J61 J63 J65 J67 J69 J71">
    <cfRule type="cellIs" dxfId="176" priority="184" operator="greaterThan">
      <formula>1.49</formula>
    </cfRule>
  </conditionalFormatting>
  <conditionalFormatting sqref="L39 L41 L43 L45 L47 L49 L51 L53 L55 L57 L59 L61 L63 L65 L67 L69 L71">
    <cfRule type="cellIs" dxfId="175" priority="183" operator="greaterThan">
      <formula>K39</formula>
    </cfRule>
  </conditionalFormatting>
  <conditionalFormatting sqref="B4">
    <cfRule type="cellIs" dxfId="174" priority="176" operator="greaterThan">
      <formula>0</formula>
    </cfRule>
  </conditionalFormatting>
  <conditionalFormatting sqref="B4">
    <cfRule type="cellIs" dxfId="173" priority="177" operator="lessThan">
      <formula>0</formula>
    </cfRule>
  </conditionalFormatting>
  <conditionalFormatting sqref="B4">
    <cfRule type="cellIs" dxfId="172" priority="178" operator="greaterThan">
      <formula>0</formula>
    </cfRule>
  </conditionalFormatting>
  <conditionalFormatting sqref="B4">
    <cfRule type="cellIs" dxfId="171" priority="179" operator="lessThan">
      <formula>0</formula>
    </cfRule>
  </conditionalFormatting>
  <conditionalFormatting sqref="B4">
    <cfRule type="cellIs" dxfId="170" priority="172" operator="greaterThan">
      <formula>0</formula>
    </cfRule>
  </conditionalFormatting>
  <conditionalFormatting sqref="B4">
    <cfRule type="cellIs" dxfId="169" priority="173" operator="lessThan">
      <formula>0</formula>
    </cfRule>
  </conditionalFormatting>
  <conditionalFormatting sqref="B4">
    <cfRule type="cellIs" dxfId="168" priority="174" operator="greaterThan">
      <formula>0</formula>
    </cfRule>
  </conditionalFormatting>
  <conditionalFormatting sqref="B4">
    <cfRule type="cellIs" dxfId="167" priority="175" operator="lessThan">
      <formula>0</formula>
    </cfRule>
  </conditionalFormatting>
  <conditionalFormatting sqref="B4">
    <cfRule type="cellIs" dxfId="166" priority="168" operator="greaterThan">
      <formula>0</formula>
    </cfRule>
  </conditionalFormatting>
  <conditionalFormatting sqref="B4">
    <cfRule type="cellIs" dxfId="165" priority="169" operator="lessThan">
      <formula>0</formula>
    </cfRule>
  </conditionalFormatting>
  <conditionalFormatting sqref="B4">
    <cfRule type="cellIs" dxfId="164" priority="170" operator="greaterThan">
      <formula>0</formula>
    </cfRule>
  </conditionalFormatting>
  <conditionalFormatting sqref="B4">
    <cfRule type="cellIs" dxfId="163" priority="171" operator="lessThan">
      <formula>0</formula>
    </cfRule>
  </conditionalFormatting>
  <conditionalFormatting sqref="B4">
    <cfRule type="cellIs" dxfId="162" priority="164" operator="greaterThan">
      <formula>0</formula>
    </cfRule>
  </conditionalFormatting>
  <conditionalFormatting sqref="B4">
    <cfRule type="cellIs" dxfId="161" priority="165" operator="lessThan">
      <formula>0</formula>
    </cfRule>
  </conditionalFormatting>
  <conditionalFormatting sqref="B4">
    <cfRule type="cellIs" dxfId="160" priority="166" operator="greaterThan">
      <formula>0</formula>
    </cfRule>
  </conditionalFormatting>
  <conditionalFormatting sqref="B4">
    <cfRule type="cellIs" dxfId="159" priority="167" operator="lessThan">
      <formula>0</formula>
    </cfRule>
  </conditionalFormatting>
  <conditionalFormatting sqref="B4">
    <cfRule type="cellIs" dxfId="158" priority="160" operator="greaterThan">
      <formula>0</formula>
    </cfRule>
  </conditionalFormatting>
  <conditionalFormatting sqref="B4">
    <cfRule type="cellIs" dxfId="157" priority="161" operator="lessThan">
      <formula>0</formula>
    </cfRule>
  </conditionalFormatting>
  <conditionalFormatting sqref="B4">
    <cfRule type="cellIs" dxfId="156" priority="162" operator="greaterThan">
      <formula>0</formula>
    </cfRule>
  </conditionalFormatting>
  <conditionalFormatting sqref="B4">
    <cfRule type="cellIs" dxfId="155" priority="163" operator="lessThan">
      <formula>0</formula>
    </cfRule>
  </conditionalFormatting>
  <conditionalFormatting sqref="B4">
    <cfRule type="cellIs" dxfId="154" priority="156" operator="greaterThan">
      <formula>0</formula>
    </cfRule>
  </conditionalFormatting>
  <conditionalFormatting sqref="B4">
    <cfRule type="cellIs" dxfId="153" priority="157" operator="lessThan">
      <formula>0</formula>
    </cfRule>
  </conditionalFormatting>
  <conditionalFormatting sqref="B4">
    <cfRule type="cellIs" dxfId="152" priority="158" operator="greaterThan">
      <formula>0</formula>
    </cfRule>
  </conditionalFormatting>
  <conditionalFormatting sqref="B4">
    <cfRule type="cellIs" dxfId="151" priority="159" operator="lessThan">
      <formula>0</formula>
    </cfRule>
  </conditionalFormatting>
  <conditionalFormatting sqref="B4">
    <cfRule type="cellIs" dxfId="150" priority="152" operator="greaterThan">
      <formula>0</formula>
    </cfRule>
  </conditionalFormatting>
  <conditionalFormatting sqref="B4">
    <cfRule type="cellIs" dxfId="149" priority="153" operator="lessThan">
      <formula>0</formula>
    </cfRule>
  </conditionalFormatting>
  <conditionalFormatting sqref="B4">
    <cfRule type="cellIs" dxfId="148" priority="154" operator="greaterThan">
      <formula>0</formula>
    </cfRule>
  </conditionalFormatting>
  <conditionalFormatting sqref="B4">
    <cfRule type="cellIs" dxfId="147" priority="155" operator="lessThan">
      <formula>0</formula>
    </cfRule>
  </conditionalFormatting>
  <conditionalFormatting sqref="B4">
    <cfRule type="cellIs" dxfId="146" priority="148" operator="greaterThan">
      <formula>0</formula>
    </cfRule>
  </conditionalFormatting>
  <conditionalFormatting sqref="B4">
    <cfRule type="cellIs" dxfId="145" priority="149" operator="lessThan">
      <formula>0</formula>
    </cfRule>
  </conditionalFormatting>
  <conditionalFormatting sqref="B4">
    <cfRule type="cellIs" dxfId="144" priority="150" operator="greaterThan">
      <formula>0</formula>
    </cfRule>
  </conditionalFormatting>
  <conditionalFormatting sqref="B4">
    <cfRule type="cellIs" dxfId="143" priority="151" operator="lessThan">
      <formula>0</formula>
    </cfRule>
  </conditionalFormatting>
  <conditionalFormatting sqref="B4">
    <cfRule type="cellIs" dxfId="142" priority="144" operator="greaterThan">
      <formula>0</formula>
    </cfRule>
  </conditionalFormatting>
  <conditionalFormatting sqref="B4">
    <cfRule type="cellIs" dxfId="141" priority="145" operator="lessThan">
      <formula>0</formula>
    </cfRule>
  </conditionalFormatting>
  <conditionalFormatting sqref="B4">
    <cfRule type="cellIs" dxfId="140" priority="146" operator="greaterThan">
      <formula>0</formula>
    </cfRule>
  </conditionalFormatting>
  <conditionalFormatting sqref="B4">
    <cfRule type="cellIs" dxfId="139" priority="147" operator="lessThan">
      <formula>0</formula>
    </cfRule>
  </conditionalFormatting>
  <conditionalFormatting sqref="B8">
    <cfRule type="cellIs" dxfId="138" priority="140" operator="greaterThan">
      <formula>0</formula>
    </cfRule>
  </conditionalFormatting>
  <conditionalFormatting sqref="B8">
    <cfRule type="cellIs" dxfId="137" priority="141" operator="lessThan">
      <formula>0</formula>
    </cfRule>
  </conditionalFormatting>
  <conditionalFormatting sqref="B8">
    <cfRule type="cellIs" dxfId="136" priority="142" operator="greaterThan">
      <formula>0</formula>
    </cfRule>
  </conditionalFormatting>
  <conditionalFormatting sqref="B8">
    <cfRule type="cellIs" dxfId="135" priority="143" operator="lessThan">
      <formula>0</formula>
    </cfRule>
  </conditionalFormatting>
  <conditionalFormatting sqref="B8">
    <cfRule type="cellIs" dxfId="134" priority="136" operator="greaterThan">
      <formula>0</formula>
    </cfRule>
  </conditionalFormatting>
  <conditionalFormatting sqref="B8">
    <cfRule type="cellIs" dxfId="133" priority="137" operator="lessThan">
      <formula>0</formula>
    </cfRule>
  </conditionalFormatting>
  <conditionalFormatting sqref="B8">
    <cfRule type="cellIs" dxfId="132" priority="138" operator="greaterThan">
      <formula>0</formula>
    </cfRule>
  </conditionalFormatting>
  <conditionalFormatting sqref="B8">
    <cfRule type="cellIs" dxfId="131" priority="139" operator="lessThan">
      <formula>0</formula>
    </cfRule>
  </conditionalFormatting>
  <conditionalFormatting sqref="B6:B7">
    <cfRule type="cellIs" dxfId="130" priority="92" operator="greaterThan">
      <formula>0</formula>
    </cfRule>
  </conditionalFormatting>
  <conditionalFormatting sqref="B6:B7">
    <cfRule type="cellIs" dxfId="129" priority="93" operator="lessThan">
      <formula>0</formula>
    </cfRule>
  </conditionalFormatting>
  <conditionalFormatting sqref="B6:B7">
    <cfRule type="cellIs" dxfId="128" priority="94" operator="greaterThan">
      <formula>0</formula>
    </cfRule>
  </conditionalFormatting>
  <conditionalFormatting sqref="B6:B7">
    <cfRule type="cellIs" dxfId="127" priority="95" operator="lessThan">
      <formula>0</formula>
    </cfRule>
  </conditionalFormatting>
  <conditionalFormatting sqref="B9:B10">
    <cfRule type="cellIs" dxfId="126" priority="132" operator="greaterThan">
      <formula>0</formula>
    </cfRule>
  </conditionalFormatting>
  <conditionalFormatting sqref="B9:B10">
    <cfRule type="cellIs" dxfId="125" priority="133" operator="lessThan">
      <formula>0</formula>
    </cfRule>
  </conditionalFormatting>
  <conditionalFormatting sqref="B9:B10">
    <cfRule type="cellIs" dxfId="124" priority="134" operator="greaterThan">
      <formula>0</formula>
    </cfRule>
  </conditionalFormatting>
  <conditionalFormatting sqref="B9:B10">
    <cfRule type="cellIs" dxfId="123" priority="135" operator="lessThan">
      <formula>0</formula>
    </cfRule>
  </conditionalFormatting>
  <conditionalFormatting sqref="B10">
    <cfRule type="cellIs" dxfId="122" priority="128" operator="greaterThan">
      <formula>0</formula>
    </cfRule>
  </conditionalFormatting>
  <conditionalFormatting sqref="B10">
    <cfRule type="cellIs" dxfId="121" priority="129" operator="lessThan">
      <formula>0</formula>
    </cfRule>
  </conditionalFormatting>
  <conditionalFormatting sqref="B10">
    <cfRule type="cellIs" dxfId="120" priority="130" operator="greaterThan">
      <formula>0</formula>
    </cfRule>
  </conditionalFormatting>
  <conditionalFormatting sqref="B10">
    <cfRule type="cellIs" dxfId="119" priority="131" operator="lessThan">
      <formula>0</formula>
    </cfRule>
  </conditionalFormatting>
  <conditionalFormatting sqref="B10">
    <cfRule type="cellIs" dxfId="118" priority="124" operator="greaterThan">
      <formula>0</formula>
    </cfRule>
  </conditionalFormatting>
  <conditionalFormatting sqref="B10">
    <cfRule type="cellIs" dxfId="117" priority="125" operator="lessThan">
      <formula>0</formula>
    </cfRule>
  </conditionalFormatting>
  <conditionalFormatting sqref="B10">
    <cfRule type="cellIs" dxfId="116" priority="126" operator="greaterThan">
      <formula>0</formula>
    </cfRule>
  </conditionalFormatting>
  <conditionalFormatting sqref="B10">
    <cfRule type="cellIs" dxfId="115" priority="127" operator="lessThan">
      <formula>0</formula>
    </cfRule>
  </conditionalFormatting>
  <conditionalFormatting sqref="B9">
    <cfRule type="cellIs" dxfId="114" priority="120" operator="greaterThan">
      <formula>0</formula>
    </cfRule>
  </conditionalFormatting>
  <conditionalFormatting sqref="B9">
    <cfRule type="cellIs" dxfId="113" priority="121" operator="lessThan">
      <formula>0</formula>
    </cfRule>
  </conditionalFormatting>
  <conditionalFormatting sqref="B9">
    <cfRule type="cellIs" dxfId="112" priority="122" operator="greaterThan">
      <formula>0</formula>
    </cfRule>
  </conditionalFormatting>
  <conditionalFormatting sqref="B9">
    <cfRule type="cellIs" dxfId="111" priority="123" operator="lessThan">
      <formula>0</formula>
    </cfRule>
  </conditionalFormatting>
  <conditionalFormatting sqref="B9:B10">
    <cfRule type="cellIs" dxfId="110" priority="116" operator="greaterThan">
      <formula>0</formula>
    </cfRule>
  </conditionalFormatting>
  <conditionalFormatting sqref="B9:B10">
    <cfRule type="cellIs" dxfId="109" priority="117" operator="lessThan">
      <formula>0</formula>
    </cfRule>
  </conditionalFormatting>
  <conditionalFormatting sqref="B9:B10">
    <cfRule type="cellIs" dxfId="108" priority="118" operator="greaterThan">
      <formula>0</formula>
    </cfRule>
  </conditionalFormatting>
  <conditionalFormatting sqref="B9:B10">
    <cfRule type="cellIs" dxfId="107" priority="119" operator="lessThan">
      <formula>0</formula>
    </cfRule>
  </conditionalFormatting>
  <conditionalFormatting sqref="B9:B10">
    <cfRule type="cellIs" dxfId="106" priority="112" operator="greaterThan">
      <formula>0</formula>
    </cfRule>
  </conditionalFormatting>
  <conditionalFormatting sqref="B9:B10">
    <cfRule type="cellIs" dxfId="105" priority="113" operator="lessThan">
      <formula>0</formula>
    </cfRule>
  </conditionalFormatting>
  <conditionalFormatting sqref="B9:B10">
    <cfRule type="cellIs" dxfId="104" priority="114" operator="greaterThan">
      <formula>0</formula>
    </cfRule>
  </conditionalFormatting>
  <conditionalFormatting sqref="B9:B10">
    <cfRule type="cellIs" dxfId="103" priority="115" operator="lessThan">
      <formula>0</formula>
    </cfRule>
  </conditionalFormatting>
  <conditionalFormatting sqref="B6:B7">
    <cfRule type="cellIs" dxfId="102" priority="108" operator="greaterThan">
      <formula>0</formula>
    </cfRule>
  </conditionalFormatting>
  <conditionalFormatting sqref="B6:B7">
    <cfRule type="cellIs" dxfId="101" priority="109" operator="lessThan">
      <formula>0</formula>
    </cfRule>
  </conditionalFormatting>
  <conditionalFormatting sqref="B6:B7">
    <cfRule type="cellIs" dxfId="100" priority="110" operator="greaterThan">
      <formula>0</formula>
    </cfRule>
  </conditionalFormatting>
  <conditionalFormatting sqref="B6:B7">
    <cfRule type="cellIs" dxfId="99" priority="111" operator="lessThan">
      <formula>0</formula>
    </cfRule>
  </conditionalFormatting>
  <conditionalFormatting sqref="B6:B7">
    <cfRule type="cellIs" dxfId="98" priority="104" operator="greaterThan">
      <formula>0</formula>
    </cfRule>
  </conditionalFormatting>
  <conditionalFormatting sqref="B6:B7">
    <cfRule type="cellIs" dxfId="97" priority="105" operator="lessThan">
      <formula>0</formula>
    </cfRule>
  </conditionalFormatting>
  <conditionalFormatting sqref="B6:B7">
    <cfRule type="cellIs" dxfId="96" priority="106" operator="greaterThan">
      <formula>0</formula>
    </cfRule>
  </conditionalFormatting>
  <conditionalFormatting sqref="B6:B7">
    <cfRule type="cellIs" dxfId="95" priority="107" operator="lessThan">
      <formula>0</formula>
    </cfRule>
  </conditionalFormatting>
  <conditionalFormatting sqref="B6:B7">
    <cfRule type="cellIs" dxfId="94" priority="100" operator="greaterThan">
      <formula>0</formula>
    </cfRule>
  </conditionalFormatting>
  <conditionalFormatting sqref="B6:B7">
    <cfRule type="cellIs" dxfId="93" priority="101" operator="lessThan">
      <formula>0</formula>
    </cfRule>
  </conditionalFormatting>
  <conditionalFormatting sqref="B6:B7">
    <cfRule type="cellIs" dxfId="92" priority="102" operator="greaterThan">
      <formula>0</formula>
    </cfRule>
  </conditionalFormatting>
  <conditionalFormatting sqref="B6:B7">
    <cfRule type="cellIs" dxfId="91" priority="103" operator="lessThan">
      <formula>0</formula>
    </cfRule>
  </conditionalFormatting>
  <conditionalFormatting sqref="B6:B7">
    <cfRule type="cellIs" dxfId="90" priority="96" operator="greaterThan">
      <formula>0</formula>
    </cfRule>
  </conditionalFormatting>
  <conditionalFormatting sqref="B6:B7">
    <cfRule type="cellIs" dxfId="89" priority="97" operator="lessThan">
      <formula>0</formula>
    </cfRule>
  </conditionalFormatting>
  <conditionalFormatting sqref="B6:B7">
    <cfRule type="cellIs" dxfId="88" priority="98" operator="greaterThan">
      <formula>0</formula>
    </cfRule>
  </conditionalFormatting>
  <conditionalFormatting sqref="B6:B7">
    <cfRule type="cellIs" dxfId="87" priority="99" operator="lessThan">
      <formula>0</formula>
    </cfRule>
  </conditionalFormatting>
  <conditionalFormatting sqref="B6:B7">
    <cfRule type="cellIs" dxfId="86" priority="88" operator="greaterThan">
      <formula>0</formula>
    </cfRule>
  </conditionalFormatting>
  <conditionalFormatting sqref="B6:B7">
    <cfRule type="cellIs" dxfId="85" priority="89" operator="lessThan">
      <formula>0</formula>
    </cfRule>
  </conditionalFormatting>
  <conditionalFormatting sqref="B6:B7">
    <cfRule type="cellIs" dxfId="84" priority="90" operator="greaterThan">
      <formula>0</formula>
    </cfRule>
  </conditionalFormatting>
  <conditionalFormatting sqref="B6:B7">
    <cfRule type="cellIs" dxfId="83" priority="91" operator="lessThan">
      <formula>0</formula>
    </cfRule>
  </conditionalFormatting>
  <conditionalFormatting sqref="B6:B7">
    <cfRule type="cellIs" dxfId="82" priority="84" operator="greaterThan">
      <formula>0</formula>
    </cfRule>
  </conditionalFormatting>
  <conditionalFormatting sqref="B6:B7">
    <cfRule type="cellIs" dxfId="81" priority="85" operator="lessThan">
      <formula>0</formula>
    </cfRule>
  </conditionalFormatting>
  <conditionalFormatting sqref="B6:B7">
    <cfRule type="cellIs" dxfId="80" priority="86" operator="greaterThan">
      <formula>0</formula>
    </cfRule>
  </conditionalFormatting>
  <conditionalFormatting sqref="B6:B7">
    <cfRule type="cellIs" dxfId="79" priority="87" operator="lessThan">
      <formula>0</formula>
    </cfRule>
  </conditionalFormatting>
  <conditionalFormatting sqref="L2:M2">
    <cfRule type="cellIs" dxfId="78" priority="82" operator="lessThan">
      <formula>0</formula>
    </cfRule>
    <cfRule type="cellIs" dxfId="77" priority="83" operator="greaterThan">
      <formula>0</formula>
    </cfRule>
  </conditionalFormatting>
  <conditionalFormatting sqref="B19">
    <cfRule type="cellIs" dxfId="76" priority="78" operator="greaterThan">
      <formula>0</formula>
    </cfRule>
  </conditionalFormatting>
  <conditionalFormatting sqref="B19">
    <cfRule type="cellIs" dxfId="75" priority="79" operator="lessThan">
      <formula>0</formula>
    </cfRule>
  </conditionalFormatting>
  <conditionalFormatting sqref="B19">
    <cfRule type="cellIs" dxfId="74" priority="80" operator="greaterThan">
      <formula>0</formula>
    </cfRule>
  </conditionalFormatting>
  <conditionalFormatting sqref="B19">
    <cfRule type="cellIs" dxfId="73" priority="81" operator="lessThan">
      <formula>0</formula>
    </cfRule>
  </conditionalFormatting>
  <conditionalFormatting sqref="B19">
    <cfRule type="cellIs" dxfId="72" priority="74" operator="greaterThan">
      <formula>0</formula>
    </cfRule>
  </conditionalFormatting>
  <conditionalFormatting sqref="B19">
    <cfRule type="cellIs" dxfId="71" priority="75" operator="lessThan">
      <formula>0</formula>
    </cfRule>
  </conditionalFormatting>
  <conditionalFormatting sqref="B19">
    <cfRule type="cellIs" dxfId="70" priority="76" operator="greaterThan">
      <formula>0</formula>
    </cfRule>
  </conditionalFormatting>
  <conditionalFormatting sqref="B19">
    <cfRule type="cellIs" dxfId="69" priority="77" operator="lessThan">
      <formula>0</formula>
    </cfRule>
  </conditionalFormatting>
  <conditionalFormatting sqref="B3">
    <cfRule type="cellIs" dxfId="68" priority="70" operator="greaterThan">
      <formula>0</formula>
    </cfRule>
  </conditionalFormatting>
  <conditionalFormatting sqref="B3">
    <cfRule type="cellIs" dxfId="67" priority="71" operator="lessThan">
      <formula>0</formula>
    </cfRule>
  </conditionalFormatting>
  <conditionalFormatting sqref="B3">
    <cfRule type="cellIs" dxfId="66" priority="72" operator="greaterThan">
      <formula>0</formula>
    </cfRule>
  </conditionalFormatting>
  <conditionalFormatting sqref="B3">
    <cfRule type="cellIs" dxfId="65" priority="73" operator="lessThan">
      <formula>0</formula>
    </cfRule>
  </conditionalFormatting>
  <conditionalFormatting sqref="B3">
    <cfRule type="cellIs" dxfId="64" priority="66" operator="greaterThan">
      <formula>0</formula>
    </cfRule>
  </conditionalFormatting>
  <conditionalFormatting sqref="B3">
    <cfRule type="cellIs" dxfId="63" priority="67" operator="lessThan">
      <formula>0</formula>
    </cfRule>
  </conditionalFormatting>
  <conditionalFormatting sqref="B3">
    <cfRule type="cellIs" dxfId="62" priority="68" operator="greaterThan">
      <formula>0</formula>
    </cfRule>
  </conditionalFormatting>
  <conditionalFormatting sqref="B3">
    <cfRule type="cellIs" dxfId="61" priority="69" operator="lessThan">
      <formula>0</formula>
    </cfRule>
  </conditionalFormatting>
  <conditionalFormatting sqref="B3">
    <cfRule type="cellIs" dxfId="60" priority="62" operator="greaterThan">
      <formula>0</formula>
    </cfRule>
  </conditionalFormatting>
  <conditionalFormatting sqref="B3">
    <cfRule type="cellIs" dxfId="59" priority="63" operator="lessThan">
      <formula>0</formula>
    </cfRule>
  </conditionalFormatting>
  <conditionalFormatting sqref="B3">
    <cfRule type="cellIs" dxfId="58" priority="64" operator="greaterThan">
      <formula>0</formula>
    </cfRule>
  </conditionalFormatting>
  <conditionalFormatting sqref="B3">
    <cfRule type="cellIs" dxfId="57" priority="65" operator="lessThan">
      <formula>0</formula>
    </cfRule>
  </conditionalFormatting>
  <conditionalFormatting sqref="B3">
    <cfRule type="cellIs" dxfId="56" priority="58" operator="greaterThan">
      <formula>0</formula>
    </cfRule>
  </conditionalFormatting>
  <conditionalFormatting sqref="B3">
    <cfRule type="cellIs" dxfId="55" priority="59" operator="lessThan">
      <formula>0</formula>
    </cfRule>
  </conditionalFormatting>
  <conditionalFormatting sqref="B3">
    <cfRule type="cellIs" dxfId="54" priority="60" operator="greaterThan">
      <formula>0</formula>
    </cfRule>
  </conditionalFormatting>
  <conditionalFormatting sqref="B3">
    <cfRule type="cellIs" dxfId="53" priority="61" operator="lessThan">
      <formula>0</formula>
    </cfRule>
  </conditionalFormatting>
  <conditionalFormatting sqref="B7">
    <cfRule type="cellIs" dxfId="52" priority="54" operator="greaterThan">
      <formula>0</formula>
    </cfRule>
  </conditionalFormatting>
  <conditionalFormatting sqref="B7">
    <cfRule type="cellIs" dxfId="51" priority="55" operator="lessThan">
      <formula>0</formula>
    </cfRule>
  </conditionalFormatting>
  <conditionalFormatting sqref="B7">
    <cfRule type="cellIs" dxfId="50" priority="56" operator="greaterThan">
      <formula>0</formula>
    </cfRule>
  </conditionalFormatting>
  <conditionalFormatting sqref="B7">
    <cfRule type="cellIs" dxfId="49" priority="57" operator="lessThan">
      <formula>0</formula>
    </cfRule>
  </conditionalFormatting>
  <conditionalFormatting sqref="B7">
    <cfRule type="cellIs" dxfId="48" priority="50" operator="greaterThan">
      <formula>0</formula>
    </cfRule>
  </conditionalFormatting>
  <conditionalFormatting sqref="B7">
    <cfRule type="cellIs" dxfId="47" priority="51" operator="lessThan">
      <formula>0</formula>
    </cfRule>
  </conditionalFormatting>
  <conditionalFormatting sqref="B7">
    <cfRule type="cellIs" dxfId="46" priority="52" operator="greaterThan">
      <formula>0</formula>
    </cfRule>
  </conditionalFormatting>
  <conditionalFormatting sqref="B7">
    <cfRule type="cellIs" dxfId="45" priority="53" operator="lessThan">
      <formula>0</formula>
    </cfRule>
  </conditionalFormatting>
  <conditionalFormatting sqref="B7">
    <cfRule type="cellIs" dxfId="44" priority="46" operator="greaterThan">
      <formula>0</formula>
    </cfRule>
  </conditionalFormatting>
  <conditionalFormatting sqref="B7">
    <cfRule type="cellIs" dxfId="43" priority="47" operator="lessThan">
      <formula>0</formula>
    </cfRule>
  </conditionalFormatting>
  <conditionalFormatting sqref="B7">
    <cfRule type="cellIs" dxfId="42" priority="48" operator="greaterThan">
      <formula>0</formula>
    </cfRule>
  </conditionalFormatting>
  <conditionalFormatting sqref="B7">
    <cfRule type="cellIs" dxfId="41" priority="49" operator="lessThan">
      <formula>0</formula>
    </cfRule>
  </conditionalFormatting>
  <conditionalFormatting sqref="B7">
    <cfRule type="cellIs" dxfId="40" priority="42" operator="greaterThan">
      <formula>0</formula>
    </cfRule>
  </conditionalFormatting>
  <conditionalFormatting sqref="B7">
    <cfRule type="cellIs" dxfId="39" priority="43" operator="lessThan">
      <formula>0</formula>
    </cfRule>
  </conditionalFormatting>
  <conditionalFormatting sqref="B7">
    <cfRule type="cellIs" dxfId="38" priority="44" operator="greaterThan">
      <formula>0</formula>
    </cfRule>
  </conditionalFormatting>
  <conditionalFormatting sqref="B7">
    <cfRule type="cellIs" dxfId="37" priority="45" operator="lessThan">
      <formula>0</formula>
    </cfRule>
  </conditionalFormatting>
  <conditionalFormatting sqref="B7">
    <cfRule type="cellIs" dxfId="36" priority="38" operator="greaterThan">
      <formula>0</formula>
    </cfRule>
  </conditionalFormatting>
  <conditionalFormatting sqref="B7">
    <cfRule type="cellIs" dxfId="35" priority="39" operator="lessThan">
      <formula>0</formula>
    </cfRule>
  </conditionalFormatting>
  <conditionalFormatting sqref="B7">
    <cfRule type="cellIs" dxfId="34" priority="40" operator="greaterThan">
      <formula>0</formula>
    </cfRule>
  </conditionalFormatting>
  <conditionalFormatting sqref="B7">
    <cfRule type="cellIs" dxfId="33" priority="41" operator="lessThan">
      <formula>0</formula>
    </cfRule>
  </conditionalFormatting>
  <conditionalFormatting sqref="B7">
    <cfRule type="cellIs" dxfId="32" priority="34" operator="greaterThan">
      <formula>0</formula>
    </cfRule>
  </conditionalFormatting>
  <conditionalFormatting sqref="B7">
    <cfRule type="cellIs" dxfId="31" priority="35" operator="lessThan">
      <formula>0</formula>
    </cfRule>
  </conditionalFormatting>
  <conditionalFormatting sqref="B7">
    <cfRule type="cellIs" dxfId="30" priority="36" operator="greaterThan">
      <formula>0</formula>
    </cfRule>
  </conditionalFormatting>
  <conditionalFormatting sqref="B7">
    <cfRule type="cellIs" dxfId="29" priority="37" operator="lessThan">
      <formula>0</formula>
    </cfRule>
  </conditionalFormatting>
  <conditionalFormatting sqref="B7">
    <cfRule type="cellIs" dxfId="28" priority="30" operator="greaterThan">
      <formula>0</formula>
    </cfRule>
  </conditionalFormatting>
  <conditionalFormatting sqref="B7">
    <cfRule type="cellIs" dxfId="27" priority="31" operator="lessThan">
      <formula>0</formula>
    </cfRule>
  </conditionalFormatting>
  <conditionalFormatting sqref="B7">
    <cfRule type="cellIs" dxfId="26" priority="32" operator="greaterThan">
      <formula>0</formula>
    </cfRule>
  </conditionalFormatting>
  <conditionalFormatting sqref="B7">
    <cfRule type="cellIs" dxfId="25" priority="33" operator="lessThan">
      <formula>0</formula>
    </cfRule>
  </conditionalFormatting>
  <conditionalFormatting sqref="B7">
    <cfRule type="cellIs" dxfId="24" priority="26" operator="greaterThan">
      <formula>0</formula>
    </cfRule>
  </conditionalFormatting>
  <conditionalFormatting sqref="B7">
    <cfRule type="cellIs" dxfId="23" priority="27" operator="lessThan">
      <formula>0</formula>
    </cfRule>
  </conditionalFormatting>
  <conditionalFormatting sqref="B7">
    <cfRule type="cellIs" dxfId="22" priority="28" operator="greaterThan">
      <formula>0</formula>
    </cfRule>
  </conditionalFormatting>
  <conditionalFormatting sqref="B7">
    <cfRule type="cellIs" dxfId="21" priority="29" operator="lessThan">
      <formula>0</formula>
    </cfRule>
  </conditionalFormatting>
  <conditionalFormatting sqref="B7">
    <cfRule type="cellIs" dxfId="20" priority="22" operator="greaterThan">
      <formula>0</formula>
    </cfRule>
  </conditionalFormatting>
  <conditionalFormatting sqref="B7">
    <cfRule type="cellIs" dxfId="19" priority="23" operator="lessThan">
      <formula>0</formula>
    </cfRule>
  </conditionalFormatting>
  <conditionalFormatting sqref="B7">
    <cfRule type="cellIs" dxfId="18" priority="24" operator="greaterThan">
      <formula>0</formula>
    </cfRule>
  </conditionalFormatting>
  <conditionalFormatting sqref="B7">
    <cfRule type="cellIs" dxfId="17" priority="25" operator="lessThan">
      <formula>0</formula>
    </cfRule>
  </conditionalFormatting>
  <conditionalFormatting sqref="AH3:AH42">
    <cfRule type="cellIs" dxfId="16" priority="21" operator="lessThan">
      <formula>0.01</formula>
    </cfRule>
  </conditionalFormatting>
  <conditionalFormatting sqref="V3:V42">
    <cfRule type="cellIs" dxfId="15" priority="20" operator="lessThan">
      <formula>0.01</formula>
    </cfRule>
  </conditionalFormatting>
  <conditionalFormatting sqref="AR3:AR42">
    <cfRule type="expression" dxfId="14" priority="19">
      <formula>$O$18-$U3&lt;0</formula>
    </cfRule>
  </conditionalFormatting>
  <conditionalFormatting sqref="AR3:AR42">
    <cfRule type="expression" dxfId="13" priority="18">
      <formula>$O$18-$U3&gt;0</formula>
    </cfRule>
  </conditionalFormatting>
  <conditionalFormatting sqref="AS3:AS42">
    <cfRule type="expression" dxfId="12" priority="17">
      <formula>$O$18-$U3&lt;0</formula>
    </cfRule>
  </conditionalFormatting>
  <conditionalFormatting sqref="AS3:AS42">
    <cfRule type="expression" dxfId="11" priority="16">
      <formula>$O$18-$U3&gt;0</formula>
    </cfRule>
  </conditionalFormatting>
  <conditionalFormatting sqref="AT3:AT42">
    <cfRule type="expression" dxfId="10" priority="15">
      <formula>$O$18-$U3&lt;0</formula>
    </cfRule>
  </conditionalFormatting>
  <conditionalFormatting sqref="AT3:AT42">
    <cfRule type="expression" dxfId="9" priority="14">
      <formula>$O$18-$U3&gt;0</formula>
    </cfRule>
  </conditionalFormatting>
  <conditionalFormatting sqref="T3:T42">
    <cfRule type="cellIs" dxfId="8" priority="13" operator="equal">
      <formula>0</formula>
    </cfRule>
  </conditionalFormatting>
  <conditionalFormatting sqref="AF3:AF42">
    <cfRule type="cellIs" dxfId="7" priority="12" operator="equal">
      <formula>0</formula>
    </cfRule>
  </conditionalFormatting>
  <conditionalFormatting sqref="AB3:AB42">
    <cfRule type="cellIs" dxfId="6" priority="9" operator="equal">
      <formula>0</formula>
    </cfRule>
  </conditionalFormatting>
  <conditionalFormatting sqref="AC3:AC42">
    <cfRule type="cellIs" dxfId="5" priority="8" operator="equal">
      <formula>0</formula>
    </cfRule>
  </conditionalFormatting>
  <conditionalFormatting sqref="AM3:AM42">
    <cfRule type="cellIs" dxfId="4" priority="4" operator="lessThan">
      <formula>AH3</formula>
    </cfRule>
    <cfRule type="cellIs" dxfId="3" priority="5" operator="equal">
      <formula>0</formula>
    </cfRule>
  </conditionalFormatting>
  <conditionalFormatting sqref="AK3:AL42">
    <cfRule type="cellIs" dxfId="2" priority="3" operator="equal">
      <formula>0</formula>
    </cfRule>
  </conditionalFormatting>
  <conditionalFormatting sqref="AN3:AN42">
    <cfRule type="cellIs" dxfId="1" priority="2" operator="equal">
      <formula>0</formula>
    </cfRule>
  </conditionalFormatting>
  <conditionalFormatting sqref="AO3:AO42">
    <cfRule type="cellIs" dxfId="0" priority="1" operator="equal">
      <formula>0</formula>
    </cfRule>
  </conditionalFormatting>
  <pageMargins left="0.7" right="0.7" top="0.75" bottom="0.75" header="0.3" footer="0.3"/>
  <pageSetup paperSize="9" orientation="portrait" horizontalDpi="0" verticalDpi="0" r:id="rId1"/>
  <ignoredErrors>
    <ignoredError sqref="N7 N12:N17 N19:N24" evalError="1"/>
  </ignoredErrors>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A20" sqref="A20"/>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19" t="str">
        <f>'epgb-ggal'!X5</f>
        <v>GFGC1640DI</v>
      </c>
      <c r="B2" s="20"/>
      <c r="C2" s="19"/>
      <c r="D2" s="20"/>
      <c r="E2" s="19" t="s">
        <v>335</v>
      </c>
      <c r="F2" s="20"/>
      <c r="G2" s="19"/>
      <c r="H2" s="20"/>
      <c r="I2" s="41"/>
      <c r="J2" s="20"/>
      <c r="K2" s="21"/>
      <c r="L2" s="20"/>
      <c r="M2" s="21"/>
      <c r="N2" s="18"/>
      <c r="O2"/>
      <c r="Q2" s="51"/>
    </row>
    <row r="3" spans="1:18" s="4" customFormat="1">
      <c r="A3" s="19" t="str">
        <f>'epgb-ggal'!X6</f>
        <v>GFGC17715D</v>
      </c>
      <c r="B3" s="20"/>
      <c r="C3" s="19"/>
      <c r="D3" s="20"/>
      <c r="E3" s="19" t="s">
        <v>336</v>
      </c>
      <c r="F3" s="20"/>
      <c r="G3" s="19"/>
      <c r="H3" s="20"/>
      <c r="I3" s="41"/>
      <c r="J3" s="20"/>
      <c r="K3" s="21"/>
      <c r="L3" s="20"/>
      <c r="M3" s="21"/>
      <c r="N3" s="18"/>
      <c r="O3"/>
      <c r="Q3" s="51"/>
    </row>
    <row r="4" spans="1:18" s="4" customFormat="1">
      <c r="A4" s="19" t="str">
        <f>'epgb-ggal'!X7</f>
        <v>GFGC18515D</v>
      </c>
      <c r="B4" s="20"/>
      <c r="C4" s="19"/>
      <c r="D4" s="20"/>
      <c r="E4" s="19" t="s">
        <v>615</v>
      </c>
      <c r="F4" s="20"/>
      <c r="G4" s="19"/>
      <c r="H4" s="20"/>
      <c r="I4" s="41"/>
      <c r="J4" s="20"/>
      <c r="K4" s="21"/>
      <c r="L4" s="20"/>
      <c r="M4" s="21"/>
      <c r="N4" s="18"/>
      <c r="O4"/>
      <c r="Q4" s="51"/>
    </row>
    <row r="5" spans="1:18" s="4" customFormat="1">
      <c r="A5" s="19" t="str">
        <f>'epgb-ggal'!X8</f>
        <v>GFGC19315D</v>
      </c>
      <c r="B5" s="20"/>
      <c r="C5" s="19"/>
      <c r="D5" s="20"/>
      <c r="E5" s="19" t="s">
        <v>616</v>
      </c>
      <c r="F5" s="20"/>
      <c r="G5" s="19"/>
      <c r="H5" s="20"/>
      <c r="I5" s="41"/>
      <c r="J5" s="20"/>
      <c r="K5" s="21"/>
      <c r="L5" s="20"/>
      <c r="M5" s="21"/>
      <c r="N5" s="18"/>
      <c r="O5"/>
      <c r="Q5" s="51"/>
    </row>
    <row r="6" spans="1:18" s="4" customFormat="1">
      <c r="A6" s="19" t="str">
        <f>'epgb-ggal'!X9</f>
        <v>GFGC2020DI</v>
      </c>
      <c r="B6" s="20"/>
      <c r="C6" s="19"/>
      <c r="D6" s="20"/>
      <c r="E6" s="19" t="s">
        <v>13</v>
      </c>
      <c r="F6" s="20"/>
      <c r="G6" s="19"/>
      <c r="H6" s="20"/>
      <c r="I6" s="41"/>
      <c r="J6" s="20"/>
      <c r="K6" s="21"/>
      <c r="L6" s="20"/>
      <c r="M6" s="21"/>
      <c r="N6" s="18"/>
      <c r="O6"/>
      <c r="Q6" s="51"/>
    </row>
    <row r="7" spans="1:18" s="4" customFormat="1">
      <c r="A7" s="311" t="str">
        <f>'epgb-ggal'!X10</f>
        <v>GFGC20915D</v>
      </c>
      <c r="B7" s="20"/>
      <c r="C7" s="19"/>
      <c r="D7" s="20"/>
      <c r="E7" s="19" t="s">
        <v>2</v>
      </c>
      <c r="F7" s="20"/>
      <c r="G7" s="19"/>
      <c r="H7" s="20"/>
      <c r="I7" s="41"/>
      <c r="J7" s="20"/>
      <c r="K7" s="21"/>
      <c r="L7" s="20"/>
      <c r="M7" s="21"/>
      <c r="N7" s="18"/>
      <c r="O7"/>
      <c r="Q7" s="51"/>
    </row>
    <row r="8" spans="1:18" s="4" customFormat="1">
      <c r="A8" s="19" t="str">
        <f>'epgb-ggal'!AJ5</f>
        <v>GFGV90152D</v>
      </c>
      <c r="B8" s="20"/>
      <c r="C8" s="19"/>
      <c r="D8" s="20"/>
      <c r="E8" s="19" t="s">
        <v>15</v>
      </c>
      <c r="F8" s="20"/>
      <c r="G8" s="19"/>
      <c r="H8" s="20"/>
      <c r="I8" s="41"/>
      <c r="J8" s="20"/>
      <c r="K8" s="21"/>
      <c r="L8" s="20"/>
      <c r="M8" s="21"/>
      <c r="N8" s="18"/>
      <c r="O8"/>
      <c r="Q8" s="51"/>
    </row>
    <row r="9" spans="1:18" s="4" customFormat="1">
      <c r="A9" s="19" t="str">
        <f>'epgb-ggal'!AJ6</f>
        <v>GFGV94152D</v>
      </c>
      <c r="B9" s="20"/>
      <c r="C9" s="19"/>
      <c r="D9" s="20"/>
      <c r="E9" s="19" t="s">
        <v>3</v>
      </c>
      <c r="F9" s="20"/>
      <c r="G9" s="19"/>
      <c r="H9" s="20"/>
      <c r="I9" s="41"/>
      <c r="J9" s="20"/>
      <c r="K9" s="21"/>
      <c r="L9" s="20"/>
      <c r="M9" s="21"/>
      <c r="N9" s="18"/>
      <c r="Q9" s="51"/>
    </row>
    <row r="10" spans="1:18" s="4" customFormat="1">
      <c r="A10" s="19" t="str">
        <f>'epgb-ggal'!AJ7</f>
        <v>GFGV990.DI</v>
      </c>
      <c r="B10" s="20"/>
      <c r="C10" s="19"/>
      <c r="D10" s="20"/>
      <c r="E10" s="19" t="s">
        <v>14</v>
      </c>
      <c r="F10" s="20"/>
      <c r="G10" s="19"/>
      <c r="H10" s="20"/>
      <c r="I10" s="41"/>
      <c r="J10" s="20"/>
      <c r="K10" s="21"/>
      <c r="L10" s="20"/>
      <c r="M10" s="21"/>
      <c r="N10" s="18"/>
      <c r="Q10" s="51"/>
    </row>
    <row r="11" spans="1:18" s="4" customFormat="1">
      <c r="A11" s="19" t="str">
        <f>'epgb-ggal'!AJ8</f>
        <v>GFGV1033DI</v>
      </c>
      <c r="B11" s="20"/>
      <c r="C11" s="19"/>
      <c r="D11" s="20"/>
      <c r="E11" s="19" t="s">
        <v>4</v>
      </c>
      <c r="F11" s="20"/>
      <c r="G11" s="19"/>
      <c r="H11" s="20"/>
      <c r="I11" s="41"/>
      <c r="J11" s="20"/>
      <c r="K11" s="21"/>
      <c r="L11" s="20"/>
      <c r="M11" s="21"/>
      <c r="N11" s="18"/>
      <c r="Q11" s="51"/>
    </row>
    <row r="12" spans="1:18" s="4" customFormat="1">
      <c r="A12" s="19" t="str">
        <f>'epgb-ggal'!AJ9</f>
        <v>GFGV10915D</v>
      </c>
      <c r="B12" s="20"/>
      <c r="C12" s="19"/>
      <c r="D12" s="20"/>
      <c r="E12" s="19" t="s">
        <v>16</v>
      </c>
      <c r="F12" s="20"/>
      <c r="G12" s="19"/>
      <c r="H12" s="20"/>
      <c r="I12" s="41"/>
      <c r="J12" s="20"/>
      <c r="K12" s="21"/>
      <c r="L12" s="20"/>
      <c r="M12" s="21"/>
      <c r="N12" s="18"/>
      <c r="Q12" s="51"/>
    </row>
    <row r="13" spans="1:18" s="4" customFormat="1">
      <c r="A13" s="19" t="str">
        <f>'epgb-ggal'!AJ10</f>
        <v>GFGV1150DI</v>
      </c>
      <c r="B13" s="20"/>
      <c r="C13" s="19"/>
      <c r="D13" s="20"/>
      <c r="E13" s="19" t="s">
        <v>5</v>
      </c>
      <c r="F13" s="20"/>
      <c r="G13" s="19"/>
      <c r="H13" s="20"/>
      <c r="I13" s="45"/>
      <c r="J13" s="20"/>
      <c r="K13" s="21"/>
      <c r="L13" s="20"/>
      <c r="M13" s="21"/>
      <c r="N13" s="18"/>
      <c r="Q13" s="51"/>
    </row>
    <row r="14" spans="1:18" s="4" customFormat="1">
      <c r="A14" s="19"/>
      <c r="B14" s="20"/>
      <c r="C14" s="19"/>
      <c r="D14" s="20"/>
      <c r="E14" s="19" t="s">
        <v>17</v>
      </c>
      <c r="F14" s="20"/>
      <c r="G14" s="19"/>
      <c r="H14" s="20"/>
      <c r="I14" s="21"/>
      <c r="J14" s="20"/>
      <c r="K14" s="21"/>
      <c r="L14" s="20"/>
      <c r="M14" s="21"/>
      <c r="N14" s="18"/>
      <c r="Q14" s="51"/>
    </row>
    <row r="15" spans="1:18" s="4" customFormat="1">
      <c r="A15" s="19"/>
      <c r="B15" s="20"/>
      <c r="C15" s="19"/>
      <c r="D15" s="20"/>
      <c r="E15" s="19" t="s">
        <v>6</v>
      </c>
      <c r="F15" s="20"/>
      <c r="G15" s="19"/>
      <c r="H15" s="20"/>
      <c r="I15" s="21"/>
      <c r="J15" s="20"/>
      <c r="K15" s="21"/>
      <c r="L15" s="20"/>
      <c r="M15" s="21"/>
      <c r="N15" s="18"/>
      <c r="Q15" s="51"/>
    </row>
    <row r="16" spans="1:18" s="4" customFormat="1">
      <c r="A16" s="19"/>
      <c r="B16" s="20"/>
      <c r="C16" s="19"/>
      <c r="D16" s="20"/>
      <c r="E16" s="19" t="s">
        <v>18</v>
      </c>
      <c r="F16" s="20"/>
      <c r="G16" s="19"/>
      <c r="H16" s="20"/>
      <c r="I16" s="21"/>
      <c r="J16" s="20"/>
      <c r="K16" s="21"/>
      <c r="L16" s="20"/>
      <c r="M16" s="21"/>
      <c r="N16" s="18"/>
      <c r="Q16" s="51"/>
    </row>
    <row r="17" spans="1:17" s="4" customFormat="1">
      <c r="A17" s="19"/>
      <c r="B17" s="20"/>
      <c r="C17" s="19"/>
      <c r="D17" s="20"/>
      <c r="E17" s="19" t="s">
        <v>7</v>
      </c>
      <c r="F17" s="20"/>
      <c r="G17" s="19"/>
      <c r="H17" s="20"/>
      <c r="I17" s="21"/>
      <c r="J17" s="20"/>
      <c r="K17" s="21"/>
      <c r="L17" s="20"/>
      <c r="M17" s="21"/>
      <c r="Q17" s="51"/>
    </row>
    <row r="18" spans="1:17" s="4" customFormat="1">
      <c r="A18" s="19"/>
      <c r="B18" s="20"/>
      <c r="C18" s="19"/>
      <c r="D18" s="20"/>
      <c r="E18" s="19" t="s">
        <v>549</v>
      </c>
      <c r="F18" s="20"/>
      <c r="G18" s="19"/>
      <c r="H18" s="20"/>
      <c r="I18" s="21"/>
      <c r="J18" s="20"/>
      <c r="K18" s="21"/>
      <c r="L18" s="20"/>
      <c r="M18" s="21"/>
      <c r="Q18" s="51"/>
    </row>
    <row r="19" spans="1:17" s="4" customFormat="1">
      <c r="A19" s="19"/>
      <c r="B19" s="20"/>
      <c r="C19" s="19"/>
      <c r="D19" s="20"/>
      <c r="E19" s="19" t="s">
        <v>550</v>
      </c>
      <c r="F19" s="20"/>
      <c r="G19" s="19"/>
      <c r="H19" s="20"/>
      <c r="I19" s="21"/>
      <c r="J19" s="20"/>
      <c r="K19" s="21"/>
      <c r="L19" s="20"/>
      <c r="M19" s="21"/>
      <c r="Q19" s="51"/>
    </row>
    <row r="20" spans="1:17" s="4" customFormat="1">
      <c r="A20" s="19"/>
      <c r="B20" s="20"/>
      <c r="C20" s="19"/>
      <c r="D20" s="20"/>
      <c r="E20" s="19" t="s">
        <v>551</v>
      </c>
      <c r="F20" s="20"/>
      <c r="G20" s="19"/>
      <c r="H20" s="20"/>
      <c r="I20" s="21"/>
      <c r="J20" s="20"/>
      <c r="K20" s="21"/>
      <c r="L20" s="20"/>
      <c r="M20" s="21"/>
      <c r="Q20" s="51"/>
    </row>
    <row r="21" spans="1:17" s="4" customFormat="1">
      <c r="A21" s="19"/>
      <c r="B21" s="20"/>
      <c r="C21" s="19"/>
      <c r="D21" s="20"/>
      <c r="E21" s="19" t="s">
        <v>552</v>
      </c>
      <c r="F21" s="20"/>
      <c r="G21" s="19"/>
      <c r="H21" s="20"/>
      <c r="I21" s="21"/>
      <c r="J21" s="20"/>
      <c r="K21" s="21"/>
      <c r="L21" s="20"/>
      <c r="M21" s="21"/>
      <c r="Q21" s="51"/>
    </row>
    <row r="22" spans="1:17" s="4" customFormat="1">
      <c r="A22" s="19"/>
      <c r="B22" s="20"/>
      <c r="C22" s="19"/>
      <c r="D22" s="20"/>
      <c r="E22" s="19" t="s">
        <v>553</v>
      </c>
      <c r="F22" s="20"/>
      <c r="G22" s="19"/>
      <c r="H22" s="20"/>
      <c r="I22" s="21"/>
      <c r="J22" s="20"/>
      <c r="K22" s="21"/>
      <c r="L22" s="20"/>
      <c r="M22" s="21"/>
      <c r="Q22" s="51"/>
    </row>
    <row r="23" spans="1:17" s="4" customFormat="1">
      <c r="A23" s="19"/>
      <c r="B23" s="20"/>
      <c r="C23" s="19"/>
      <c r="D23" s="20"/>
      <c r="E23" s="19" t="s">
        <v>554</v>
      </c>
      <c r="F23" s="20"/>
      <c r="G23" s="19"/>
      <c r="H23" s="20"/>
      <c r="I23" s="21"/>
      <c r="J23" s="20"/>
      <c r="K23" s="21"/>
      <c r="L23" s="20"/>
      <c r="M23" s="21"/>
      <c r="Q23" s="51"/>
    </row>
    <row r="24" spans="1:17" s="4" customFormat="1">
      <c r="A24" s="19"/>
      <c r="B24" s="20"/>
      <c r="C24" s="19"/>
      <c r="D24" s="20"/>
      <c r="E24" s="19" t="s">
        <v>624</v>
      </c>
      <c r="F24" s="20"/>
      <c r="G24" s="19"/>
      <c r="H24" s="20"/>
      <c r="I24" s="21"/>
      <c r="J24" s="20"/>
      <c r="K24" s="21"/>
      <c r="L24" s="20"/>
      <c r="M24" s="21"/>
      <c r="Q24" s="51"/>
    </row>
    <row r="25" spans="1:17" s="4" customFormat="1">
      <c r="A25" s="19"/>
      <c r="B25" s="20"/>
      <c r="C25" s="19"/>
      <c r="D25" s="20"/>
      <c r="E25" s="19" t="s">
        <v>625</v>
      </c>
      <c r="F25" s="20"/>
      <c r="G25" s="19"/>
      <c r="H25" s="20"/>
      <c r="I25" s="21"/>
      <c r="J25" s="20"/>
      <c r="K25" s="21"/>
      <c r="L25" s="20"/>
      <c r="M25" s="21"/>
      <c r="Q25" s="50"/>
    </row>
    <row r="26" spans="1:17" s="4" customFormat="1">
      <c r="A26" s="19"/>
      <c r="B26" s="20"/>
      <c r="C26" s="19"/>
      <c r="D26" s="20"/>
      <c r="E26" s="19" t="s">
        <v>626</v>
      </c>
      <c r="F26" s="20"/>
      <c r="G26" s="41"/>
      <c r="H26" s="20"/>
      <c r="I26" s="21"/>
      <c r="J26" s="20"/>
      <c r="K26" s="21"/>
      <c r="L26" s="20"/>
      <c r="M26" s="21"/>
      <c r="Q26" s="50"/>
    </row>
    <row r="27" spans="1:17" s="4" customFormat="1">
      <c r="A27" s="19"/>
      <c r="B27" s="20"/>
      <c r="C27" s="19"/>
      <c r="D27" s="20"/>
      <c r="E27" s="19" t="s">
        <v>627</v>
      </c>
      <c r="F27" s="20"/>
      <c r="G27" s="41"/>
      <c r="H27" s="20"/>
      <c r="I27" s="21"/>
      <c r="J27" s="20"/>
      <c r="K27" s="21"/>
      <c r="L27" s="20"/>
      <c r="M27" s="21"/>
      <c r="Q27" s="50"/>
    </row>
    <row r="28" spans="1:17" s="4" customFormat="1">
      <c r="A28" s="19"/>
      <c r="B28" s="20"/>
      <c r="C28" s="19"/>
      <c r="D28" s="20"/>
      <c r="E28" s="19" t="s">
        <v>628</v>
      </c>
      <c r="F28" s="20"/>
      <c r="G28" s="41"/>
      <c r="H28" s="20"/>
      <c r="I28" s="21"/>
      <c r="J28" s="20"/>
      <c r="K28" s="21"/>
      <c r="L28" s="20"/>
      <c r="M28" s="21"/>
      <c r="Q28" s="50"/>
    </row>
    <row r="29" spans="1:17" s="4" customFormat="1">
      <c r="A29" s="19"/>
      <c r="B29" s="20"/>
      <c r="C29" s="19"/>
      <c r="D29" s="20"/>
      <c r="E29" s="19" t="s">
        <v>629</v>
      </c>
      <c r="F29" s="20"/>
      <c r="G29" s="41"/>
      <c r="H29" s="20"/>
      <c r="I29" s="21"/>
      <c r="J29" s="20"/>
      <c r="K29" s="21"/>
      <c r="L29" s="20"/>
      <c r="M29" s="21"/>
      <c r="Q29" s="50"/>
    </row>
    <row r="30" spans="1:17" s="4" customFormat="1">
      <c r="A30" s="19"/>
      <c r="B30" s="20"/>
      <c r="C30" s="19"/>
      <c r="D30" s="20"/>
      <c r="E30" s="559" t="s">
        <v>609</v>
      </c>
      <c r="F30" s="20"/>
      <c r="G30" s="41"/>
      <c r="H30" s="20"/>
      <c r="I30" s="21"/>
      <c r="J30" s="20"/>
      <c r="K30" s="21"/>
      <c r="L30" s="20"/>
      <c r="M30" s="21"/>
      <c r="Q30" s="50"/>
    </row>
    <row r="31" spans="1:17" s="4" customFormat="1">
      <c r="A31" s="19"/>
      <c r="B31" s="20"/>
      <c r="C31" s="19"/>
      <c r="D31" s="20"/>
      <c r="E31" s="19" t="s">
        <v>610</v>
      </c>
      <c r="F31" s="20"/>
      <c r="G31" s="41"/>
      <c r="H31" s="20"/>
      <c r="I31" s="21"/>
      <c r="J31" s="20"/>
      <c r="K31" s="21"/>
      <c r="L31" s="20"/>
      <c r="M31" s="21"/>
      <c r="Q31" s="50"/>
    </row>
    <row r="32" spans="1:17" s="4" customFormat="1">
      <c r="A32" s="19"/>
      <c r="B32" s="20"/>
      <c r="C32" s="19"/>
      <c r="D32" s="20"/>
      <c r="E32" s="19" t="s">
        <v>611</v>
      </c>
      <c r="F32" s="20"/>
      <c r="G32" s="41"/>
      <c r="H32" s="20"/>
      <c r="I32" s="21"/>
      <c r="J32" s="20"/>
      <c r="K32" s="21"/>
      <c r="L32" s="20"/>
      <c r="M32" s="21"/>
      <c r="Q32" s="50"/>
    </row>
    <row r="33" spans="1:17" s="4" customFormat="1">
      <c r="A33" s="19"/>
      <c r="B33" s="20"/>
      <c r="C33" s="19"/>
      <c r="D33" s="20"/>
      <c r="E33" s="19" t="s">
        <v>612</v>
      </c>
      <c r="F33" s="20"/>
      <c r="G33" s="41"/>
      <c r="H33" s="20"/>
      <c r="I33" s="21"/>
      <c r="J33" s="20"/>
      <c r="K33" s="21"/>
      <c r="L33" s="20"/>
      <c r="M33" s="21"/>
      <c r="Q33" s="50"/>
    </row>
    <row r="34" spans="1:17" s="4" customFormat="1">
      <c r="A34" s="19"/>
      <c r="B34" s="20"/>
      <c r="C34" s="19"/>
      <c r="D34" s="20"/>
      <c r="E34" s="19" t="s">
        <v>613</v>
      </c>
      <c r="F34" s="20"/>
      <c r="G34" s="19"/>
      <c r="H34" s="20"/>
      <c r="I34" s="21"/>
      <c r="J34" s="20"/>
      <c r="K34" s="21"/>
      <c r="L34" s="20"/>
      <c r="M34" s="21"/>
      <c r="Q34" s="50"/>
    </row>
    <row r="35" spans="1:17" s="4" customFormat="1">
      <c r="A35" s="19"/>
      <c r="B35" s="20"/>
      <c r="C35" s="19"/>
      <c r="D35" s="20"/>
      <c r="E35" s="19" t="s">
        <v>614</v>
      </c>
      <c r="F35" s="20"/>
      <c r="G35" s="41"/>
      <c r="H35" s="20"/>
      <c r="I35" s="21"/>
      <c r="J35" s="20"/>
      <c r="K35" s="21"/>
      <c r="L35" s="20"/>
      <c r="M35" s="21"/>
      <c r="Q35" s="50"/>
    </row>
    <row r="36" spans="1:17" s="4" customFormat="1">
      <c r="A36" s="19"/>
      <c r="B36" s="20"/>
      <c r="C36" s="19"/>
      <c r="D36" s="20"/>
      <c r="E36" s="19" t="s">
        <v>617</v>
      </c>
      <c r="F36" s="20"/>
      <c r="G36" s="41"/>
      <c r="H36" s="20"/>
      <c r="I36" s="21"/>
      <c r="J36" s="20"/>
      <c r="K36" s="21"/>
      <c r="L36" s="20"/>
      <c r="M36" s="21"/>
      <c r="Q36" s="50"/>
    </row>
    <row r="37" spans="1:17" s="4" customFormat="1">
      <c r="A37" s="19"/>
      <c r="B37" s="20"/>
      <c r="C37" s="19"/>
      <c r="D37" s="20"/>
      <c r="E37" s="19" t="s">
        <v>618</v>
      </c>
      <c r="F37" s="20"/>
      <c r="G37" s="19"/>
      <c r="H37" s="20"/>
      <c r="I37" s="21"/>
      <c r="J37" s="20"/>
      <c r="K37" s="21"/>
      <c r="L37" s="20"/>
      <c r="M37" s="21"/>
      <c r="Q37" s="50"/>
    </row>
    <row r="38" spans="1:17" s="4" customFormat="1">
      <c r="A38" s="19"/>
      <c r="B38" s="20"/>
      <c r="C38" s="19"/>
      <c r="D38" s="20"/>
      <c r="E38" s="19" t="s">
        <v>619</v>
      </c>
      <c r="F38" s="20"/>
      <c r="G38" s="19"/>
      <c r="H38" s="20"/>
      <c r="I38" s="21"/>
      <c r="J38" s="20"/>
      <c r="K38" s="21"/>
      <c r="L38" s="20"/>
      <c r="M38" s="21"/>
      <c r="Q38" s="50"/>
    </row>
    <row r="39" spans="1:17" s="4" customFormat="1">
      <c r="A39" s="19"/>
      <c r="B39" s="20"/>
      <c r="C39" s="19"/>
      <c r="D39" s="20"/>
      <c r="E39" s="19" t="s">
        <v>620</v>
      </c>
      <c r="F39" s="20"/>
      <c r="G39" s="19"/>
      <c r="H39" s="20"/>
      <c r="I39" s="21"/>
      <c r="J39" s="20"/>
      <c r="K39" s="21"/>
      <c r="L39" s="20"/>
      <c r="M39" s="21"/>
      <c r="Q39" s="50"/>
    </row>
    <row r="40" spans="1:17" s="4" customFormat="1">
      <c r="A40" s="19"/>
      <c r="B40" s="20"/>
      <c r="C40" s="19"/>
      <c r="D40" s="20"/>
      <c r="E40" s="19" t="s">
        <v>621</v>
      </c>
      <c r="F40" s="20"/>
      <c r="G40" s="19"/>
      <c r="H40" s="20"/>
      <c r="I40" s="21"/>
      <c r="J40" s="20"/>
      <c r="K40" s="21"/>
      <c r="L40" s="20"/>
      <c r="M40" s="21"/>
      <c r="Q40" s="50"/>
    </row>
    <row r="41" spans="1:17" s="4" customFormat="1">
      <c r="A41" s="19"/>
      <c r="B41" s="20"/>
      <c r="C41" s="19"/>
      <c r="D41" s="20"/>
      <c r="E41" s="19" t="s">
        <v>622</v>
      </c>
      <c r="F41" s="20"/>
      <c r="G41" s="19"/>
      <c r="H41" s="20"/>
      <c r="I41" s="21"/>
      <c r="J41" s="20"/>
      <c r="K41" s="21"/>
      <c r="L41" s="20"/>
      <c r="M41" s="21"/>
      <c r="Q41" s="50"/>
    </row>
    <row r="42" spans="1:17" s="4" customFormat="1">
      <c r="A42" s="19"/>
      <c r="B42" s="20"/>
      <c r="C42" s="19"/>
      <c r="D42" s="20"/>
      <c r="E42" s="19" t="s">
        <v>543</v>
      </c>
      <c r="F42" s="20"/>
      <c r="G42" s="19"/>
      <c r="H42" s="20"/>
      <c r="I42" s="21"/>
      <c r="J42" s="20"/>
      <c r="K42" s="21"/>
      <c r="L42" s="20"/>
      <c r="M42" s="21"/>
      <c r="Q42" s="50"/>
    </row>
    <row r="43" spans="1:17" s="4" customFormat="1">
      <c r="A43" s="19"/>
      <c r="B43" s="20"/>
      <c r="C43" s="19"/>
      <c r="D43" s="20"/>
      <c r="E43" s="19" t="s">
        <v>544</v>
      </c>
      <c r="F43" s="20"/>
      <c r="G43" s="19"/>
      <c r="H43" s="20"/>
      <c r="I43" s="21"/>
      <c r="J43" s="20"/>
      <c r="K43" s="21"/>
      <c r="L43" s="20"/>
      <c r="M43" s="21"/>
      <c r="Q43" s="50"/>
    </row>
    <row r="44" spans="1:17" s="4" customFormat="1">
      <c r="A44" s="19"/>
      <c r="B44" s="20"/>
      <c r="C44" s="19"/>
      <c r="D44" s="20"/>
      <c r="E44" s="19" t="s">
        <v>545</v>
      </c>
      <c r="F44" s="20"/>
      <c r="G44" s="19"/>
      <c r="H44" s="20"/>
      <c r="I44" s="21"/>
      <c r="J44" s="20"/>
      <c r="K44" s="21"/>
      <c r="L44" s="20"/>
      <c r="M44" s="21"/>
      <c r="Q44" s="50"/>
    </row>
    <row r="45" spans="1:17" s="4" customFormat="1">
      <c r="A45" s="19"/>
      <c r="B45" s="20"/>
      <c r="C45" s="19"/>
      <c r="D45" s="20"/>
      <c r="E45" s="19" t="s">
        <v>546</v>
      </c>
      <c r="F45" s="20"/>
      <c r="G45" s="19"/>
      <c r="H45" s="20"/>
      <c r="I45" s="21"/>
      <c r="J45" s="20"/>
      <c r="K45" s="21"/>
      <c r="L45" s="20"/>
      <c r="M45" s="21"/>
      <c r="Q45" s="50"/>
    </row>
    <row r="46" spans="1:17" s="4" customFormat="1">
      <c r="A46" s="19"/>
      <c r="B46" s="20"/>
      <c r="C46" s="19"/>
      <c r="D46" s="20"/>
      <c r="E46" s="19" t="s">
        <v>547</v>
      </c>
      <c r="F46" s="20"/>
      <c r="G46" s="19"/>
      <c r="H46" s="20"/>
      <c r="I46" s="21"/>
      <c r="J46" s="20"/>
      <c r="K46" s="21"/>
      <c r="L46" s="20"/>
      <c r="M46" s="21"/>
      <c r="Q46" s="50"/>
    </row>
    <row r="47" spans="1:17" s="4" customFormat="1">
      <c r="A47" s="19"/>
      <c r="B47" s="20"/>
      <c r="C47" s="19"/>
      <c r="D47" s="20"/>
      <c r="E47" s="19" t="s">
        <v>548</v>
      </c>
      <c r="F47" s="20"/>
      <c r="G47" s="19"/>
      <c r="H47" s="20"/>
      <c r="I47" s="21"/>
      <c r="J47" s="20"/>
      <c r="K47" s="21"/>
      <c r="L47" s="20"/>
      <c r="M47" s="21"/>
      <c r="Q47" s="50"/>
    </row>
    <row r="48" spans="1:17" s="4" customFormat="1">
      <c r="A48" s="19"/>
      <c r="B48" s="20"/>
      <c r="C48" s="19"/>
      <c r="D48" s="20"/>
      <c r="E48" s="19" t="s">
        <v>588</v>
      </c>
      <c r="F48" s="20"/>
      <c r="G48" s="19"/>
      <c r="H48" s="20"/>
      <c r="I48" s="21"/>
      <c r="J48" s="20"/>
      <c r="K48" s="21"/>
      <c r="L48" s="20"/>
      <c r="M48" s="21"/>
      <c r="Q48" s="50"/>
    </row>
    <row r="49" spans="1:17" s="4" customFormat="1">
      <c r="A49" s="19"/>
      <c r="B49" s="20"/>
      <c r="C49" s="19"/>
      <c r="D49" s="20"/>
      <c r="E49" s="19" t="s">
        <v>183</v>
      </c>
      <c r="F49" s="20"/>
      <c r="G49" s="19"/>
      <c r="H49" s="20"/>
      <c r="I49" s="21"/>
      <c r="J49" s="20"/>
      <c r="K49" s="21"/>
      <c r="L49" s="20"/>
      <c r="M49" s="21"/>
      <c r="N49" s="18"/>
      <c r="Q49" s="50"/>
    </row>
    <row r="50" spans="1:17" s="4" customFormat="1">
      <c r="A50" s="19"/>
      <c r="B50" s="20"/>
      <c r="C50" s="19"/>
      <c r="D50" s="20"/>
      <c r="E50" s="19" t="s">
        <v>589</v>
      </c>
      <c r="F50" s="20"/>
      <c r="G50" s="19"/>
      <c r="H50" s="20"/>
      <c r="I50" s="21"/>
      <c r="J50" s="20"/>
      <c r="K50" s="21"/>
      <c r="L50" s="20"/>
      <c r="M50" s="21"/>
      <c r="N50" s="18"/>
      <c r="Q50" s="50"/>
    </row>
    <row r="51" spans="1:17" s="4" customFormat="1">
      <c r="A51" s="19"/>
      <c r="B51" s="20"/>
      <c r="C51" s="19"/>
      <c r="D51" s="20"/>
      <c r="E51" s="19" t="s">
        <v>230</v>
      </c>
      <c r="F51" s="20"/>
      <c r="G51" s="19"/>
      <c r="H51" s="20"/>
      <c r="I51" s="21"/>
      <c r="J51" s="20"/>
      <c r="K51" s="21"/>
      <c r="L51" s="20"/>
      <c r="M51" s="21"/>
      <c r="N51" s="18"/>
      <c r="Q51" s="50"/>
    </row>
    <row r="52" spans="1:17" s="4" customFormat="1">
      <c r="A52" s="19"/>
      <c r="B52" s="20"/>
      <c r="C52" s="19"/>
      <c r="D52" s="20"/>
      <c r="E52" s="19" t="s">
        <v>590</v>
      </c>
      <c r="F52" s="20"/>
      <c r="G52" s="19"/>
      <c r="H52" s="20"/>
      <c r="I52" s="21"/>
      <c r="J52" s="20"/>
      <c r="K52" s="21"/>
      <c r="L52" s="20"/>
      <c r="M52" s="21"/>
      <c r="N52" s="18"/>
      <c r="Q52" s="50"/>
    </row>
    <row r="53" spans="1:17" s="4" customFormat="1">
      <c r="A53" s="19"/>
      <c r="B53" s="20"/>
      <c r="C53" s="19"/>
      <c r="D53" s="20"/>
      <c r="E53" s="19" t="s">
        <v>231</v>
      </c>
      <c r="F53" s="20"/>
      <c r="G53" s="19"/>
      <c r="H53" s="20"/>
      <c r="I53" s="21"/>
      <c r="J53" s="20"/>
      <c r="K53" s="21"/>
      <c r="L53" s="20"/>
      <c r="M53" s="21"/>
      <c r="N53" s="18"/>
      <c r="Q53" s="50"/>
    </row>
    <row r="54" spans="1:17" s="4" customFormat="1">
      <c r="A54" s="19"/>
      <c r="B54" s="20"/>
      <c r="C54" s="19"/>
      <c r="D54" s="20"/>
      <c r="E54" s="19" t="s">
        <v>582</v>
      </c>
      <c r="F54" s="20"/>
      <c r="G54" s="19"/>
      <c r="H54" s="20"/>
      <c r="I54" s="21"/>
      <c r="J54" s="20"/>
      <c r="K54" s="21"/>
      <c r="L54" s="20"/>
      <c r="M54" s="21"/>
      <c r="N54" s="18"/>
      <c r="Q54" s="50"/>
    </row>
    <row r="55" spans="1:17" s="4" customFormat="1">
      <c r="A55" s="19"/>
      <c r="B55" s="20"/>
      <c r="C55" s="19"/>
      <c r="D55" s="20"/>
      <c r="E55" s="19" t="s">
        <v>186</v>
      </c>
      <c r="F55" s="20"/>
      <c r="G55" s="19"/>
      <c r="H55" s="20"/>
      <c r="I55" s="21"/>
      <c r="J55" s="20"/>
      <c r="K55" s="21"/>
      <c r="L55" s="20"/>
      <c r="M55" s="21"/>
      <c r="N55" s="18"/>
      <c r="Q55" s="50"/>
    </row>
    <row r="56" spans="1:17" s="4" customFormat="1">
      <c r="A56" s="19"/>
      <c r="B56" s="20"/>
      <c r="C56" s="19"/>
      <c r="D56" s="20"/>
      <c r="E56" s="19" t="s">
        <v>583</v>
      </c>
      <c r="F56" s="20"/>
      <c r="G56" s="19"/>
      <c r="H56" s="20"/>
      <c r="I56" s="21"/>
      <c r="J56" s="20"/>
      <c r="K56" s="21"/>
      <c r="L56" s="20"/>
      <c r="M56" s="21"/>
      <c r="N56" s="18"/>
      <c r="Q56" s="50"/>
    </row>
    <row r="57" spans="1:17" s="4" customFormat="1">
      <c r="A57" s="19"/>
      <c r="B57" s="20"/>
      <c r="C57" s="19"/>
      <c r="D57" s="20"/>
      <c r="E57" s="19" t="s">
        <v>238</v>
      </c>
      <c r="F57" s="20"/>
      <c r="G57" s="19"/>
      <c r="H57" s="20"/>
      <c r="I57" s="21"/>
      <c r="J57" s="20"/>
      <c r="K57" s="21"/>
      <c r="L57" s="20"/>
      <c r="M57" s="21"/>
      <c r="N57" s="18"/>
      <c r="Q57" s="50"/>
    </row>
    <row r="58" spans="1:17" s="4" customFormat="1">
      <c r="A58" s="19"/>
      <c r="B58" s="20"/>
      <c r="C58" s="19"/>
      <c r="D58" s="20"/>
      <c r="E58" s="19" t="s">
        <v>584</v>
      </c>
      <c r="F58" s="20"/>
      <c r="G58" s="19"/>
      <c r="H58" s="20"/>
      <c r="I58" s="21"/>
      <c r="J58" s="20"/>
      <c r="K58" s="21"/>
      <c r="L58" s="20"/>
      <c r="M58" s="21"/>
      <c r="N58" s="18"/>
      <c r="Q58" s="50"/>
    </row>
    <row r="59" spans="1:17" s="4" customFormat="1">
      <c r="A59" s="19"/>
      <c r="B59" s="20"/>
      <c r="C59" s="19"/>
      <c r="D59" s="20"/>
      <c r="E59" s="19" t="s">
        <v>239</v>
      </c>
      <c r="F59" s="20"/>
      <c r="G59" s="19"/>
      <c r="H59" s="20"/>
      <c r="I59" s="21"/>
      <c r="J59" s="20"/>
      <c r="K59" s="21"/>
      <c r="L59" s="20"/>
      <c r="M59" s="21"/>
      <c r="N59" s="18"/>
      <c r="Q59" s="50"/>
    </row>
    <row r="60" spans="1:17" s="4" customFormat="1">
      <c r="A60" s="19"/>
      <c r="B60" s="20"/>
      <c r="C60" s="19"/>
      <c r="D60" s="20"/>
      <c r="E60" s="19" t="s">
        <v>585</v>
      </c>
      <c r="F60" s="20"/>
      <c r="G60" s="19"/>
      <c r="H60" s="20"/>
      <c r="I60" s="21"/>
      <c r="J60" s="20"/>
      <c r="K60" s="21"/>
      <c r="L60" s="20"/>
      <c r="M60" s="21"/>
      <c r="N60" s="18"/>
      <c r="Q60" s="50"/>
    </row>
    <row r="61" spans="1:17" s="4" customFormat="1">
      <c r="A61" s="19"/>
      <c r="B61" s="20"/>
      <c r="C61" s="19"/>
      <c r="D61" s="20"/>
      <c r="E61" s="19" t="s">
        <v>184</v>
      </c>
      <c r="F61" s="20"/>
      <c r="G61" s="19"/>
      <c r="H61" s="20"/>
      <c r="I61" s="21"/>
      <c r="J61" s="20"/>
      <c r="K61" s="21"/>
      <c r="L61" s="20"/>
      <c r="M61" s="21"/>
      <c r="N61" s="18"/>
      <c r="Q61" s="50"/>
    </row>
    <row r="62" spans="1:17" s="4" customFormat="1">
      <c r="A62" s="19"/>
      <c r="B62" s="20"/>
      <c r="C62" s="19"/>
      <c r="D62" s="20"/>
      <c r="E62" s="19" t="s">
        <v>586</v>
      </c>
      <c r="F62" s="20"/>
      <c r="G62" s="21"/>
      <c r="H62" s="20"/>
      <c r="I62" s="21"/>
      <c r="J62" s="20"/>
      <c r="K62" s="21"/>
      <c r="L62" s="20"/>
      <c r="M62" s="21"/>
      <c r="N62" s="18"/>
      <c r="Q62" s="50"/>
    </row>
    <row r="63" spans="1:17" s="4" customFormat="1">
      <c r="A63" s="19"/>
      <c r="B63" s="20"/>
      <c r="C63" s="19"/>
      <c r="D63" s="20"/>
      <c r="E63" s="19" t="s">
        <v>240</v>
      </c>
      <c r="F63" s="20"/>
      <c r="G63" s="21"/>
      <c r="H63" s="20"/>
      <c r="I63" s="21"/>
      <c r="J63" s="20"/>
      <c r="K63" s="21"/>
      <c r="L63" s="20"/>
      <c r="M63" s="21"/>
      <c r="N63" s="18"/>
      <c r="Q63" s="50"/>
    </row>
    <row r="64" spans="1:17" s="4" customFormat="1">
      <c r="A64" s="19"/>
      <c r="B64" s="20"/>
      <c r="C64" s="19"/>
      <c r="D64" s="20"/>
      <c r="E64" s="19" t="s">
        <v>587</v>
      </c>
      <c r="F64" s="20"/>
      <c r="G64" s="21"/>
      <c r="H64" s="20"/>
      <c r="I64" s="21"/>
      <c r="J64" s="20"/>
      <c r="K64" s="21"/>
      <c r="L64" s="20"/>
      <c r="M64" s="21"/>
      <c r="N64" s="18"/>
      <c r="Q64" s="50"/>
    </row>
    <row r="65" spans="1:17" s="4" customFormat="1">
      <c r="A65" s="19"/>
      <c r="B65" s="20"/>
      <c r="C65" s="19"/>
      <c r="D65" s="20"/>
      <c r="E65" s="19" t="s">
        <v>241</v>
      </c>
      <c r="F65" s="20"/>
      <c r="G65" s="21"/>
      <c r="H65" s="20"/>
      <c r="I65" s="21"/>
      <c r="J65" s="20"/>
      <c r="K65" s="21"/>
      <c r="L65" s="20"/>
      <c r="M65" s="21"/>
      <c r="Q65" s="50"/>
    </row>
    <row r="66" spans="1:17" s="4" customFormat="1">
      <c r="A66" s="19"/>
      <c r="B66" s="20"/>
      <c r="C66" s="19"/>
      <c r="D66" s="20"/>
      <c r="E66" s="19" t="s">
        <v>591</v>
      </c>
      <c r="F66" s="20"/>
      <c r="G66" s="21"/>
      <c r="H66" s="20"/>
      <c r="I66" s="21"/>
      <c r="J66" s="20"/>
      <c r="K66" s="21"/>
      <c r="L66" s="20"/>
      <c r="M66" s="21"/>
      <c r="Q66" s="50"/>
    </row>
    <row r="67" spans="1:17" s="4" customFormat="1">
      <c r="A67" s="19"/>
      <c r="B67" s="20"/>
      <c r="C67" s="19"/>
      <c r="D67" s="20"/>
      <c r="E67" s="19" t="s">
        <v>185</v>
      </c>
      <c r="F67" s="20"/>
      <c r="G67" s="21"/>
      <c r="H67" s="20"/>
      <c r="I67" s="21"/>
      <c r="J67" s="20"/>
      <c r="K67" s="21"/>
      <c r="L67" s="20"/>
      <c r="M67" s="21"/>
      <c r="Q67" s="50"/>
    </row>
    <row r="68" spans="1:17" s="4" customFormat="1">
      <c r="A68" s="19"/>
      <c r="B68" s="20"/>
      <c r="C68" s="19"/>
      <c r="D68" s="20"/>
      <c r="E68" s="19" t="s">
        <v>592</v>
      </c>
      <c r="F68" s="20"/>
      <c r="G68" s="21"/>
      <c r="H68" s="20"/>
      <c r="I68" s="21"/>
      <c r="J68" s="20"/>
      <c r="K68" s="21"/>
      <c r="L68" s="20"/>
      <c r="M68" s="21"/>
      <c r="Q68" s="50"/>
    </row>
    <row r="69" spans="1:17" s="4" customFormat="1">
      <c r="A69" s="19"/>
      <c r="B69" s="20"/>
      <c r="C69" s="19"/>
      <c r="D69" s="20"/>
      <c r="E69" s="19" t="s">
        <v>242</v>
      </c>
      <c r="F69" s="20"/>
      <c r="G69" s="21"/>
      <c r="H69" s="20"/>
      <c r="I69" s="21"/>
      <c r="J69" s="20"/>
      <c r="K69" s="21"/>
      <c r="L69" s="20"/>
      <c r="M69" s="21"/>
      <c r="Q69" s="50"/>
    </row>
    <row r="70" spans="1:17" s="4" customFormat="1">
      <c r="A70" s="19"/>
      <c r="B70" s="20"/>
      <c r="C70" s="19"/>
      <c r="D70" s="20"/>
      <c r="E70" s="19" t="s">
        <v>593</v>
      </c>
      <c r="F70" s="20"/>
      <c r="G70" s="21"/>
      <c r="H70" s="20"/>
      <c r="I70" s="21"/>
      <c r="J70" s="20"/>
      <c r="K70" s="21"/>
      <c r="L70" s="20"/>
      <c r="M70" s="21"/>
      <c r="Q70" s="50"/>
    </row>
    <row r="71" spans="1:17" s="4" customFormat="1">
      <c r="A71" s="19"/>
      <c r="B71" s="20"/>
      <c r="C71" s="19"/>
      <c r="D71" s="20"/>
      <c r="E71" s="19" t="s">
        <v>243</v>
      </c>
      <c r="F71" s="20"/>
      <c r="G71" s="21"/>
      <c r="H71" s="20"/>
      <c r="I71" s="21"/>
      <c r="J71" s="20"/>
      <c r="K71" s="21"/>
      <c r="L71" s="20"/>
      <c r="M71" s="21"/>
      <c r="Q71" s="50"/>
    </row>
    <row r="72" spans="1:17" s="4" customFormat="1">
      <c r="A72" s="19"/>
      <c r="B72" s="20"/>
      <c r="C72" s="19"/>
      <c r="D72" s="20"/>
      <c r="E72" s="19" t="s">
        <v>594</v>
      </c>
      <c r="F72" s="20"/>
      <c r="G72" s="21"/>
      <c r="H72" s="20"/>
      <c r="I72" s="21"/>
      <c r="J72" s="20"/>
      <c r="K72" s="21"/>
      <c r="L72" s="20"/>
      <c r="M72" s="21"/>
      <c r="Q72" s="50"/>
    </row>
    <row r="73" spans="1:17" s="4" customFormat="1">
      <c r="A73" s="19"/>
      <c r="B73" s="20"/>
      <c r="C73" s="19"/>
      <c r="D73" s="20"/>
      <c r="E73" s="19" t="s">
        <v>187</v>
      </c>
      <c r="F73" s="20"/>
      <c r="G73" s="21"/>
      <c r="H73" s="20"/>
      <c r="I73" s="21"/>
      <c r="J73" s="20"/>
      <c r="K73" s="21"/>
      <c r="L73" s="20"/>
      <c r="M73" s="21"/>
      <c r="Q73" s="50"/>
    </row>
    <row r="74" spans="1:17" s="4" customFormat="1">
      <c r="A74" s="19"/>
      <c r="B74" s="20"/>
      <c r="C74" s="19"/>
      <c r="D74" s="20"/>
      <c r="E74" s="19" t="s">
        <v>595</v>
      </c>
      <c r="F74" s="20"/>
      <c r="G74" s="21"/>
      <c r="H74" s="20"/>
      <c r="I74" s="21"/>
      <c r="J74" s="20"/>
      <c r="K74" s="21"/>
      <c r="L74" s="20"/>
      <c r="M74" s="21"/>
      <c r="Q74" s="50"/>
    </row>
    <row r="75" spans="1:17" s="4" customFormat="1">
      <c r="A75" s="19"/>
      <c r="B75" s="20"/>
      <c r="C75" s="19"/>
      <c r="D75" s="20"/>
      <c r="E75" s="19" t="s">
        <v>232</v>
      </c>
      <c r="F75" s="20"/>
      <c r="G75" s="21"/>
      <c r="H75" s="20"/>
      <c r="I75" s="21"/>
      <c r="J75" s="20"/>
      <c r="K75" s="21"/>
      <c r="L75" s="20"/>
      <c r="M75" s="21"/>
      <c r="Q75" s="50"/>
    </row>
    <row r="76" spans="1:17" s="4" customFormat="1">
      <c r="A76" s="19"/>
      <c r="B76" s="20"/>
      <c r="C76" s="19"/>
      <c r="D76" s="20"/>
      <c r="E76" s="19" t="s">
        <v>596</v>
      </c>
      <c r="F76" s="20"/>
      <c r="G76" s="21"/>
      <c r="H76" s="20"/>
      <c r="I76" s="21"/>
      <c r="J76" s="20"/>
      <c r="K76" s="21"/>
      <c r="L76" s="20"/>
      <c r="M76" s="21"/>
      <c r="Q76" s="50"/>
    </row>
    <row r="77" spans="1:17" s="4" customFormat="1">
      <c r="A77" s="19"/>
      <c r="B77" s="20"/>
      <c r="C77" s="19"/>
      <c r="D77" s="20"/>
      <c r="E77" s="19" t="s">
        <v>233</v>
      </c>
      <c r="F77" s="20"/>
      <c r="G77" s="21"/>
      <c r="H77" s="20"/>
      <c r="I77" s="21"/>
      <c r="J77" s="20"/>
      <c r="K77" s="21"/>
      <c r="L77" s="20"/>
      <c r="M77" s="21"/>
      <c r="Q77" s="50"/>
    </row>
    <row r="78" spans="1:17" s="4" customFormat="1">
      <c r="A78" s="19"/>
      <c r="B78" s="20"/>
      <c r="C78" s="19"/>
      <c r="D78" s="20"/>
      <c r="E78" s="19" t="s">
        <v>597</v>
      </c>
      <c r="F78" s="20"/>
      <c r="G78" s="21"/>
      <c r="H78" s="20"/>
      <c r="I78" s="21"/>
      <c r="J78" s="20"/>
      <c r="K78" s="21"/>
      <c r="L78" s="20"/>
      <c r="M78" s="21"/>
      <c r="Q78" s="50"/>
    </row>
    <row r="79" spans="1:17" s="4" customFormat="1">
      <c r="A79" s="19"/>
      <c r="B79" s="20"/>
      <c r="C79" s="19"/>
      <c r="D79" s="20"/>
      <c r="E79" s="19" t="s">
        <v>164</v>
      </c>
      <c r="F79" s="20"/>
      <c r="G79" s="21"/>
      <c r="H79" s="20"/>
      <c r="I79" s="21"/>
      <c r="J79" s="20"/>
      <c r="K79" s="21"/>
      <c r="L79" s="20"/>
      <c r="M79" s="21"/>
      <c r="Q79" s="50"/>
    </row>
    <row r="80" spans="1:17" s="4" customFormat="1">
      <c r="A80" s="19"/>
      <c r="B80" s="20"/>
      <c r="C80" s="19"/>
      <c r="D80" s="20"/>
      <c r="E80" s="19" t="s">
        <v>598</v>
      </c>
      <c r="F80" s="20"/>
      <c r="G80" s="21"/>
      <c r="H80" s="20"/>
      <c r="I80" s="21"/>
      <c r="J80" s="20"/>
      <c r="K80" s="21"/>
      <c r="L80" s="20"/>
      <c r="M80" s="21"/>
      <c r="Q80" s="50"/>
    </row>
    <row r="81" spans="1:17" s="4" customFormat="1">
      <c r="A81" s="19"/>
      <c r="B81" s="20"/>
      <c r="C81" s="19"/>
      <c r="D81" s="20"/>
      <c r="E81" s="19" t="s">
        <v>220</v>
      </c>
      <c r="F81" s="20"/>
      <c r="G81" s="21"/>
      <c r="H81" s="20"/>
      <c r="I81" s="21"/>
      <c r="J81" s="20"/>
      <c r="K81" s="21"/>
      <c r="L81" s="20"/>
      <c r="M81" s="21"/>
      <c r="Q81" s="50"/>
    </row>
    <row r="82" spans="1:17" s="4" customFormat="1">
      <c r="A82" s="19"/>
      <c r="B82" s="20"/>
      <c r="C82" s="19"/>
      <c r="D82" s="20"/>
      <c r="E82" s="19" t="s">
        <v>599</v>
      </c>
      <c r="F82" s="20"/>
      <c r="G82" s="21"/>
      <c r="H82" s="20"/>
      <c r="I82" s="21"/>
      <c r="J82" s="20"/>
      <c r="K82" s="21"/>
      <c r="L82" s="20"/>
      <c r="M82" s="21"/>
    </row>
    <row r="83" spans="1:17" s="4" customFormat="1">
      <c r="A83" s="19"/>
      <c r="B83" s="20"/>
      <c r="C83" s="19"/>
      <c r="D83" s="20"/>
      <c r="E83" s="19" t="s">
        <v>221</v>
      </c>
      <c r="F83" s="20"/>
      <c r="G83" s="21"/>
      <c r="H83" s="20"/>
      <c r="I83" s="21"/>
      <c r="J83" s="20"/>
      <c r="K83" s="21"/>
      <c r="L83" s="20"/>
      <c r="M83" s="21"/>
    </row>
    <row r="84" spans="1:17" s="4" customFormat="1">
      <c r="A84" s="19"/>
      <c r="B84" s="20"/>
      <c r="C84" s="19"/>
      <c r="D84" s="20"/>
      <c r="E84" s="19" t="s">
        <v>603</v>
      </c>
      <c r="F84" s="20"/>
      <c r="G84" s="21"/>
      <c r="H84" s="20"/>
      <c r="I84" s="21"/>
      <c r="J84" s="20"/>
      <c r="K84" s="21"/>
      <c r="L84" s="20"/>
      <c r="M84" s="21"/>
    </row>
    <row r="85" spans="1:17" s="4" customFormat="1">
      <c r="A85" s="19"/>
      <c r="B85" s="20"/>
      <c r="C85" s="19"/>
      <c r="D85" s="20"/>
      <c r="E85" s="19" t="s">
        <v>190</v>
      </c>
      <c r="F85" s="20"/>
      <c r="G85" s="21"/>
      <c r="H85" s="20"/>
      <c r="I85" s="21"/>
      <c r="J85" s="20"/>
      <c r="K85" s="21"/>
      <c r="L85" s="20"/>
      <c r="M85" s="21"/>
    </row>
    <row r="86" spans="1:17" s="4" customFormat="1">
      <c r="A86" s="19"/>
      <c r="B86" s="20"/>
      <c r="C86" s="19"/>
      <c r="D86" s="20"/>
      <c r="E86" s="19" t="s">
        <v>604</v>
      </c>
      <c r="F86" s="20"/>
      <c r="G86" s="21"/>
      <c r="H86" s="20"/>
      <c r="I86" s="21"/>
      <c r="J86" s="20"/>
      <c r="K86" s="21"/>
      <c r="L86" s="20"/>
      <c r="M86" s="21"/>
    </row>
    <row r="87" spans="1:17" s="4" customFormat="1">
      <c r="A87" s="19"/>
      <c r="B87" s="20"/>
      <c r="C87" s="19"/>
      <c r="D87" s="20"/>
      <c r="E87" s="19" t="s">
        <v>234</v>
      </c>
      <c r="F87" s="20"/>
      <c r="G87" s="21"/>
      <c r="H87" s="20"/>
      <c r="I87" s="21"/>
      <c r="J87" s="20"/>
      <c r="K87" s="21"/>
      <c r="L87" s="20"/>
      <c r="M87" s="21"/>
    </row>
    <row r="88" spans="1:17" s="4" customFormat="1">
      <c r="A88" s="19"/>
      <c r="B88" s="6"/>
      <c r="C88" s="19"/>
      <c r="D88" s="20"/>
      <c r="E88" s="19" t="s">
        <v>605</v>
      </c>
      <c r="F88" s="20"/>
      <c r="G88" s="21"/>
      <c r="H88" s="20"/>
      <c r="I88" s="21"/>
      <c r="J88" s="20"/>
      <c r="K88" s="21"/>
      <c r="L88" s="20"/>
      <c r="M88" s="21"/>
    </row>
    <row r="89" spans="1:17" s="4" customFormat="1">
      <c r="A89" s="19"/>
      <c r="B89" s="6"/>
      <c r="C89" s="19"/>
      <c r="D89" s="20"/>
      <c r="E89" s="19" t="s">
        <v>235</v>
      </c>
      <c r="F89" s="20"/>
      <c r="G89" s="21"/>
      <c r="H89" s="20"/>
      <c r="I89" s="21"/>
      <c r="J89" s="20"/>
      <c r="K89" s="21"/>
      <c r="L89" s="20"/>
      <c r="M89" s="21"/>
    </row>
    <row r="90" spans="1:17" s="4" customFormat="1">
      <c r="A90" s="19"/>
      <c r="B90" s="6"/>
      <c r="C90" s="19"/>
      <c r="D90" s="20"/>
      <c r="E90" s="19" t="s">
        <v>600</v>
      </c>
      <c r="F90" s="20"/>
      <c r="G90" s="21"/>
      <c r="H90" s="20"/>
      <c r="I90" s="21"/>
      <c r="J90" s="20"/>
      <c r="K90" s="21"/>
      <c r="L90" s="20"/>
      <c r="M90" s="21"/>
    </row>
    <row r="91" spans="1:17" s="4" customFormat="1">
      <c r="A91" s="19"/>
      <c r="B91" s="6"/>
      <c r="C91" s="19"/>
      <c r="D91" s="20"/>
      <c r="E91" s="19" t="s">
        <v>188</v>
      </c>
      <c r="F91" s="20"/>
      <c r="G91" s="21"/>
      <c r="H91" s="20"/>
      <c r="I91" s="21"/>
      <c r="J91" s="20"/>
      <c r="K91" s="21"/>
      <c r="L91" s="20"/>
      <c r="M91" s="21"/>
    </row>
    <row r="92" spans="1:17" s="4" customFormat="1">
      <c r="A92" s="19"/>
      <c r="B92" s="6"/>
      <c r="C92" s="19"/>
      <c r="D92" s="20"/>
      <c r="E92" s="19" t="s">
        <v>601</v>
      </c>
      <c r="F92" s="20"/>
      <c r="G92" s="21"/>
      <c r="H92" s="20"/>
      <c r="I92" s="21"/>
      <c r="J92" s="20"/>
      <c r="K92" s="21"/>
      <c r="L92" s="20"/>
      <c r="M92" s="21"/>
    </row>
    <row r="93" spans="1:17" s="4" customFormat="1">
      <c r="A93" s="19"/>
      <c r="B93" s="6"/>
      <c r="C93" s="19"/>
      <c r="D93" s="20"/>
      <c r="E93" s="19" t="s">
        <v>236</v>
      </c>
      <c r="F93" s="20"/>
      <c r="G93" s="21"/>
      <c r="H93" s="20"/>
      <c r="I93" s="21"/>
      <c r="J93" s="20"/>
      <c r="K93" s="21"/>
      <c r="L93" s="20"/>
      <c r="M93" s="21"/>
    </row>
    <row r="94" spans="1:17" s="4" customFormat="1">
      <c r="A94" s="19"/>
      <c r="B94" s="6"/>
      <c r="C94" s="19"/>
      <c r="D94" s="20"/>
      <c r="E94" s="19" t="s">
        <v>602</v>
      </c>
      <c r="F94" s="20"/>
      <c r="G94" s="21" t="s">
        <v>555</v>
      </c>
      <c r="H94" s="20"/>
      <c r="I94" s="21"/>
      <c r="J94" s="20"/>
      <c r="K94" s="21"/>
      <c r="L94" s="20"/>
      <c r="M94" s="21"/>
    </row>
    <row r="95" spans="1:17" s="4" customFormat="1">
      <c r="A95" s="19"/>
      <c r="B95" s="6"/>
      <c r="C95" s="19"/>
      <c r="D95" s="20"/>
      <c r="E95" s="19" t="s">
        <v>237</v>
      </c>
      <c r="F95" s="20"/>
      <c r="G95" s="21" t="s">
        <v>556</v>
      </c>
      <c r="H95" s="20"/>
      <c r="I95" s="21"/>
      <c r="J95" s="20"/>
      <c r="K95" s="21"/>
      <c r="L95" s="20"/>
      <c r="M95" s="21"/>
    </row>
    <row r="96" spans="1:17" s="4" customFormat="1">
      <c r="A96" s="19"/>
      <c r="B96" s="6"/>
      <c r="C96" s="19"/>
      <c r="D96" s="20"/>
      <c r="E96" s="19" t="s">
        <v>606</v>
      </c>
      <c r="F96" s="20"/>
      <c r="G96" s="21" t="s">
        <v>557</v>
      </c>
      <c r="H96" s="20"/>
      <c r="I96" s="21"/>
      <c r="J96" s="20"/>
      <c r="K96" s="21"/>
      <c r="L96" s="20"/>
      <c r="M96" s="21"/>
    </row>
    <row r="97" spans="1:13" s="4" customFormat="1">
      <c r="A97" s="19"/>
      <c r="B97" s="6"/>
      <c r="C97" s="19"/>
      <c r="D97" s="20"/>
      <c r="E97" s="19" t="s">
        <v>189</v>
      </c>
      <c r="F97" s="20"/>
      <c r="G97" s="21" t="s">
        <v>558</v>
      </c>
      <c r="H97" s="20"/>
      <c r="I97" s="21"/>
      <c r="J97" s="20"/>
      <c r="K97" s="21"/>
      <c r="L97" s="20"/>
      <c r="M97" s="21"/>
    </row>
    <row r="98" spans="1:13" s="4" customFormat="1">
      <c r="A98" s="5"/>
      <c r="B98" s="6"/>
      <c r="C98" s="19"/>
      <c r="D98" s="20"/>
      <c r="E98" s="19" t="s">
        <v>607</v>
      </c>
      <c r="F98" s="20"/>
      <c r="G98" s="21" t="s">
        <v>559</v>
      </c>
      <c r="H98" s="20"/>
      <c r="I98" s="21"/>
      <c r="J98" s="20"/>
      <c r="K98" s="21"/>
      <c r="L98" s="20"/>
      <c r="M98" s="21"/>
    </row>
    <row r="99" spans="1:13" s="4" customFormat="1">
      <c r="A99" s="5"/>
      <c r="B99" s="6"/>
      <c r="C99" s="19"/>
      <c r="D99" s="20"/>
      <c r="E99" s="19" t="s">
        <v>276</v>
      </c>
      <c r="F99" s="20"/>
      <c r="G99" s="21" t="s">
        <v>560</v>
      </c>
      <c r="H99" s="20"/>
      <c r="I99" s="21"/>
      <c r="J99" s="20"/>
      <c r="K99" s="21"/>
      <c r="L99" s="20"/>
      <c r="M99" s="21"/>
    </row>
    <row r="100" spans="1:13" s="4" customFormat="1">
      <c r="A100" s="5"/>
      <c r="B100" s="6"/>
      <c r="C100" s="19"/>
      <c r="D100" s="20"/>
      <c r="E100" s="19" t="s">
        <v>608</v>
      </c>
      <c r="F100" s="20"/>
      <c r="G100" s="21" t="s">
        <v>561</v>
      </c>
      <c r="H100" s="20"/>
      <c r="I100" s="21"/>
      <c r="J100" s="20"/>
      <c r="K100" s="21"/>
      <c r="L100" s="20"/>
      <c r="M100" s="21"/>
    </row>
    <row r="101" spans="1:13" s="4" customFormat="1">
      <c r="A101" s="5"/>
      <c r="B101" s="6"/>
      <c r="C101" s="19"/>
      <c r="D101" s="20"/>
      <c r="E101" s="19" t="s">
        <v>277</v>
      </c>
      <c r="F101" s="20"/>
      <c r="G101" s="21" t="s">
        <v>562</v>
      </c>
      <c r="H101" s="20"/>
      <c r="I101" s="21"/>
      <c r="J101" s="20"/>
      <c r="K101" s="21"/>
      <c r="L101" s="20"/>
      <c r="M101" s="21"/>
    </row>
    <row r="102" spans="1:13" s="4" customFormat="1">
      <c r="A102" s="5"/>
      <c r="B102" s="6"/>
      <c r="C102" s="19"/>
      <c r="D102" s="20"/>
      <c r="E102" s="19"/>
      <c r="F102" s="20"/>
      <c r="G102" s="21" t="s">
        <v>563</v>
      </c>
      <c r="H102" s="20"/>
      <c r="I102" s="21"/>
      <c r="J102" s="20"/>
      <c r="K102" s="21"/>
      <c r="L102" s="20"/>
      <c r="M102" s="21"/>
    </row>
    <row r="103" spans="1:13" s="4" customFormat="1">
      <c r="A103" s="5"/>
      <c r="B103" s="6"/>
      <c r="C103" s="19"/>
      <c r="D103" s="20"/>
      <c r="E103" s="19"/>
      <c r="F103" s="20"/>
      <c r="G103" s="21" t="s">
        <v>568</v>
      </c>
      <c r="H103" s="20"/>
      <c r="I103" s="21"/>
      <c r="J103" s="20"/>
      <c r="K103" s="21"/>
      <c r="L103" s="20"/>
      <c r="M103" s="21"/>
    </row>
    <row r="104" spans="1:13" s="4" customFormat="1">
      <c r="A104" s="5"/>
      <c r="B104" s="6"/>
      <c r="C104" s="19"/>
      <c r="D104" s="20"/>
      <c r="E104" s="19"/>
      <c r="F104" s="20"/>
      <c r="G104" s="21" t="s">
        <v>564</v>
      </c>
      <c r="H104" s="20"/>
      <c r="I104" s="21"/>
      <c r="J104" s="20"/>
      <c r="K104" s="21"/>
      <c r="L104" s="20"/>
      <c r="M104" s="21"/>
    </row>
    <row r="105" spans="1:13" s="4" customFormat="1">
      <c r="A105" s="5"/>
      <c r="B105" s="6"/>
      <c r="C105" s="19"/>
      <c r="D105" s="20"/>
      <c r="E105" s="19"/>
      <c r="F105" s="20"/>
      <c r="G105" s="21" t="s">
        <v>565</v>
      </c>
      <c r="H105" s="20"/>
      <c r="I105" s="21"/>
      <c r="J105" s="20"/>
      <c r="K105" s="21"/>
      <c r="L105" s="20"/>
      <c r="M105" s="21"/>
    </row>
    <row r="106" spans="1:13" s="4" customFormat="1">
      <c r="A106" s="5"/>
      <c r="B106" s="6"/>
      <c r="C106" s="19"/>
      <c r="D106" s="20"/>
      <c r="E106" s="19"/>
      <c r="F106" s="20"/>
      <c r="G106" s="21" t="s">
        <v>566</v>
      </c>
      <c r="H106" s="20"/>
      <c r="I106" s="21"/>
      <c r="J106" s="20"/>
      <c r="K106" s="21"/>
      <c r="L106" s="20"/>
      <c r="M106" s="21"/>
    </row>
    <row r="107" spans="1:13" s="4" customFormat="1">
      <c r="A107" s="5"/>
      <c r="B107" s="6"/>
      <c r="C107" s="19"/>
      <c r="D107" s="20"/>
      <c r="E107" s="19"/>
      <c r="F107" s="20"/>
      <c r="G107" s="21" t="s">
        <v>567</v>
      </c>
      <c r="H107" s="20"/>
      <c r="I107" s="21"/>
      <c r="J107" s="20"/>
      <c r="K107" s="21"/>
      <c r="L107" s="20"/>
      <c r="M107" s="21"/>
    </row>
    <row r="108" spans="1:13" s="4" customFormat="1">
      <c r="A108" s="5"/>
      <c r="B108" s="6"/>
      <c r="C108" s="19"/>
      <c r="D108" s="20"/>
      <c r="E108" s="19"/>
      <c r="F108" s="20"/>
      <c r="G108" s="21" t="s">
        <v>580</v>
      </c>
      <c r="H108" s="20"/>
      <c r="I108" s="21"/>
      <c r="J108" s="20"/>
      <c r="K108" s="21"/>
      <c r="L108" s="20"/>
      <c r="M108" s="21"/>
    </row>
    <row r="109" spans="1:13" s="4" customFormat="1">
      <c r="A109" s="5"/>
      <c r="B109" s="6"/>
      <c r="C109" s="19"/>
      <c r="D109" s="20"/>
      <c r="E109" s="19"/>
      <c r="F109" s="20"/>
      <c r="G109" s="21" t="s">
        <v>581</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41"/>
      <c r="F126" s="20"/>
      <c r="G126" s="21"/>
      <c r="H126" s="20"/>
      <c r="I126" s="21"/>
      <c r="J126" s="20"/>
      <c r="K126" s="21"/>
      <c r="L126" s="20"/>
      <c r="M126" s="21"/>
    </row>
    <row r="127" spans="1:13" s="4" customFormat="1">
      <c r="A127" s="5"/>
      <c r="B127" s="6"/>
      <c r="C127" s="19"/>
      <c r="D127" s="20"/>
      <c r="E127" s="41"/>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41"/>
      <c r="F129" s="20"/>
      <c r="G129" s="21"/>
      <c r="H129" s="20"/>
      <c r="I129" s="21"/>
      <c r="J129" s="20"/>
      <c r="K129" s="21"/>
      <c r="L129" s="20"/>
      <c r="M129" s="21"/>
    </row>
    <row r="130" spans="1:13" s="4" customFormat="1">
      <c r="A130" s="5"/>
      <c r="B130" s="6"/>
      <c r="C130" s="19"/>
      <c r="D130" s="20"/>
      <c r="E130" s="41"/>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ht="12.75">
      <c r="E583" s="14"/>
    </row>
    <row r="584" spans="5:5" ht="12.75">
      <c r="E584" s="14"/>
    </row>
    <row r="585" spans="5:5" ht="12.75">
      <c r="E585" s="14"/>
    </row>
    <row r="586" spans="5:5" ht="12.75">
      <c r="E586" s="14"/>
    </row>
    <row r="587" spans="5:5" ht="12.75">
      <c r="E587" s="14"/>
    </row>
    <row r="588" spans="5:5" ht="12.75">
      <c r="E588" s="14"/>
    </row>
    <row r="589" spans="5:5" ht="12.75"/>
    <row r="590" spans="5:5" ht="12.75"/>
    <row r="591" spans="5:5" ht="12.75"/>
    <row r="592" spans="5:5"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2024-01-04T13:56:57Z</dcterms:modified>
</cp:coreProperties>
</file>