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kipper/IBM/rationalsdp/workspace-bluemix/sizing-service-domino/src/main/resources/"/>
    </mc:Choice>
  </mc:AlternateContent>
  <workbookProtection workbookPassword="C040" lockStructure="1"/>
  <bookViews>
    <workbookView xWindow="2960" yWindow="460" windowWidth="32980" windowHeight="20060" tabRatio="500"/>
  </bookViews>
  <sheets>
    <sheet name="Mail" sheetId="1" r:id="rId1"/>
    <sheet name="Avg_Mail_File" sheetId="8" r:id="rId2"/>
    <sheet name="Hardware" sheetId="6" r:id="rId3"/>
    <sheet name="Traveler_HA" sheetId="2" r:id="rId4"/>
    <sheet name="Traveler_No HA" sheetId="5" r:id="rId5"/>
    <sheet name="List Items" sheetId="3" state="hidden" r:id="rId6"/>
    <sheet name="NotesFormData" sheetId="7" state="hidden" r:id="rId7"/>
  </sheets>
  <definedNames>
    <definedName name="add">Hardware!$D$21</definedName>
    <definedName name="add_1">Hardware!$D$29</definedName>
    <definedName name="AntiVirus">Mail!$D$36</definedName>
    <definedName name="Average_MFS">Mail!$D$11</definedName>
    <definedName name="Concurrent_Rate">Mail!$D$8</definedName>
    <definedName name="Concurrent_Users">Mail!$D$9</definedName>
    <definedName name="CoresAdd">#REF!</definedName>
    <definedName name="CoresRecom">Hardware!#REF!</definedName>
    <definedName name="CoresRequired">Hardware!$D$39</definedName>
    <definedName name="CoresUtil">Hardware!$D$40</definedName>
    <definedName name="DB">Traveler_HA!$C$18</definedName>
    <definedName name="DBBackup">Traveler_HA!$C$33</definedName>
    <definedName name="DBCores">Traveler_HA!$C$19</definedName>
    <definedName name="DBIOPS">Traveler_HA!$C$31</definedName>
    <definedName name="DBMemory">Traveler_HA!$C$20</definedName>
    <definedName name="DBNetwork">Traveler_HA!$C$32</definedName>
    <definedName name="DBTransaction">Traveler_HA!$C$29</definedName>
    <definedName name="DBTraveler">Traveler_HA!$C$28</definedName>
    <definedName name="DesRPE">#REF!</definedName>
    <definedName name="DesRPE_1">Hardware!$D$27</definedName>
    <definedName name="Dev8_1">Traveler_HA!$G$2</definedName>
    <definedName name="Dev8_2">Traveler_HA!$G$3</definedName>
    <definedName name="Dev8_3">Traveler_HA!$G$4</definedName>
    <definedName name="Dev8_4">Traveler_HA!$G$5</definedName>
    <definedName name="Dev9_1">Traveler_HA!$G$6</definedName>
    <definedName name="Dev9_2">Traveler_HA!$G$7</definedName>
    <definedName name="Dev9_3">Traveler_HA!$G$8</definedName>
    <definedName name="Dev9_4">Traveler_HA!$G$9</definedName>
    <definedName name="Device">Traveler_HA!$C$4</definedName>
    <definedName name="device_1">'Traveler_No HA'!$C$5</definedName>
    <definedName name="DevicePool">Traveler_HA!$C$9</definedName>
    <definedName name="DeviceTraveler">Traveler_HA!$D$14</definedName>
    <definedName name="DiskSpace">Traveler_HA!$C$30</definedName>
    <definedName name="DPARPeak">Hardware!$D$15</definedName>
    <definedName name="Edge">Traveler_HA!$C$23</definedName>
    <definedName name="EdgeCores">Traveler_HA!$C$24</definedName>
    <definedName name="EdgeMemory">Traveler_HA!$C$25</definedName>
    <definedName name="FourCoreM4">Hardware!$D$19</definedName>
    <definedName name="FourCoreM4_1">Hardware!$D$19</definedName>
    <definedName name="Heavy_Users">Mail!$D$18</definedName>
    <definedName name="HTTP">Mail!$D$38</definedName>
    <definedName name="HTTP_Browser_Clients">Mail!$D$27</definedName>
    <definedName name="IMAP4_Clients">Mail!$D$30</definedName>
    <definedName name="Light_Users">Mail!$D$20</definedName>
    <definedName name="Local_Replicas">Mail!$D$31</definedName>
    <definedName name="MachPeak">Hardware!#REF!</definedName>
    <definedName name="MachRecom">Hardware!$D$20</definedName>
    <definedName name="MachReq">Hardware!#REF!</definedName>
    <definedName name="MachReq_1">#REF!</definedName>
    <definedName name="MachUtil">Hardware!$D$23</definedName>
    <definedName name="MachUtil_1">Hardware!#REF!</definedName>
    <definedName name="MachUtil_2">Hardware!$D$31</definedName>
    <definedName name="Max_CPU">Hardware!$D$12</definedName>
    <definedName name="MAXcpu_1">NotesFormData!$E$89</definedName>
    <definedName name="Medium_Users">Mail!$D$19</definedName>
    <definedName name="Notes_Clients">Mail!$D$26</definedName>
    <definedName name="OSversion">Mail!#REF!</definedName>
    <definedName name="POP3_Clients">Mail!$D$29</definedName>
    <definedName name="PortEncryption">Mail!$D$37</definedName>
    <definedName name="Power_Users">Mail!$D$17</definedName>
    <definedName name="PowerDPAR">#REF!</definedName>
    <definedName name="PowerDPAR_1">Hardware!#REF!</definedName>
    <definedName name="PowerDPARr">#REF!</definedName>
    <definedName name="PowerDPARr_1">Hardware!$D$43</definedName>
    <definedName name="RPE2x">Hardware!$D$18</definedName>
    <definedName name="RPE2x_1">Hardware!$D$13</definedName>
    <definedName name="RPE2x2">Hardware!#REF!</definedName>
    <definedName name="ServerBase">Traveler_HA!$C$10</definedName>
    <definedName name="ServerFailover">Traveler_HA!$C$5</definedName>
    <definedName name="ServerPool">Traveler_HA!$C$8</definedName>
    <definedName name="TAddOnUsers">Mail!$E$40</definedName>
    <definedName name="THttp">Mail!$E$27</definedName>
    <definedName name="TImap4">Mail!$E$30</definedName>
    <definedName name="TLCores">Traveler_HA!$C$14</definedName>
    <definedName name="TLMemory">Traveler_HA!$C$15</definedName>
    <definedName name="TLServer">Traveler_HA!$C$13</definedName>
    <definedName name="TNotes">Mail!$E$26</definedName>
    <definedName name="Total_Clients">Mail!$E$32</definedName>
    <definedName name="Total_Users">Mail!$D$21</definedName>
    <definedName name="Total_Users_Number">Mail!$E$32</definedName>
    <definedName name="TotalMach_VM1">Hardware!$D$22</definedName>
    <definedName name="TotalMach_VM2">Hardware!$D$30</definedName>
    <definedName name="TotalMach_VMs">Hardware!$D$30</definedName>
    <definedName name="TotalMach_VMs2">Hardware!$D$30</definedName>
    <definedName name="TPop3">Mail!$E$29</definedName>
    <definedName name="Transaction_Logging__15">Mail!$D$39</definedName>
    <definedName name="TransLogging">Mail!$D$39</definedName>
    <definedName name="Traveler">'Traveler_No HA'!$C$8</definedName>
    <definedName name="TravelerMem">'Traveler_No HA'!$C$10</definedName>
    <definedName name="TravelerMemory">'Traveler_No HA'!$C$10</definedName>
    <definedName name="TravelerVM">'Traveler_No HA'!$C$9</definedName>
    <definedName name="TRegistered_Users">Mail!$D$7</definedName>
    <definedName name="TReplica">Mail!$E$31</definedName>
    <definedName name="TUsersSiz">Mail!$E$42</definedName>
    <definedName name="TVOP">Mail!$E$28</definedName>
    <definedName name="UsersSoFar">Mail!$E$21</definedName>
    <definedName name="Version">'Traveler_No HA'!#REF!</definedName>
    <definedName name="Version_1">'Traveler_No HA'!#REF!</definedName>
    <definedName name="Virtual">'Traveler_No HA'!$C$3</definedName>
    <definedName name="Virtual_1">'Traveler_No HA'!$C$3</definedName>
    <definedName name="Virtualization">Hardware!#REF!</definedName>
    <definedName name="Virtualization2">Hardware!$D$10</definedName>
    <definedName name="VMachUtil_1">Hardware!#REF!</definedName>
    <definedName name="VOP_Clients">Mail!$D$28</definedName>
  </definedNames>
  <calcPr calcId="150000" iterateDelta="9.9999999999994494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E17" i="1"/>
  <c r="E18" i="1"/>
  <c r="E19" i="1"/>
  <c r="E20" i="1"/>
  <c r="E21" i="1"/>
  <c r="E26" i="1"/>
  <c r="E27" i="1"/>
  <c r="E28" i="1"/>
  <c r="E29" i="1"/>
  <c r="E30" i="1"/>
  <c r="E31" i="1"/>
  <c r="E32" i="1"/>
  <c r="E36" i="1"/>
  <c r="E37" i="1"/>
  <c r="E38" i="1"/>
  <c r="E39" i="1"/>
  <c r="E40" i="1"/>
  <c r="E42" i="1"/>
  <c r="D19" i="6"/>
  <c r="D20" i="6"/>
  <c r="D22" i="6"/>
  <c r="D23" i="6"/>
  <c r="D31" i="6"/>
  <c r="D28" i="6"/>
  <c r="D30" i="6"/>
  <c r="A16" i="8"/>
  <c r="C15" i="8"/>
  <c r="C14" i="8"/>
  <c r="C13" i="8"/>
  <c r="C12" i="8"/>
  <c r="C11" i="8"/>
  <c r="C10" i="8"/>
  <c r="C9" i="8"/>
  <c r="C8" i="8"/>
  <c r="C18" i="8"/>
  <c r="C16" i="8"/>
  <c r="D37" i="6"/>
  <c r="D38" i="6"/>
  <c r="D13" i="1"/>
  <c r="D14" i="1"/>
  <c r="D34" i="6"/>
  <c r="D40" i="6"/>
  <c r="E23" i="6"/>
  <c r="D43" i="6"/>
  <c r="C25" i="2"/>
  <c r="C15" i="2"/>
  <c r="C8" i="5"/>
  <c r="C10" i="5"/>
  <c r="C8" i="2"/>
  <c r="C9" i="2"/>
  <c r="C30" i="2"/>
  <c r="C33" i="2"/>
  <c r="C32" i="2"/>
  <c r="C31" i="2"/>
  <c r="C29" i="2"/>
  <c r="C28" i="2"/>
  <c r="C24" i="2"/>
  <c r="C20" i="2"/>
  <c r="C19" i="2"/>
  <c r="C18" i="2"/>
  <c r="C14" i="2"/>
  <c r="C10" i="2"/>
  <c r="C13" i="2"/>
  <c r="D14" i="2"/>
  <c r="C23" i="2"/>
  <c r="C9" i="5"/>
  <c r="I85" i="7"/>
  <c r="G85" i="7"/>
  <c r="D45" i="6"/>
  <c r="D44" i="6"/>
  <c r="E29" i="6"/>
  <c r="E20" i="6"/>
  <c r="D21" i="1"/>
  <c r="D32" i="1"/>
  <c r="E31" i="6"/>
</calcChain>
</file>

<file path=xl/sharedStrings.xml><?xml version="1.0" encoding="utf-8"?>
<sst xmlns="http://schemas.openxmlformats.org/spreadsheetml/2006/main" count="341" uniqueCount="292">
  <si>
    <t>Virtualization</t>
  </si>
  <si>
    <t>Total Registered Users</t>
  </si>
  <si>
    <t>Concurrent Rate</t>
  </si>
  <si>
    <t>Concurrent Users</t>
  </si>
  <si>
    <t>% Add-on</t>
  </si>
  <si>
    <t>Total Disk Space</t>
  </si>
  <si>
    <t>Total Disk Space with Add-on</t>
  </si>
  <si>
    <t>Power Users</t>
  </si>
  <si>
    <t>Medium Users</t>
  </si>
  <si>
    <t>Light Users</t>
  </si>
  <si>
    <t>Total</t>
  </si>
  <si>
    <t>Domino Add-ons</t>
  </si>
  <si>
    <t>Notes Clients</t>
  </si>
  <si>
    <t>Verse On-Premises (VOP) Clients</t>
  </si>
  <si>
    <t>POP3 Clients</t>
  </si>
  <si>
    <t>Transaction Logging (15%)</t>
  </si>
  <si>
    <t>HTTPS (10%)</t>
  </si>
  <si>
    <t>Port Encryption (12%)</t>
  </si>
  <si>
    <t>Anti-Virus (10%)</t>
  </si>
  <si>
    <t>User Information from Questionnaire</t>
  </si>
  <si>
    <t>Average Mail File Size</t>
  </si>
  <si>
    <t>MB</t>
  </si>
  <si>
    <t>GB</t>
  </si>
  <si>
    <t>Heavy Users</t>
  </si>
  <si>
    <t>iNotes (HTTP/Browser) Clients</t>
  </si>
  <si>
    <t>Up to 250- Use values provided from questionnaire response</t>
  </si>
  <si>
    <t>&gt; 550MB to 1GB - 100% Heavy</t>
  </si>
  <si>
    <t>&gt; 1GB to 2GB - 50% Heavy; 50% Power</t>
  </si>
  <si>
    <t>&gt; 2GB to Infinity - 100% Power</t>
  </si>
  <si>
    <t>Customer Name:</t>
  </si>
  <si>
    <t>SC Task ID:</t>
  </si>
  <si>
    <t>IBM Power</t>
  </si>
  <si>
    <t>x86</t>
  </si>
  <si>
    <t>Platform:</t>
  </si>
  <si>
    <t>Yes</t>
  </si>
  <si>
    <t>No</t>
  </si>
  <si>
    <t>Max CPU</t>
  </si>
  <si>
    <t>Total Users Number here must be equal to Total Registered Users (B10)</t>
  </si>
  <si>
    <t>Client Information from Questionnaire</t>
  </si>
  <si>
    <t xml:space="preserve">    &gt;  &gt;  &gt;  &gt;  &gt;  &gt;</t>
  </si>
  <si>
    <t xml:space="preserve">    &gt;  &gt;  &gt;  &gt;  &gt; </t>
  </si>
  <si>
    <t>UserCalc</t>
  </si>
  <si>
    <t># of Machines / VMs required</t>
  </si>
  <si>
    <t>Additional Machines / VMs</t>
  </si>
  <si>
    <t>CPU Utilization %</t>
  </si>
  <si>
    <t>Traveler</t>
  </si>
  <si>
    <t>8.5.3</t>
  </si>
  <si>
    <t>HA</t>
  </si>
  <si>
    <t>Total Number of Devices</t>
  </si>
  <si>
    <t>Servers per Pool for Failover</t>
  </si>
  <si>
    <t># of Pools</t>
  </si>
  <si>
    <t>Devices per Pool</t>
  </si>
  <si>
    <t>Servers per Pool AFTER Failover</t>
  </si>
  <si>
    <t>Traveler Server(s)</t>
  </si>
  <si>
    <t>Servers per Pool</t>
  </si>
  <si>
    <t>Cores per Server/VM</t>
  </si>
  <si>
    <t>Memory per Server/VM (GB)</t>
  </si>
  <si>
    <t>Database Server</t>
  </si>
  <si>
    <t>Edge Server</t>
  </si>
  <si>
    <t>Disk drives for Traveler (RAID5)</t>
  </si>
  <si>
    <t>Disk drives for Transaction (RAID1)</t>
  </si>
  <si>
    <t>Disk space required (GB)</t>
  </si>
  <si>
    <t>IOPS</t>
  </si>
  <si>
    <t>Network MB/sec</t>
  </si>
  <si>
    <t>Backup (GB)</t>
  </si>
  <si>
    <t>TRAVELER HIGH AVAILABILITY</t>
  </si>
  <si>
    <t>TRAVELER (NO HIGH AVAILABILITY)</t>
  </si>
  <si>
    <t>251MB to 350MB - 40% Heavy; 60% Medium</t>
  </si>
  <si>
    <t>351MB to 550MB - 60% Heavy; 40% Medium</t>
  </si>
  <si>
    <t>Base Server  RPE2 (from CARS Report)</t>
  </si>
  <si>
    <t>Total Number of Cores in selected Server</t>
  </si>
  <si>
    <t>Additional Cores</t>
  </si>
  <si>
    <t>Number of DPARS Required</t>
  </si>
  <si>
    <t>Registered Users per DPAR</t>
  </si>
  <si>
    <t>Peak Users per DPAR</t>
  </si>
  <si>
    <t>Number of LPARs</t>
  </si>
  <si>
    <r>
      <t xml:space="preserve">Enter </t>
    </r>
    <r>
      <rPr>
        <b/>
        <i/>
        <sz val="12"/>
        <color theme="1"/>
        <rFont val="Calibri"/>
        <family val="2"/>
        <scheme val="minor"/>
      </rPr>
      <t>15</t>
    </r>
    <r>
      <rPr>
        <i/>
        <sz val="12"/>
        <color theme="1"/>
        <rFont val="Calibri"/>
        <family val="2"/>
        <scheme val="minor"/>
      </rPr>
      <t xml:space="preserve"> if Full-Text Indexing NOT enabled; </t>
    </r>
    <r>
      <rPr>
        <b/>
        <i/>
        <sz val="12"/>
        <color theme="1"/>
        <rFont val="Calibri"/>
        <family val="2"/>
        <scheme val="minor"/>
      </rPr>
      <t>30</t>
    </r>
    <r>
      <rPr>
        <i/>
        <sz val="12"/>
        <color theme="1"/>
        <rFont val="Calibri"/>
        <family val="2"/>
        <scheme val="minor"/>
      </rPr>
      <t xml:space="preserve"> if Full-Text Indexing IS enabled</t>
    </r>
  </si>
  <si>
    <t>Server Pool(s)</t>
  </si>
  <si>
    <r>
      <t>@If(Device&lt;=@If</t>
    </r>
    <r>
      <rPr>
        <sz val="12"/>
        <color indexed="206"/>
        <rFont val="Calibri"/>
        <family val="2"/>
      </rPr>
      <t>(</t>
    </r>
    <r>
      <rPr>
        <sz val="12"/>
        <color theme="1"/>
        <rFont val="Calibri"/>
        <family val="2"/>
        <scheme val="minor"/>
      </rPr>
      <t>version="8.5.3";Dev8_4;Dev9_4</t>
    </r>
    <r>
      <rPr>
        <sz val="12"/>
        <color indexed="206"/>
        <rFont val="Calibri"/>
        <family val="2"/>
      </rPr>
      <t>)</t>
    </r>
    <r>
      <rPr>
        <sz val="12"/>
        <color theme="1"/>
        <rFont val="Calibri"/>
        <family val="2"/>
        <scheme val="minor"/>
      </rPr>
      <t>;1;;@Round</t>
    </r>
    <r>
      <rPr>
        <sz val="12"/>
        <color indexed="206"/>
        <rFont val="Calibri"/>
        <family val="2"/>
      </rPr>
      <t>(</t>
    </r>
    <r>
      <rPr>
        <sz val="12"/>
        <color indexed="207"/>
        <rFont val="Calibri"/>
        <family val="2"/>
      </rPr>
      <t>(</t>
    </r>
    <r>
      <rPr>
        <sz val="12"/>
        <color theme="1"/>
        <rFont val="Calibri"/>
        <family val="2"/>
        <scheme val="minor"/>
      </rPr>
      <t>Device/@If</t>
    </r>
    <r>
      <rPr>
        <sz val="12"/>
        <color indexed="208"/>
        <rFont val="Calibri"/>
        <family val="2"/>
      </rPr>
      <t>(</t>
    </r>
    <r>
      <rPr>
        <sz val="12"/>
        <color theme="1"/>
        <rFont val="Calibri"/>
        <family val="2"/>
        <scheme val="minor"/>
      </rPr>
      <t>Version="8.5.3";Dev8_4;Dev9_4</t>
    </r>
    <r>
      <rPr>
        <sz val="12"/>
        <color indexed="208"/>
        <rFont val="Calibri"/>
        <family val="2"/>
      </rPr>
      <t>)</t>
    </r>
    <r>
      <rPr>
        <sz val="12"/>
        <color indexed="207"/>
        <rFont val="Calibri"/>
        <family val="2"/>
      </rPr>
      <t>)</t>
    </r>
    <r>
      <rPr>
        <sz val="12"/>
        <color theme="1"/>
        <rFont val="Calibri"/>
        <family val="2"/>
        <scheme val="minor"/>
      </rPr>
      <t>+0.49</t>
    </r>
    <r>
      <rPr>
        <sz val="12"/>
        <color indexed="206"/>
        <rFont val="Calibri"/>
        <family val="2"/>
      </rPr>
      <t>)</t>
    </r>
    <r>
      <rPr>
        <sz val="12"/>
        <color theme="1"/>
        <rFont val="Calibri"/>
        <family val="2"/>
        <scheme val="minor"/>
      </rPr>
      <t>)</t>
    </r>
  </si>
  <si>
    <t>ServerPool</t>
  </si>
  <si>
    <t>DevicePool</t>
  </si>
  <si>
    <t>Device/ServerPool</t>
  </si>
  <si>
    <t>ServerBase</t>
  </si>
  <si>
    <t>Field Name</t>
  </si>
  <si>
    <t>@If(Device=0;0;@If(@Round((DevicePool/(@If(Version="8.5.3";Dev8_4/4;Dev9_4/4)))+0.49)&lt;1;1;@Round((DevicePool/(@If(Version="8.5.3";Dev8_4/4;Dev9_4/4)))+0.49)))</t>
  </si>
  <si>
    <t>DeviceFailover</t>
  </si>
  <si>
    <t>DevicePool/@If(@Round((DevicePool/@If(Version="8.5.3";Dev8_4/4;Dev9_4/4))+0.49)&lt;1;1;@Round((DevicePool/@If(Version="8.5.3";Dev8_4/4;Dev9_4/4))+0.49))</t>
  </si>
  <si>
    <t>TLServer</t>
  </si>
  <si>
    <t>@If(Device-0.0;ServerFailover+ServerBase)</t>
  </si>
  <si>
    <t>DeviceTraveler</t>
  </si>
  <si>
    <t>@If)Device=0.0;DevicePool/TLServer)</t>
  </si>
  <si>
    <t>TLCores</t>
  </si>
  <si>
    <t>TLMemory</t>
  </si>
  <si>
    <t>@If(Device=0;0;@If((Device&lt;=@If(Version="8.5.3";Dev8_1;Dev9_1)&amp;Virtual="Yes");1;(Device&lt;=@If(Version="8.5.3";Dev8_2;Dev9_2)&amp;Virtual="Yes");2;4))</t>
  </si>
  <si>
    <t>@If(Device&lt;=@If(Version="8.5.3";Dev8_2;Dev9_2);8;16)</t>
  </si>
  <si>
    <t>DB</t>
  </si>
  <si>
    <t>DBCores</t>
  </si>
  <si>
    <t>DBMemory</t>
  </si>
  <si>
    <t>@If(Device=0;0;2)</t>
  </si>
  <si>
    <t>@If(Device=0;0;@If((DevicePool&lt;=@If(Version="8.5.3";Dev8_1;Dev9_1)&amp;Virtual="Yes");1;(DevicePool&lt;=@If(Version="8.5.3";Dev8_1;Dev9_1)&amp;Virtual="Yes");2;DevicePool&lt;=@If(Version="8.5.3";Dev8_3;Dev9_3);4;4))</t>
  </si>
  <si>
    <t>@If(Device=0;0;@If(DevicePool&lt;=@If(Version="8.5.3";Dev8_2;Dev9_2);8;DevicePool&lt;=@If(Version="8.5.3";Dev8_3;Dev9_3);16;32))</t>
  </si>
  <si>
    <t>Edge</t>
  </si>
  <si>
    <t>EdgeCores</t>
  </si>
  <si>
    <t>EDGEMemory</t>
  </si>
  <si>
    <t>@If(Device=0;0;1)</t>
  </si>
  <si>
    <t>@If(Device=0;0;@If(Virtual="Yes"&amp;DevicePool&lt;=@If(Version="8.5.3";Dev8_2;Dev9_2);1;2))</t>
  </si>
  <si>
    <t>@If(Device&lt;=@If(Version="8.5.3";Dev8_2;Dev9_2);4;8)</t>
  </si>
  <si>
    <t>DBTraveler</t>
  </si>
  <si>
    <t>DBTransaction</t>
  </si>
  <si>
    <t>DiskSpace</t>
  </si>
  <si>
    <t>DBIOPS</t>
  </si>
  <si>
    <t>DBNetwork</t>
  </si>
  <si>
    <t>DBBackup</t>
  </si>
  <si>
    <t>Machines required (four core)</t>
  </si>
  <si>
    <t>Required VM (four core)</t>
  </si>
  <si>
    <t>Memory per</t>
  </si>
  <si>
    <t>@If(Device=0;0;@If(DevicePool&lt;=@If(Version="8.5.3";Dev8_1;Dev9_1);2;DevicePool&lt;=@If(Version="8.5.3";Dev8_2;Dev9_2);3;DevicePool&lt;=@If(Version="8.5.3";Dev8_3;Dev9_3);6;8))</t>
  </si>
  <si>
    <t>@If(Device=0;0;@If(DevicePool&lt;=@If(Version="8.5.3";Dev8_2;Dev9_2);2;4))</t>
  </si>
  <si>
    <t>DevicePool/1000*4</t>
  </si>
  <si>
    <t>@If(Device=0;0;(@If(Version="8.5.3";Dev8_4;Dev9_4)/100)*DevicePool/@If(Version="8.5.3";Dev8_2;Dev9_2))</t>
  </si>
  <si>
    <t xml:space="preserve">@If(Device=0;0;@If(Version="8.5.3";DevicePool/Dev8_2;(DevicePool*0.4)/1000)*1) </t>
  </si>
  <si>
    <t xml:space="preserve">@If(Device=0;0;DevicePool/@If(Version="8.5.3";Dev8_2;Dev9_2)*2) </t>
  </si>
  <si>
    <t>UsersServer</t>
  </si>
  <si>
    <t>UsersServerCores</t>
  </si>
  <si>
    <t>CorsRequired</t>
  </si>
  <si>
    <t>CoresAdd</t>
  </si>
  <si>
    <t>CoresRecom</t>
  </si>
  <si>
    <t>CoresUtil</t>
  </si>
  <si>
    <t>PowerLPAR</t>
  </si>
  <si>
    <t>PowerDPAR</t>
  </si>
  <si>
    <t>RegUsersDPAR</t>
  </si>
  <si>
    <t>PeakUsersDPAR</t>
  </si>
  <si>
    <t>fourCoreM4</t>
  </si>
  <si>
    <t>RPE2x</t>
  </si>
  <si>
    <t>DPARPeak</t>
  </si>
  <si>
    <t>MachPeak</t>
  </si>
  <si>
    <t>DPARreg</t>
  </si>
  <si>
    <t>MachReg</t>
  </si>
  <si>
    <t>MachReq</t>
  </si>
  <si>
    <t>add</t>
  </si>
  <si>
    <t>MachRecom</t>
  </si>
  <si>
    <t>MachUtil</t>
  </si>
  <si>
    <t>Expolation</t>
  </si>
  <si>
    <t>DesRPE</t>
  </si>
  <si>
    <t>MachReq_1</t>
  </si>
  <si>
    <t>add_1</t>
  </si>
  <si>
    <t>MachRecom_1</t>
  </si>
  <si>
    <t>MachUtil_2</t>
  </si>
  <si>
    <t>MachUtil2_1</t>
  </si>
  <si>
    <t>REP2 input (Number)</t>
  </si>
  <si>
    <t>Input field</t>
  </si>
  <si>
    <t>@If(UsersServerCores=0;0;TotUrsSiz/(UsersServer/UsersServerCores))</t>
  </si>
  <si>
    <t>number input</t>
  </si>
  <si>
    <t>@If(CoresRequired=0;0;@Round(CoresRequired+0.49))+CoresAdd</t>
  </si>
  <si>
    <t>@If(CoresRequired=0;0;70*CoresRequired/CoresRecom)</t>
  </si>
  <si>
    <t>initial value is set to 1</t>
  </si>
  <si>
    <t>number input (default is 3,000)</t>
  </si>
  <si>
    <t xml:space="preserve">@If(RegUSers=1;0;@Round(RegUsers/PowerDPAR+0.5)) </t>
  </si>
  <si>
    <t>PowerDPARr</t>
  </si>
  <si>
    <t>@If(RegUsers=1;0;RegUsers/PowerDPARr)</t>
  </si>
  <si>
    <t>@If(RegUsers=1;0;ConcUsers/PowerDPARr)</t>
  </si>
  <si>
    <t>TotUseSiz/11000</t>
  </si>
  <si>
    <t>ConcUsers/DPARPeak</t>
  </si>
  <si>
    <t>number input (default 3,000)</t>
  </si>
  <si>
    <t>RegUsers/DPARreg</t>
  </si>
  <si>
    <t>@If(TotUrsSiz=0;0;@Max(FourCoreM4:MachPeak))</t>
  </si>
  <si>
    <t>number ibput, default is 0</t>
  </si>
  <si>
    <t>ServerCores</t>
  </si>
  <si>
    <t>MachUtil_1</t>
  </si>
  <si>
    <t>@If(TotUrsSiz=0;0;@Round(@Max(FourCoreM4:MachPeak)+0.49))+add</t>
  </si>
  <si>
    <t>@If(TotUrsSiz=0;0;@If(Virtualization="Yes";100*(FourCoreM4*1.1)/MachRecom;100*FourCoreM4/MachRecom))</t>
  </si>
  <si>
    <t>MachUtil2</t>
  </si>
  <si>
    <t>MachUtil/(RPE2x/6450)</t>
  </si>
  <si>
    <t>number input (default is 4)</t>
  </si>
  <si>
    <t>@If(TotUrsSiz=0;0;@If(Virtualization="Yes";(100*(FourCoreM4*1.1)/MachRecom)*4/ServerCores;100*FourCoreM4/MachRecom))</t>
  </si>
  <si>
    <t>number input (degualt is 0)</t>
  </si>
  <si>
    <t xml:space="preserve">@If(DesRPE=0;0;@Max(FourCoreM4:MachPeak)) </t>
  </si>
  <si>
    <t>number inut (default 0)</t>
  </si>
  <si>
    <t>@If(DesRPE=0;0;@Round(@Max(FourCoreM4:MachPeak)+0.49))+add_1</t>
  </si>
  <si>
    <t>@If(DesRPE=0;0;@If(Virtualization="Yes";100*(FourCoreM4*1.1)/MachRecom_1;100*FourCoreM4/MachRecom_1))</t>
  </si>
  <si>
    <t>@If(DesRPE=0;0;MachUtil_2/(DesRPE/6450))</t>
  </si>
  <si>
    <t>Hardware Original Fields and Formuls</t>
  </si>
  <si>
    <t>Base Machine RPE2</t>
  </si>
  <si>
    <t>RPE2 Input</t>
  </si>
  <si>
    <t># of Cores</t>
  </si>
  <si>
    <t>TotUsrSiz/(UsersServer/UsersServerCores)</t>
  </si>
  <si>
    <t>x86 CPU Utilization</t>
  </si>
  <si>
    <t>x86 RPE2</t>
  </si>
  <si>
    <t>Additional Machines</t>
  </si>
  <si>
    <t>CPU per Machine Recommended</t>
  </si>
  <si>
    <t>Comment3</t>
  </si>
  <si>
    <t>@If(TotUrsSiz=0;"";@If(OSversion="64";@If(RegUsers/MachRecom&gt;(DPARreg*2);"add servers. number of 2 DPARs a piece exceeded";RegUsers/MachRecom&lt;=(DPARreg*2)&amp;RegUsers/MachRecom&gt;DPARreg;"2 DPARs a piece";"1 DPAR a piece");@If(RegUsers/MachRecom&gt;DPARreg;"this is a 32-bit OS, add servers, only one DPAR per server allowed, number of users per DPAR exceeded";"1 DPAR a piece")))</t>
  </si>
  <si>
    <t>Comment4</t>
  </si>
  <si>
    <t xml:space="preserve">@If(MachUtil2&gt;=MaxCPU;"Add machines. Maximum CPU exceeded";"") </t>
  </si>
  <si>
    <t>Comment5</t>
  </si>
  <si>
    <t>@If(MachUtil_1&gt;=MaxCPU;"Add cores. Maximum CPU exceeded";"")</t>
  </si>
  <si>
    <t>Comment6</t>
  </si>
  <si>
    <t xml:space="preserve">@If(DesRPE=0;"";@If(OSversion="64";@If(RegUsers/MachRecom_1&gt;(DPARreg*2);"add servers. number of 2 DPARs a piece exceeded";RegUsers/MachRecom_1&lt;=(DPARreg*2)&amp;RegUsers/MachRecom_1&gt;DPARreg;"2 DPARs a piece";"1 DPAR a piece");@If(RegUsers/MachRecom_1&gt;DPARreg;"thsi is a 32-bit OS, add servers, only one DPAR per server allowed,  number of users per DPAR  exceeded";"1 DPAR a piece"))) </t>
  </si>
  <si>
    <t>Comment7</t>
  </si>
  <si>
    <t>@If(MachUtil2_1&gt;=MaxCPU;"Add machines. Maximum CPU exceeded";"")</t>
  </si>
  <si>
    <t>Comment2 Power)</t>
  </si>
  <si>
    <t>x86 Comments</t>
  </si>
  <si>
    <t>@If(CoresUtil&gt;=MaxCPU;"Add cores. Maximum CPU exceeded";"")</t>
  </si>
  <si>
    <t>Extrapolation Comments</t>
  </si>
  <si>
    <t>Number of 4-Core Machines Recommended</t>
  </si>
  <si>
    <t>OS</t>
  </si>
  <si>
    <t>64-bit</t>
  </si>
  <si>
    <t>32-bit</t>
  </si>
  <si>
    <t>=IF(TUsersSiz=0,"",if(Concurrent_Users/MachRecom&gt;(DPARPeak*2),"Add servers. Number of DPARs a piece exceeded",Concurrent_Users/MachRecom&lt;=(DPARPeak*2)&amp;Concurrent_Users/MachRecom&gt;DPARPeak,"2 DPARs a piece","1 DPAR a piece"),if(Concurrent_Users/MachRecom&gt;DPARPeak,Add servers, only one DPAR per server allowed, number of users per DPAR exceeded","1 DPAR a piece")))</t>
  </si>
  <si>
    <t>=IF(DesRPE=0,"",if(Concurrent_Users/MachRecom_1&gt;(DPARPeak*2),"Add servers. Number of DPARs a piece exceeded",Concurrent_Users/MachRecom_1&lt;=(DPARPeak*2)&amp;Concurrent_Users/MachRecom_1&gt;DPARPeak,"2 DPARs a piece","1 DPAR a piece"),if(Concurrent_Users/MachRecom_1&gt;DPARPeak,Add servers, only one DPAR per server allowed, number of users per DPAR exceeded","1 DPAR a piece")))</t>
  </si>
  <si>
    <t>Extrapolation to Other x86 Hardware:</t>
  </si>
  <si>
    <t>=IF(TUsersSiz=0,"",if(HTTP_Browser&gt;=Notes_Clients,"1 DPAR a piece",if(VOP_Clients&gt;Notes_Clients,"1 DPAR a piece",if(Notes_Clients&gt;HTTP_Browser,"2 DPARs a piece",if(Notes_Clients&gt;VOP_Clients,"2 DPARs a piece)))))</t>
  </si>
  <si>
    <t>* DPAR configuration will depend on how the client workload is distributed. If the majority (or ALL) clients are iNotes or Verse On-Premises clients 4 cores per VM/DPAR will be required. If majority are Notes clients, 2-core DPARs (2 DPARs per 4-core Server/VM) are acceptable.</t>
  </si>
  <si>
    <t>Extrapolation to Power Hardware:</t>
  </si>
  <si>
    <t>Factor</t>
  </si>
  <si>
    <t>Adj. CPU %</t>
  </si>
  <si>
    <t>x86 CPU %</t>
  </si>
  <si>
    <t>Power per Core RPE2</t>
  </si>
  <si>
    <t>RPE2 per Core</t>
  </si>
  <si>
    <t>RPE2 Factor</t>
  </si>
  <si>
    <t>Adjusted CPU%</t>
  </si>
  <si>
    <t>Recommendation</t>
  </si>
  <si>
    <t>RPE2 for 4 cores of specific processor</t>
  </si>
  <si>
    <t>9.x</t>
  </si>
  <si>
    <t>Dev8_1</t>
  </si>
  <si>
    <t>Dev8_2</t>
  </si>
  <si>
    <t>Dev8_3</t>
  </si>
  <si>
    <t>Dev8_4</t>
  </si>
  <si>
    <t>Dev9_1</t>
  </si>
  <si>
    <t>Dev9_2</t>
  </si>
  <si>
    <t>Dev9_3</t>
  </si>
  <si>
    <t>Dev9_4</t>
  </si>
  <si>
    <t>=IF(Device=0,0,IF(Device&lt;=Dev9_4,1,ROUNDUP((Device/Dev9_4)+0.49,0)))</t>
  </si>
  <si>
    <t>devices per server</t>
  </si>
  <si>
    <t>=IF(Device=0,0,ROUNDUP((DevicePool/Dev9_4/4)+0.49,0)*IF(Device&lt;=Dev9_4,1,ROUNDUP((Device/Dev9_4)+0.49,0)))</t>
  </si>
  <si>
    <t>=IF(Device=0,0,IF((AND(Device&lt;=Dev9_1,Virtual="Yes")),1,IF(AND((Device&lt;=Dev9_2),Virtual="Yes"),2,4)))</t>
  </si>
  <si>
    <t>=IF(Device&lt;=Dev9_2,8,16)</t>
  </si>
  <si>
    <t>=IF(Device=0,0,2)</t>
  </si>
  <si>
    <t>MBPS</t>
  </si>
  <si>
    <t>=IF(Device=0,0,IF(DevicePool&lt;=Dev9_2,8,IF(DevicePool&lt;=Dev9_3,16,32)))</t>
  </si>
  <si>
    <t>=IF(Device=0,0,IF(AND(Virtual="Yes",DevicePool&lt;=Dev9_2),1,2))</t>
  </si>
  <si>
    <t>=IF(Device&lt;=Dev9_2,4,8)</t>
  </si>
  <si>
    <t>Long Formula Translations to Excel:</t>
  </si>
  <si>
    <t>=IF(Device=0,0,IF(DevicePool&lt;=Dev9_1),2,IF(DevicePool&lt;=Dev9_2),3,IF(DevicePool&lt;=Dev9_3,6,8))</t>
  </si>
  <si>
    <t>=IF(Device=0,0,IF(DevicePool&lt;=Dev9_2,2,4))</t>
  </si>
  <si>
    <t>=IF(Device=0,0,((Dev9_4/100)*(DevicePool/Dev9_2))</t>
  </si>
  <si>
    <t>DB Additional Calculations (Per Server Pool)</t>
  </si>
  <si>
    <t>=IF(Device=0,0,(((DevicePool*0.4)/1000)*1))</t>
  </si>
  <si>
    <t>=IF(Device=0,0,((DevicePool/Dev9_2)*2))</t>
  </si>
  <si>
    <t>=IF(Device=0,0,IF((AND(DevicePool&lt;=Dev9_1,Virtual="Yes")),1,IF((AND(DevicePool&lt;=Dev9_2,Virtual="Yes")),2,IF(DevicePool&lt;=Dev9_3,4,4))))</t>
  </si>
  <si>
    <t>=IF(Device=0,0,ServerFailover+ServerBase)</t>
  </si>
  <si>
    <t>=IF(Device=0,0,DevicePool/TLServer)</t>
  </si>
  <si>
    <t>=IF(Device=0,0,(Device/ServerPool))</t>
  </si>
  <si>
    <t>=IF(Device=0,0,1)</t>
  </si>
  <si>
    <t>=IF(Device=0,0,(DevicePool/1000)*4)</t>
  </si>
  <si>
    <t>Total Number of Users Sized for:</t>
  </si>
  <si>
    <t>Total Client Number</t>
  </si>
  <si>
    <t>Number of Cores Required</t>
  </si>
  <si>
    <t>Max CPU:</t>
  </si>
  <si>
    <t>Replica Time Interval</t>
  </si>
  <si>
    <t>Extrapolation</t>
  </si>
  <si>
    <t>If Time Interval response in questionnaire is &gt; 10 minutes, include Local Replicas users in the Notes Clients total</t>
  </si>
  <si>
    <t>Notes and Comments:</t>
  </si>
  <si>
    <t>NOTE: Remember that we size mail workloads for the "Peak User" load, NOT for Total Registered Users.</t>
  </si>
  <si>
    <t xml:space="preserve"> &gt;    &gt;   &gt;    &gt;   &gt;    &gt;    </t>
  </si>
  <si>
    <t>Base Machine RPE2 (4-core machiine)</t>
  </si>
  <si>
    <t>Base Machine Suggested Recommendation:</t>
  </si>
  <si>
    <t>Enter any relevant notes or comments below:</t>
  </si>
  <si>
    <t>Usage Input Model (Based on Average Mail File Size)</t>
  </si>
  <si>
    <t>IMAP4</t>
  </si>
  <si>
    <t>Local Replicas (Notes Clients)</t>
  </si>
  <si>
    <t>Enter relevant hardware information here, i.e. Processor model or server model used for the extrapolation, etc.</t>
  </si>
  <si>
    <t>5% virtualization overhead is alrady included in the RPE2 Per Core calculations.</t>
  </si>
  <si>
    <t>Users</t>
  </si>
  <si>
    <t>Avg Mail File Size (MB)</t>
  </si>
  <si>
    <t>Average Mail File Size Calculation</t>
  </si>
  <si>
    <t>Total Registered Users (Include any expected growth)</t>
  </si>
  <si>
    <t xml:space="preserve">Weighted Average MFS = </t>
  </si>
  <si>
    <t>Virtualization?</t>
  </si>
  <si>
    <t>Total Machines/VMs</t>
  </si>
  <si>
    <t>Base Machines Required for Processors</t>
  </si>
  <si>
    <t>Test Machine Processor (Xeon E5-2609 Quad Core 2.4GHz (1ch/4co)); RPE2: 6,450</t>
  </si>
  <si>
    <t>The 10% virtualization overhead is included in the x86 Exptrpolation formulas. Your RPE2 input should be for 4 cores of your specific processor (with NO overhead subtracted).</t>
  </si>
  <si>
    <t>IF(DesRPE_1=0,0,IF(Virtualization="Yes",(FourCoreM4*1.1)/TotalMach_VM2,FourCoreM4/TotalMach_VM2)))</t>
  </si>
  <si>
    <t>IF(DesRPE_1=0,0,ROUND(MachPeak)+0.49))+add_1</t>
  </si>
  <si>
    <t>x86 standard is 3,000 registered users per DPAR</t>
  </si>
  <si>
    <t xml:space="preserve">   </t>
  </si>
  <si>
    <t>POWER</t>
  </si>
  <si>
    <t>If TUsersSiz=0,0,IF(Virtualization="Yes",(FourCoreM4*101)/TotalMach_VM2)*4/ServerCores,FourCoreM4/TotalMach_VM2</t>
  </si>
  <si>
    <t>Concurrent/Peak Users:</t>
  </si>
  <si>
    <t>Concurrent/Peak Users per DPAR</t>
  </si>
  <si>
    <t>Domino Server Workload Estimate DPC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</si>
</sst>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2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indexed="206"/>
      <name val="Calibri"/>
      <family val="2"/>
    </font>
    <font>
      <sz val="12"/>
      <color indexed="207"/>
      <name val="Calibri"/>
      <family val="2"/>
    </font>
    <font>
      <sz val="12"/>
      <color indexed="208"/>
      <name val="Calibri"/>
      <family val="2"/>
    </font>
    <font>
      <sz val="10"/>
      <color rgb="FF000000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3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quotePrefix="1" applyFill="1"/>
    <xf numFmtId="3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Alignment="1"/>
    <xf numFmtId="0" fontId="0" fillId="0" borderId="0" xfId="0" applyFill="1"/>
    <xf numFmtId="0" fontId="3" fillId="0" borderId="0" xfId="0" applyFont="1"/>
    <xf numFmtId="3" fontId="1" fillId="0" borderId="0" xfId="0" applyNumberFormat="1" applyFont="1" applyFill="1" applyAlignment="1">
      <alignment horizontal="right"/>
    </xf>
    <xf numFmtId="9" fontId="0" fillId="0" borderId="0" xfId="0" applyNumberFormat="1" applyFill="1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7" borderId="0" xfId="0" applyFill="1" applyAlignment="1">
      <alignment horizontal="right"/>
    </xf>
    <xf numFmtId="0" fontId="0" fillId="7" borderId="0" xfId="0" applyFill="1"/>
    <xf numFmtId="0" fontId="0" fillId="0" borderId="0" xfId="0" applyFill="1" applyAlignment="1">
      <alignment horizontal="right"/>
    </xf>
    <xf numFmtId="0" fontId="2" fillId="0" borderId="0" xfId="0" applyFont="1" applyFill="1"/>
    <xf numFmtId="0" fontId="0" fillId="0" borderId="0" xfId="0" quotePrefix="1" applyFill="1"/>
    <xf numFmtId="0" fontId="4" fillId="0" borderId="0" xfId="0" applyFont="1" applyAlignment="1"/>
    <xf numFmtId="0" fontId="0" fillId="0" borderId="0" xfId="0" quotePrefix="1"/>
    <xf numFmtId="0" fontId="9" fillId="0" borderId="0" xfId="0" applyFont="1"/>
    <xf numFmtId="1" fontId="0" fillId="7" borderId="0" xfId="0" applyNumberFormat="1" applyFill="1"/>
    <xf numFmtId="3" fontId="0" fillId="7" borderId="0" xfId="0" applyNumberFormat="1" applyFill="1"/>
    <xf numFmtId="10" fontId="0" fillId="7" borderId="0" xfId="0" applyNumberFormat="1" applyFill="1"/>
    <xf numFmtId="0" fontId="0" fillId="0" borderId="0" xfId="0" applyAlignment="1">
      <alignment horizontal="left" indent="16"/>
    </xf>
    <xf numFmtId="1" fontId="0" fillId="7" borderId="0" xfId="0" applyNumberFormat="1" applyFill="1" applyAlignment="1">
      <alignment horizontal="right"/>
    </xf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right"/>
    </xf>
    <xf numFmtId="1" fontId="0" fillId="0" borderId="0" xfId="0" applyNumberFormat="1" applyFill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Fill="1" applyAlignment="1"/>
    <xf numFmtId="0" fontId="1" fillId="9" borderId="0" xfId="0" applyFont="1" applyFill="1"/>
    <xf numFmtId="0" fontId="0" fillId="9" borderId="0" xfId="0" applyFill="1"/>
    <xf numFmtId="0" fontId="1" fillId="9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13" fillId="0" borderId="0" xfId="0" applyFont="1" applyAlignment="1">
      <alignment vertical="top"/>
    </xf>
    <xf numFmtId="0" fontId="17" fillId="0" borderId="0" xfId="0" applyFont="1"/>
    <xf numFmtId="0" fontId="18" fillId="0" borderId="0" xfId="0" applyFont="1"/>
    <xf numFmtId="164" fontId="18" fillId="0" borderId="0" xfId="0" applyNumberFormat="1" applyFont="1"/>
    <xf numFmtId="10" fontId="18" fillId="0" borderId="0" xfId="0" applyNumberFormat="1" applyFont="1"/>
    <xf numFmtId="10" fontId="0" fillId="0" borderId="0" xfId="0" applyNumberFormat="1"/>
    <xf numFmtId="0" fontId="17" fillId="0" borderId="0" xfId="0" applyFont="1" applyAlignment="1">
      <alignment horizontal="center" wrapText="1"/>
    </xf>
    <xf numFmtId="0" fontId="10" fillId="0" borderId="0" xfId="0" applyFont="1" applyAlignment="1">
      <alignment horizontal="left"/>
    </xf>
    <xf numFmtId="164" fontId="0" fillId="7" borderId="0" xfId="0" applyNumberFormat="1" applyFill="1"/>
    <xf numFmtId="0" fontId="1" fillId="4" borderId="0" xfId="0" applyFont="1" applyFill="1"/>
    <xf numFmtId="0" fontId="0" fillId="10" borderId="0" xfId="0" applyFill="1"/>
    <xf numFmtId="0" fontId="0" fillId="0" borderId="0" xfId="0" applyAlignment="1">
      <alignment horizontal="left"/>
    </xf>
    <xf numFmtId="1" fontId="0" fillId="10" borderId="0" xfId="0" applyNumberFormat="1" applyFill="1"/>
    <xf numFmtId="0" fontId="4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3" fontId="19" fillId="0" borderId="0" xfId="0" applyNumberFormat="1" applyFont="1"/>
    <xf numFmtId="0" fontId="20" fillId="0" borderId="0" xfId="0" applyFont="1"/>
    <xf numFmtId="0" fontId="20" fillId="0" borderId="0" xfId="0" quotePrefix="1" applyFont="1"/>
    <xf numFmtId="0" fontId="20" fillId="0" borderId="0" xfId="0" quotePrefix="1" applyFont="1" applyAlignment="1">
      <alignment horizontal="left"/>
    </xf>
    <xf numFmtId="0" fontId="21" fillId="0" borderId="0" xfId="0" quotePrefix="1" applyFont="1"/>
    <xf numFmtId="0" fontId="21" fillId="0" borderId="0" xfId="0" applyFont="1"/>
    <xf numFmtId="3" fontId="0" fillId="10" borderId="0" xfId="0" applyNumberFormat="1" applyFill="1"/>
    <xf numFmtId="1" fontId="0" fillId="7" borderId="0" xfId="0" quotePrefix="1" applyNumberFormat="1" applyFill="1"/>
    <xf numFmtId="3" fontId="0" fillId="5" borderId="0" xfId="0" applyNumberFormat="1" applyFill="1" applyAlignment="1" applyProtection="1">
      <alignment horizontal="right"/>
      <protection locked="0"/>
    </xf>
    <xf numFmtId="3" fontId="0" fillId="8" borderId="0" xfId="0" applyNumberFormat="1" applyFill="1" applyProtection="1">
      <protection locked="0"/>
    </xf>
    <xf numFmtId="1" fontId="0" fillId="5" borderId="0" xfId="0" applyNumberFormat="1" applyFill="1" applyProtection="1">
      <protection locked="0"/>
    </xf>
    <xf numFmtId="3" fontId="0" fillId="5" borderId="0" xfId="0" applyNumberFormat="1" applyFill="1" applyProtection="1">
      <protection locked="0"/>
    </xf>
    <xf numFmtId="0" fontId="0" fillId="5" borderId="0" xfId="0" applyFill="1" applyAlignment="1" applyProtection="1">
      <alignment horizontal="center"/>
      <protection locked="0"/>
    </xf>
    <xf numFmtId="9" fontId="0" fillId="5" borderId="0" xfId="0" applyNumberFormat="1" applyFill="1" applyProtection="1">
      <protection locked="0"/>
    </xf>
    <xf numFmtId="3" fontId="0" fillId="8" borderId="0" xfId="0" applyNumberFormat="1" applyFill="1"/>
    <xf numFmtId="0" fontId="22" fillId="0" borderId="0" xfId="0" applyFont="1"/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Border="1" applyAlignment="1"/>
    <xf numFmtId="0" fontId="1" fillId="0" borderId="0" xfId="0" applyFont="1" applyFill="1" applyBorder="1" applyAlignment="1"/>
    <xf numFmtId="0" fontId="3" fillId="0" borderId="0" xfId="0" applyFont="1" applyAlignment="1">
      <alignment horizontal="center"/>
    </xf>
    <xf numFmtId="10" fontId="10" fillId="0" borderId="0" xfId="0" applyNumberFormat="1" applyFont="1" applyAlignment="1">
      <alignment horizontal="right"/>
    </xf>
    <xf numFmtId="49" fontId="23" fillId="0" borderId="0" xfId="0" applyNumberFormat="1" applyFont="1" applyAlignment="1"/>
    <xf numFmtId="49" fontId="0" fillId="0" borderId="0" xfId="0" applyNumberFormat="1" applyFill="1" applyBorder="1" applyAlignment="1" applyProtection="1">
      <alignment horizontal="left"/>
    </xf>
    <xf numFmtId="3" fontId="1" fillId="0" borderId="0" xfId="0" applyNumberFormat="1" applyFont="1"/>
    <xf numFmtId="3" fontId="0" fillId="0" borderId="0" xfId="0" applyNumberFormat="1" applyAlignment="1">
      <alignment horizontal="right"/>
    </xf>
    <xf numFmtId="0" fontId="12" fillId="0" borderId="0" xfId="0" applyFont="1"/>
    <xf numFmtId="0" fontId="12" fillId="0" borderId="0" xfId="0" applyFont="1" applyFill="1"/>
    <xf numFmtId="0" fontId="12" fillId="0" borderId="0" xfId="0" applyFont="1" applyAlignment="1">
      <alignment vertical="top" wrapText="1"/>
    </xf>
    <xf numFmtId="0" fontId="24" fillId="0" borderId="0" xfId="0" applyFont="1" applyAlignment="1">
      <alignment vertical="center"/>
    </xf>
    <xf numFmtId="0" fontId="0" fillId="0" borderId="0" xfId="0" applyAlignment="1">
      <alignment horizontal="right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vertical="top"/>
    </xf>
    <xf numFmtId="0" fontId="0" fillId="0" borderId="0" xfId="0" applyProtection="1"/>
    <xf numFmtId="0" fontId="11" fillId="0" borderId="0" xfId="0" applyFont="1" applyAlignment="1" applyProtection="1">
      <alignment vertical="top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1" fontId="0" fillId="0" borderId="0" xfId="0" applyNumberFormat="1"/>
    <xf numFmtId="0" fontId="0" fillId="0" borderId="0" xfId="0" applyAlignment="1">
      <alignment horizontal="center"/>
    </xf>
    <xf numFmtId="0" fontId="0" fillId="11" borderId="0" xfId="0" applyFill="1"/>
    <xf numFmtId="165" fontId="0" fillId="11" borderId="0" xfId="0" applyNumberFormat="1" applyFill="1"/>
    <xf numFmtId="0" fontId="0" fillId="5" borderId="0" xfId="0" applyFill="1" applyProtection="1">
      <protection locked="0"/>
    </xf>
    <xf numFmtId="0" fontId="0" fillId="0" borderId="0" xfId="0" applyFont="1" applyAlignment="1">
      <alignment horizontal="right"/>
    </xf>
    <xf numFmtId="0" fontId="0" fillId="0" borderId="0" xfId="0" applyFill="1" applyBorder="1" applyAlignment="1" applyProtection="1">
      <alignment horizontal="center"/>
      <protection locked="0"/>
    </xf>
    <xf numFmtId="1" fontId="0" fillId="5" borderId="0" xfId="0" applyNumberFormat="1" applyFill="1" applyAlignment="1">
      <alignment horizontal="right"/>
    </xf>
    <xf numFmtId="10" fontId="0" fillId="7" borderId="0" xfId="0" applyNumberFormat="1" applyFill="1" applyAlignment="1">
      <alignment horizontal="right"/>
    </xf>
    <xf numFmtId="0" fontId="1" fillId="0" borderId="0" xfId="0" applyFont="1" applyAlignment="1">
      <alignment horizontal="center"/>
    </xf>
    <xf numFmtId="1" fontId="0" fillId="7" borderId="0" xfId="0" applyNumberFormat="1" applyFill="1" applyProtection="1">
      <protection locked="0"/>
    </xf>
    <xf numFmtId="0" fontId="0" fillId="0" borderId="0" xfId="0" applyFont="1" applyAlignment="1" applyProtection="1">
      <alignment horizontal="center"/>
      <protection locked="0"/>
    </xf>
    <xf numFmtId="49" fontId="0" fillId="5" borderId="0" xfId="0" applyNumberFormat="1" applyFill="1" applyBorder="1" applyAlignment="1" applyProtection="1">
      <alignment horizontal="left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 applyProtection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 applyProtection="1">
      <alignment horizontal="left" vertical="top" wrapText="1"/>
      <protection locked="0"/>
    </xf>
    <xf numFmtId="0" fontId="11" fillId="0" borderId="0" xfId="0" applyFont="1" applyAlignment="1" applyProtection="1">
      <alignment horizontal="left" vertical="top" wrapText="1"/>
      <protection locked="0"/>
    </xf>
    <xf numFmtId="0" fontId="12" fillId="0" borderId="0" xfId="0" applyFont="1" applyAlignment="1">
      <alignment horizontal="left" vertical="top" wrapText="1"/>
    </xf>
    <xf numFmtId="0" fontId="0" fillId="9" borderId="0" xfId="0" applyFill="1" applyAlignment="1">
      <alignment horizontal="left"/>
    </xf>
    <xf numFmtId="0" fontId="2" fillId="6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2" fillId="0" borderId="0" xfId="0" quotePrefix="1" applyFont="1" applyAlignment="1">
      <alignment horizontal="right"/>
    </xf>
    <xf numFmtId="0" fontId="12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0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0" fillId="0" borderId="0" xfId="0" applyAlignment="1" applyProtection="1">
      <alignment horizontal="left" vertical="top"/>
      <protection locked="0"/>
    </xf>
    <xf numFmtId="0" fontId="20" fillId="0" borderId="0" xfId="0" quotePrefix="1" applyFont="1" applyAlignment="1">
      <alignment horizontal="left"/>
    </xf>
    <xf numFmtId="0" fontId="20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11" fillId="0" borderId="0" xfId="0" applyFont="1" applyAlignment="1">
      <alignment horizontal="left" wrapText="1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5" borderId="0" xfId="0" applyNumberFormat="1" applyFill="1" applyProtection="1">
      <protection locked="0"/>
    </xf>
    <xf numFmtId="0" fontId="0" fillId="0" borderId="0" xfId="0" applyNumberFormat="1"/>
    <xf numFmtId="0" fontId="0" fillId="5" borderId="0" xfId="0" applyNumberFormat="1" applyFill="1" applyBorder="1" applyAlignment="1" applyProtection="1">
      <alignment horizontal="center" wrapText="1"/>
      <protection locked="0"/>
    </xf>
    <xf numFmtId="0" fontId="0" fillId="5" borderId="0" xfId="0" quotePrefix="1" applyNumberFormat="1" applyFill="1" applyProtection="1">
      <protection locked="0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E0FF45"/>
      <color rgb="FFD0BA00"/>
      <color rgb="FFC3BBFC"/>
      <color rgb="FFB45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2"/>
  <sheetViews>
    <sheetView showGridLines="0" tabSelected="1" zoomScale="140" zoomScaleNormal="140" zoomScalePageLayoutView="140" workbookViewId="0">
      <selection activeCell="D7" sqref="D7"/>
    </sheetView>
  </sheetViews>
  <sheetFormatPr baseColWidth="10" defaultRowHeight="16" x14ac:dyDescent="0.2"/>
  <cols>
    <col min="1" max="1" width="1.83203125" customWidth="1"/>
    <col min="2" max="2" width="29.1640625" customWidth="1"/>
    <col min="3" max="3" width="1.1640625" style="11" customWidth="1"/>
    <col min="4" max="4" width="15.1640625" customWidth="1"/>
    <col min="5" max="5" width="15.33203125" customWidth="1"/>
    <col min="6" max="6" width="11.83203125" customWidth="1"/>
    <col min="7" max="7" width="10.5" customWidth="1"/>
    <col min="8" max="8" width="16.6640625" customWidth="1"/>
    <col min="9" max="9" width="2.83203125" customWidth="1"/>
    <col min="10" max="10" width="14.1640625" customWidth="1"/>
    <col min="11" max="11" width="26.1640625" customWidth="1"/>
    <col min="12" max="12" width="16.33203125" customWidth="1"/>
  </cols>
  <sheetData>
    <row r="1" spans="2:11" ht="19" x14ac:dyDescent="0.25">
      <c r="B1" s="2" t="s">
        <v>291</v>
      </c>
      <c r="C1" s="22"/>
      <c r="D1" s="2"/>
    </row>
    <row r="3" spans="2:11" x14ac:dyDescent="0.2">
      <c r="B3" s="72" t="s">
        <v>29</v>
      </c>
      <c r="C3" s="73"/>
      <c r="D3" s="108"/>
      <c r="E3" s="108"/>
      <c r="F3" s="108"/>
      <c r="G3" s="108"/>
    </row>
    <row r="4" spans="2:11" ht="18" customHeight="1" x14ac:dyDescent="0.2">
      <c r="B4" s="72" t="s">
        <v>30</v>
      </c>
      <c r="C4" s="74"/>
      <c r="D4" s="108"/>
      <c r="E4" s="108"/>
      <c r="F4" s="108"/>
      <c r="G4" s="108"/>
    </row>
    <row r="5" spans="2:11" s="11" customFormat="1" ht="19" customHeight="1" x14ac:dyDescent="0.2">
      <c r="B5" s="73"/>
      <c r="C5" s="75"/>
      <c r="D5" s="79"/>
      <c r="E5" s="79"/>
      <c r="F5" s="79"/>
      <c r="G5" s="79"/>
    </row>
    <row r="6" spans="2:11" ht="33" customHeight="1" x14ac:dyDescent="0.2">
      <c r="B6" s="109" t="s">
        <v>19</v>
      </c>
      <c r="C6" s="109"/>
      <c r="D6" s="109"/>
      <c r="E6" s="109"/>
      <c r="F6" s="109"/>
      <c r="G6" s="109"/>
      <c r="H6" s="109"/>
      <c r="I6" s="109"/>
      <c r="J6" s="109"/>
      <c r="K6" s="109"/>
    </row>
    <row r="7" spans="2:11" x14ac:dyDescent="0.2">
      <c r="B7" s="5" t="s">
        <v>1</v>
      </c>
      <c r="D7" s="134">
        <v>0</v>
      </c>
    </row>
    <row r="8" spans="2:11" x14ac:dyDescent="0.2">
      <c r="B8" s="5" t="s">
        <v>2</v>
      </c>
      <c r="D8" s="134">
        <v>0</v>
      </c>
    </row>
    <row r="9" spans="2:11" x14ac:dyDescent="0.2">
      <c r="B9" s="5" t="s">
        <v>3</v>
      </c>
      <c r="D9" s="7">
        <f>ROUNDUP($D$7*$D$8,0)</f>
        <v>0</v>
      </c>
    </row>
    <row r="10" spans="2:11" s="11" customFormat="1" x14ac:dyDescent="0.2"/>
    <row r="11" spans="2:11" x14ac:dyDescent="0.2">
      <c r="B11" s="5" t="s">
        <v>20</v>
      </c>
      <c r="D11" s="67">
        <v>0</v>
      </c>
      <c r="E11" s="1" t="s">
        <v>21</v>
      </c>
    </row>
    <row r="12" spans="2:11" x14ac:dyDescent="0.2">
      <c r="B12" s="6" t="s">
        <v>4</v>
      </c>
      <c r="C12" s="23"/>
      <c r="D12" s="137">
        <v>0</v>
      </c>
      <c r="E12" s="76" t="s">
        <v>39</v>
      </c>
      <c r="F12" s="113" t="s">
        <v>76</v>
      </c>
      <c r="G12" s="113"/>
      <c r="H12" s="113"/>
      <c r="I12" s="113"/>
      <c r="J12" s="113"/>
    </row>
    <row r="13" spans="2:11" x14ac:dyDescent="0.2">
      <c r="B13" s="5" t="s">
        <v>5</v>
      </c>
      <c r="D13" s="7">
        <f>ROUNDUP(($D$7*Average_MFS)/1000,0)</f>
        <v>0</v>
      </c>
      <c r="E13" s="1" t="s">
        <v>22</v>
      </c>
    </row>
    <row r="14" spans="2:11" x14ac:dyDescent="0.2">
      <c r="B14" s="5" t="s">
        <v>6</v>
      </c>
      <c r="D14" s="7">
        <f>ROUNDUP((D13*D12)+D13,1)</f>
        <v>0</v>
      </c>
      <c r="E14" s="1" t="s">
        <v>22</v>
      </c>
    </row>
    <row r="15" spans="2:11" x14ac:dyDescent="0.2">
      <c r="B15" s="11"/>
      <c r="D15" s="7"/>
      <c r="E15" s="1"/>
    </row>
    <row r="16" spans="2:11" s="11" customFormat="1" x14ac:dyDescent="0.2">
      <c r="B16" s="111" t="s">
        <v>41</v>
      </c>
      <c r="C16" s="111"/>
      <c r="D16" s="111"/>
      <c r="E16" s="111"/>
      <c r="G16" s="112" t="s">
        <v>268</v>
      </c>
      <c r="H16" s="112"/>
      <c r="I16" s="112"/>
      <c r="J16" s="112"/>
    </row>
    <row r="17" spans="2:11" x14ac:dyDescent="0.2">
      <c r="B17" s="5" t="s">
        <v>7</v>
      </c>
      <c r="D17" s="134">
        <v>0</v>
      </c>
      <c r="E17" s="80">
        <f>((Concurrent_Users*Power_Users)*3)</f>
        <v>0</v>
      </c>
      <c r="G17" s="24" t="s">
        <v>25</v>
      </c>
      <c r="H17" s="10"/>
    </row>
    <row r="18" spans="2:11" x14ac:dyDescent="0.2">
      <c r="B18" s="5" t="s">
        <v>23</v>
      </c>
      <c r="D18" s="134">
        <v>0</v>
      </c>
      <c r="E18" s="80">
        <f>(Concurrent_Users*(Heavy_Users*2))</f>
        <v>0</v>
      </c>
      <c r="G18" s="24" t="s">
        <v>67</v>
      </c>
      <c r="H18" s="10"/>
    </row>
    <row r="19" spans="2:11" x14ac:dyDescent="0.2">
      <c r="B19" s="5" t="s">
        <v>8</v>
      </c>
      <c r="D19" s="134">
        <v>0</v>
      </c>
      <c r="E19" s="80">
        <f>(Concurrent_Users*(Medium_Users*1))</f>
        <v>0</v>
      </c>
      <c r="G19" s="24" t="s">
        <v>68</v>
      </c>
      <c r="H19" s="10"/>
    </row>
    <row r="20" spans="2:11" x14ac:dyDescent="0.2">
      <c r="B20" s="5" t="s">
        <v>9</v>
      </c>
      <c r="D20" s="134">
        <v>0</v>
      </c>
      <c r="E20" s="80">
        <f>(Concurrent_Users*(Light_Users/2))</f>
        <v>0</v>
      </c>
      <c r="G20" s="24" t="s">
        <v>26</v>
      </c>
      <c r="H20" s="10"/>
    </row>
    <row r="21" spans="2:11" x14ac:dyDescent="0.2">
      <c r="B21" s="5" t="s">
        <v>10</v>
      </c>
      <c r="D21" s="135">
        <f>SUM(D17:D20)</f>
        <v>0</v>
      </c>
      <c r="E21" s="7">
        <f>SUM(E17:E20)</f>
        <v>0</v>
      </c>
      <c r="G21" s="24" t="s">
        <v>27</v>
      </c>
      <c r="H21" s="10"/>
    </row>
    <row r="22" spans="2:11" x14ac:dyDescent="0.2">
      <c r="G22" s="24" t="s">
        <v>28</v>
      </c>
      <c r="H22" s="10"/>
    </row>
    <row r="23" spans="2:11" x14ac:dyDescent="0.2">
      <c r="G23" s="10"/>
      <c r="H23" s="10"/>
    </row>
    <row r="24" spans="2:11" ht="19" x14ac:dyDescent="0.25">
      <c r="B24" s="110" t="s">
        <v>38</v>
      </c>
      <c r="C24" s="110"/>
      <c r="D24" s="110"/>
      <c r="E24" s="110"/>
      <c r="F24" s="110"/>
      <c r="G24" s="110"/>
      <c r="H24" s="110"/>
      <c r="I24" s="110"/>
      <c r="J24" s="110"/>
      <c r="K24" s="110"/>
    </row>
    <row r="25" spans="2:11" ht="14" customHeight="1" x14ac:dyDescent="0.2">
      <c r="B25" s="111" t="s">
        <v>41</v>
      </c>
      <c r="C25" s="111"/>
      <c r="D25" s="111"/>
      <c r="E25" s="111"/>
    </row>
    <row r="26" spans="2:11" x14ac:dyDescent="0.2">
      <c r="B26" s="3" t="s">
        <v>12</v>
      </c>
      <c r="D26" s="67">
        <v>0</v>
      </c>
      <c r="E26" s="81">
        <f>IF(TRegistered_Users=0,0,((Notes_Clients/TRegistered_Users)*UsersSoFar))</f>
        <v>0</v>
      </c>
    </row>
    <row r="27" spans="2:11" x14ac:dyDescent="0.2">
      <c r="B27" s="3" t="s">
        <v>24</v>
      </c>
      <c r="D27" s="67">
        <v>0</v>
      </c>
      <c r="E27" s="81">
        <f>IF(TRegistered_Users=0,0,(((HTTP_Browser_Clients*2.5)/TRegistered_Users)*UsersSoFar))</f>
        <v>0</v>
      </c>
    </row>
    <row r="28" spans="2:11" x14ac:dyDescent="0.2">
      <c r="B28" s="3" t="s">
        <v>13</v>
      </c>
      <c r="D28" s="67">
        <v>0</v>
      </c>
      <c r="E28" s="81">
        <f>IF(TRegistered_Users=0,0,(((VOP_Clients*8)/TRegistered_Users)*UsersSoFar))</f>
        <v>0</v>
      </c>
    </row>
    <row r="29" spans="2:11" x14ac:dyDescent="0.2">
      <c r="B29" s="3" t="s">
        <v>14</v>
      </c>
      <c r="D29" s="67">
        <v>0</v>
      </c>
      <c r="E29" s="81">
        <f>IF(TRegistered_Users=0,0,((POP3_Clients/TRegistered_Users)*UsersSoFar)/2)</f>
        <v>0</v>
      </c>
    </row>
    <row r="30" spans="2:11" x14ac:dyDescent="0.2">
      <c r="B30" s="3" t="s">
        <v>269</v>
      </c>
      <c r="D30" s="67">
        <v>0</v>
      </c>
      <c r="E30" s="81">
        <f>IF(TRegistered_Users=0,0,((IMAP4_Clients/TRegistered_Users)*UsersSoFar)*1.7)</f>
        <v>0</v>
      </c>
      <c r="F30" s="71" t="s">
        <v>259</v>
      </c>
    </row>
    <row r="31" spans="2:11" x14ac:dyDescent="0.2">
      <c r="B31" s="3" t="s">
        <v>270</v>
      </c>
      <c r="D31" s="67">
        <v>0</v>
      </c>
      <c r="E31" s="81">
        <f>IF(TRegistered_Users=0,0,((Local_Replicas/TRegistered_Users)*UsersSoFar))</f>
        <v>0</v>
      </c>
      <c r="F31" s="66">
        <v>0</v>
      </c>
      <c r="G31" s="12" t="s">
        <v>40</v>
      </c>
      <c r="H31" s="78" t="s">
        <v>261</v>
      </c>
    </row>
    <row r="32" spans="2:11" x14ac:dyDescent="0.2">
      <c r="B32" s="3" t="s">
        <v>256</v>
      </c>
      <c r="D32" s="70">
        <f>SUM(D26:D31)</f>
        <v>0</v>
      </c>
      <c r="E32" s="81">
        <f>SUM(E26:E31)</f>
        <v>0</v>
      </c>
      <c r="G32" s="12" t="s">
        <v>40</v>
      </c>
      <c r="H32" s="78" t="s">
        <v>37</v>
      </c>
    </row>
    <row r="34" spans="2:11" ht="19" x14ac:dyDescent="0.25">
      <c r="B34" s="110" t="s">
        <v>11</v>
      </c>
      <c r="C34" s="110"/>
      <c r="D34" s="110"/>
      <c r="E34" s="110"/>
      <c r="F34" s="110"/>
      <c r="G34" s="110"/>
      <c r="H34" s="110"/>
      <c r="I34" s="110"/>
      <c r="J34" s="110"/>
      <c r="K34" s="110"/>
    </row>
    <row r="35" spans="2:11" ht="13" customHeight="1" x14ac:dyDescent="0.2">
      <c r="B35" s="111" t="s">
        <v>41</v>
      </c>
      <c r="C35" s="111"/>
      <c r="D35" s="111"/>
      <c r="E35" s="111"/>
    </row>
    <row r="36" spans="2:11" x14ac:dyDescent="0.2">
      <c r="B36" s="4" t="s">
        <v>18</v>
      </c>
      <c r="D36" s="69">
        <v>0</v>
      </c>
      <c r="E36" s="13">
        <f>(D36*Concurrent_Users)</f>
        <v>0</v>
      </c>
    </row>
    <row r="37" spans="2:11" x14ac:dyDescent="0.2">
      <c r="B37" s="4" t="s">
        <v>17</v>
      </c>
      <c r="D37" s="69">
        <v>0</v>
      </c>
      <c r="E37" s="13">
        <f>(D37*Concurrent_Users)</f>
        <v>0</v>
      </c>
    </row>
    <row r="38" spans="2:11" x14ac:dyDescent="0.2">
      <c r="B38" s="4" t="s">
        <v>16</v>
      </c>
      <c r="D38" s="69">
        <v>0</v>
      </c>
      <c r="E38" s="13">
        <f>(HTTP*THttp)</f>
        <v>0</v>
      </c>
    </row>
    <row r="39" spans="2:11" x14ac:dyDescent="0.2">
      <c r="B39" s="4" t="s">
        <v>15</v>
      </c>
      <c r="D39" s="69">
        <v>0</v>
      </c>
      <c r="E39" s="13">
        <f>(D39*Concurrent_Users)</f>
        <v>0</v>
      </c>
    </row>
    <row r="40" spans="2:11" x14ac:dyDescent="0.2">
      <c r="B40" s="11"/>
      <c r="D40" s="14"/>
      <c r="E40" s="13">
        <f>SUM(E36:E39)</f>
        <v>0</v>
      </c>
    </row>
    <row r="42" spans="2:11" x14ac:dyDescent="0.2">
      <c r="B42" s="4" t="s">
        <v>255</v>
      </c>
      <c r="D42" s="51"/>
      <c r="E42" s="62">
        <f>Total_Clients+TAddOnUsers</f>
        <v>0</v>
      </c>
    </row>
    <row r="44" spans="2:11" x14ac:dyDescent="0.2">
      <c r="B44" s="91" t="s">
        <v>267</v>
      </c>
      <c r="C44" s="91"/>
      <c r="D44" s="91"/>
      <c r="E44" s="91"/>
      <c r="F44" s="91"/>
      <c r="G44" s="91"/>
      <c r="H44" s="91"/>
      <c r="I44" s="91"/>
      <c r="J44" s="91"/>
      <c r="K44" s="92"/>
    </row>
    <row r="45" spans="2:11" x14ac:dyDescent="0.2">
      <c r="B45" s="114"/>
      <c r="C45" s="114"/>
      <c r="D45" s="114"/>
      <c r="E45" s="114"/>
      <c r="F45" s="114"/>
      <c r="G45" s="114"/>
      <c r="H45" s="114"/>
      <c r="I45" s="91"/>
      <c r="J45" s="91"/>
    </row>
    <row r="46" spans="2:11" x14ac:dyDescent="0.2">
      <c r="B46" s="114"/>
      <c r="C46" s="114"/>
      <c r="D46" s="114"/>
      <c r="E46" s="114"/>
      <c r="F46" s="114"/>
      <c r="G46" s="114"/>
      <c r="H46" s="114"/>
      <c r="I46" s="90"/>
      <c r="J46" s="90"/>
    </row>
    <row r="47" spans="2:11" x14ac:dyDescent="0.2">
      <c r="B47" s="114"/>
      <c r="C47" s="114"/>
      <c r="D47" s="114"/>
      <c r="E47" s="114"/>
      <c r="F47" s="114"/>
      <c r="G47" s="114"/>
      <c r="H47" s="114"/>
      <c r="I47" s="90"/>
      <c r="J47" s="90"/>
    </row>
    <row r="48" spans="2:11" x14ac:dyDescent="0.2">
      <c r="B48" s="114"/>
      <c r="C48" s="114"/>
      <c r="D48" s="114"/>
      <c r="E48" s="114"/>
      <c r="F48" s="114"/>
      <c r="G48" s="114"/>
      <c r="H48" s="114"/>
      <c r="I48" s="90"/>
      <c r="J48" s="90"/>
    </row>
    <row r="49" spans="2:10" x14ac:dyDescent="0.2">
      <c r="B49" s="114"/>
      <c r="C49" s="114"/>
      <c r="D49" s="114"/>
      <c r="E49" s="114"/>
      <c r="F49" s="114"/>
      <c r="G49" s="114"/>
      <c r="H49" s="114"/>
      <c r="I49" s="90"/>
      <c r="J49" s="90"/>
    </row>
    <row r="50" spans="2:10" x14ac:dyDescent="0.2">
      <c r="B50" s="114"/>
      <c r="C50" s="114"/>
      <c r="D50" s="114"/>
      <c r="E50" s="114"/>
      <c r="F50" s="114"/>
      <c r="G50" s="114"/>
      <c r="H50" s="114"/>
    </row>
    <row r="51" spans="2:10" x14ac:dyDescent="0.2">
      <c r="B51" s="114"/>
      <c r="C51" s="114"/>
      <c r="D51" s="114"/>
      <c r="E51" s="114"/>
      <c r="F51" s="114"/>
      <c r="G51" s="114"/>
      <c r="H51" s="114"/>
    </row>
    <row r="52" spans="2:10" x14ac:dyDescent="0.2">
      <c r="B52" s="114"/>
      <c r="C52" s="114"/>
      <c r="D52" s="114"/>
      <c r="E52" s="114"/>
      <c r="F52" s="114"/>
      <c r="G52" s="114"/>
      <c r="H52" s="114"/>
    </row>
  </sheetData>
  <sheetProtection selectLockedCells="1"/>
  <mergeCells count="11">
    <mergeCell ref="B34:K34"/>
    <mergeCell ref="B35:E35"/>
    <mergeCell ref="B16:E16"/>
    <mergeCell ref="F12:J12"/>
    <mergeCell ref="B45:H52"/>
    <mergeCell ref="D3:G3"/>
    <mergeCell ref="B6:K6"/>
    <mergeCell ref="B24:K24"/>
    <mergeCell ref="B25:E25"/>
    <mergeCell ref="D4:G4"/>
    <mergeCell ref="G16:J16"/>
  </mergeCells>
  <conditionalFormatting sqref="D32">
    <cfRule type="cellIs" dxfId="1" priority="1" operator="notEqual">
      <formula>$D$7</formula>
    </cfRule>
    <cfRule type="cellIs" dxfId="0" priority="2" operator="equal">
      <formula>$D$7</formula>
    </cfRule>
  </conditionalFormatting>
  <pageMargins left="0.7" right="0.7" top="0.75" bottom="0.75" header="0.3" footer="0.3"/>
  <ignoredErrors>
    <ignoredError sqref="E40 E42 E32" evalError="1"/>
    <ignoredError sqref="E38" evalError="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topLeftCell="A2" zoomScale="130" zoomScaleNormal="130" workbookViewId="0">
      <selection activeCell="A5" sqref="A5"/>
    </sheetView>
  </sheetViews>
  <sheetFormatPr baseColWidth="10" defaultRowHeight="16" x14ac:dyDescent="0.2"/>
  <sheetData>
    <row r="2" spans="1:3" ht="19" x14ac:dyDescent="0.25">
      <c r="A2" s="2" t="s">
        <v>275</v>
      </c>
    </row>
    <row r="5" spans="1:3" x14ac:dyDescent="0.2">
      <c r="A5" s="68">
        <v>0</v>
      </c>
      <c r="B5" t="s">
        <v>276</v>
      </c>
    </row>
    <row r="7" spans="1:3" ht="48" x14ac:dyDescent="0.2">
      <c r="A7" s="97" t="s">
        <v>273</v>
      </c>
      <c r="B7" s="95" t="s">
        <v>274</v>
      </c>
    </row>
    <row r="8" spans="1:3" x14ac:dyDescent="0.2">
      <c r="A8" s="100">
        <v>0</v>
      </c>
      <c r="B8" s="100">
        <v>0</v>
      </c>
      <c r="C8" s="46" t="e">
        <f t="shared" ref="C8:C15" si="0">A8/$A$5</f>
        <v>#DIV/0!</v>
      </c>
    </row>
    <row r="9" spans="1:3" x14ac:dyDescent="0.2">
      <c r="A9" s="100">
        <v>0</v>
      </c>
      <c r="B9" s="100">
        <v>0</v>
      </c>
      <c r="C9" s="46" t="e">
        <f t="shared" si="0"/>
        <v>#DIV/0!</v>
      </c>
    </row>
    <row r="10" spans="1:3" x14ac:dyDescent="0.2">
      <c r="A10" s="100">
        <v>0</v>
      </c>
      <c r="B10" s="100">
        <v>0</v>
      </c>
      <c r="C10" s="46" t="e">
        <f t="shared" si="0"/>
        <v>#DIV/0!</v>
      </c>
    </row>
    <row r="11" spans="1:3" x14ac:dyDescent="0.2">
      <c r="A11" s="100">
        <v>0</v>
      </c>
      <c r="B11" s="100">
        <v>0</v>
      </c>
      <c r="C11" s="46" t="e">
        <f t="shared" si="0"/>
        <v>#DIV/0!</v>
      </c>
    </row>
    <row r="12" spans="1:3" x14ac:dyDescent="0.2">
      <c r="A12" s="100">
        <v>0</v>
      </c>
      <c r="B12" s="100">
        <v>0</v>
      </c>
      <c r="C12" s="46" t="e">
        <f t="shared" si="0"/>
        <v>#DIV/0!</v>
      </c>
    </row>
    <row r="13" spans="1:3" x14ac:dyDescent="0.2">
      <c r="A13" s="100">
        <v>0</v>
      </c>
      <c r="B13" s="100">
        <v>0</v>
      </c>
      <c r="C13" s="46" t="e">
        <f t="shared" si="0"/>
        <v>#DIV/0!</v>
      </c>
    </row>
    <row r="14" spans="1:3" x14ac:dyDescent="0.2">
      <c r="A14" s="100">
        <v>0</v>
      </c>
      <c r="B14" s="100">
        <v>0</v>
      </c>
      <c r="C14" s="46" t="e">
        <f t="shared" si="0"/>
        <v>#DIV/0!</v>
      </c>
    </row>
    <row r="15" spans="1:3" x14ac:dyDescent="0.2">
      <c r="A15" s="100">
        <v>0</v>
      </c>
      <c r="B15" s="100">
        <v>0</v>
      </c>
      <c r="C15" s="46" t="e">
        <f t="shared" si="0"/>
        <v>#DIV/0!</v>
      </c>
    </row>
    <row r="16" spans="1:3" x14ac:dyDescent="0.2">
      <c r="A16" s="98">
        <f>SUM(A8:A15)</f>
        <v>0</v>
      </c>
      <c r="C16" s="99" t="e">
        <f>SUM(C8:C15)</f>
        <v>#DIV/0!</v>
      </c>
    </row>
    <row r="18" spans="1:4" x14ac:dyDescent="0.2">
      <c r="A18" t="s">
        <v>277</v>
      </c>
      <c r="C18" s="96" t="e">
        <f>SUMPRODUCT(A8:A15, B8:B15) / SUM(A8:A15)</f>
        <v>#DIV/0!</v>
      </c>
      <c r="D18" t="s">
        <v>21</v>
      </c>
    </row>
  </sheetData>
  <sheetProtection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4"/>
  <sheetViews>
    <sheetView showGridLines="0" zoomScale="180" zoomScaleNormal="180" zoomScalePageLayoutView="150" workbookViewId="0">
      <selection activeCell="D12" sqref="D12"/>
    </sheetView>
  </sheetViews>
  <sheetFormatPr baseColWidth="10" defaultRowHeight="16" x14ac:dyDescent="0.2"/>
  <cols>
    <col min="1" max="1" width="3.1640625" customWidth="1"/>
    <col min="2" max="2" width="37" customWidth="1"/>
    <col min="3" max="3" width="1.1640625" style="11" customWidth="1"/>
    <col min="4" max="4" width="13" customWidth="1"/>
    <col min="5" max="5" width="12.33203125" customWidth="1"/>
    <col min="6" max="6" width="18.33203125" customWidth="1"/>
    <col min="7" max="7" width="7.5" customWidth="1"/>
    <col min="8" max="8" width="6" customWidth="1"/>
  </cols>
  <sheetData>
    <row r="1" spans="2:8" x14ac:dyDescent="0.2">
      <c r="B1" s="10" t="s">
        <v>263</v>
      </c>
      <c r="C1" s="10"/>
      <c r="D1" s="10"/>
      <c r="E1" s="10"/>
      <c r="F1" s="10"/>
      <c r="G1" s="10"/>
      <c r="H1" s="10"/>
    </row>
    <row r="3" spans="2:8" ht="19" x14ac:dyDescent="0.25">
      <c r="B3" s="118" t="s">
        <v>221</v>
      </c>
      <c r="C3" s="118"/>
      <c r="D3" s="118"/>
      <c r="E3" s="118"/>
      <c r="F3" s="118"/>
      <c r="G3" s="36"/>
      <c r="H3" s="36"/>
    </row>
    <row r="4" spans="2:8" s="11" customFormat="1" ht="6" customHeight="1" x14ac:dyDescent="0.25">
      <c r="B4" s="40"/>
      <c r="C4" s="40"/>
      <c r="D4" s="40"/>
      <c r="E4" s="40"/>
      <c r="F4" s="40"/>
      <c r="G4" s="36"/>
      <c r="H4" s="36"/>
    </row>
    <row r="5" spans="2:8" x14ac:dyDescent="0.2">
      <c r="B5" s="37" t="s">
        <v>182</v>
      </c>
      <c r="C5" s="37"/>
      <c r="D5" s="38"/>
      <c r="E5" s="38"/>
      <c r="F5" s="39"/>
    </row>
    <row r="6" spans="2:8" x14ac:dyDescent="0.2">
      <c r="B6" s="117" t="s">
        <v>281</v>
      </c>
      <c r="C6" s="117"/>
      <c r="D6" s="117"/>
      <c r="E6" s="117"/>
      <c r="F6" s="117"/>
    </row>
    <row r="7" spans="2:8" x14ac:dyDescent="0.2">
      <c r="B7" s="8"/>
      <c r="C7" s="8"/>
      <c r="D7" s="8"/>
      <c r="E7" s="8"/>
      <c r="F7" s="7"/>
    </row>
    <row r="8" spans="2:8" x14ac:dyDescent="0.2">
      <c r="E8" s="8"/>
      <c r="F8" s="7"/>
    </row>
    <row r="9" spans="2:8" x14ac:dyDescent="0.2">
      <c r="E9" s="8"/>
      <c r="F9" s="7"/>
    </row>
    <row r="10" spans="2:8" ht="19" x14ac:dyDescent="0.25">
      <c r="B10" s="101" t="s">
        <v>278</v>
      </c>
      <c r="C10" s="94"/>
      <c r="D10" s="107" t="s">
        <v>35</v>
      </c>
      <c r="E10" s="89"/>
      <c r="F10" s="7"/>
    </row>
    <row r="11" spans="2:8" x14ac:dyDescent="0.2">
      <c r="B11" s="72" t="s">
        <v>33</v>
      </c>
      <c r="D11" t="s">
        <v>260</v>
      </c>
      <c r="E11" s="9"/>
      <c r="F11" s="102"/>
    </row>
    <row r="12" spans="2:8" x14ac:dyDescent="0.2">
      <c r="B12" s="72" t="s">
        <v>258</v>
      </c>
      <c r="D12" s="136">
        <v>0.75</v>
      </c>
    </row>
    <row r="13" spans="2:8" x14ac:dyDescent="0.2">
      <c r="B13" s="32"/>
      <c r="C13" s="8"/>
      <c r="D13" s="32"/>
      <c r="E13" s="8"/>
      <c r="F13" s="7"/>
    </row>
    <row r="14" spans="2:8" x14ac:dyDescent="0.2">
      <c r="B14" s="105" t="s">
        <v>289</v>
      </c>
    </row>
    <row r="15" spans="2:8" x14ac:dyDescent="0.2">
      <c r="B15" s="18" t="s">
        <v>290</v>
      </c>
      <c r="C15" s="8"/>
      <c r="D15" s="64">
        <v>0</v>
      </c>
      <c r="E15" s="8"/>
      <c r="F15" s="7"/>
    </row>
    <row r="16" spans="2:8" x14ac:dyDescent="0.2">
      <c r="B16" s="30"/>
      <c r="C16" s="8"/>
      <c r="D16" s="34"/>
      <c r="E16" s="8"/>
      <c r="F16" s="7"/>
    </row>
    <row r="17" spans="2:10" ht="16" customHeight="1" x14ac:dyDescent="0.2">
      <c r="B17" s="35" t="s">
        <v>266</v>
      </c>
      <c r="C17" s="8"/>
      <c r="D17" s="41"/>
      <c r="F17" s="25"/>
      <c r="G17" s="41"/>
      <c r="H17" s="41"/>
      <c r="I17" s="41"/>
      <c r="J17" s="41"/>
    </row>
    <row r="18" spans="2:10" x14ac:dyDescent="0.2">
      <c r="B18" s="32" t="s">
        <v>265</v>
      </c>
      <c r="C18" s="8"/>
      <c r="D18" s="32">
        <v>6450</v>
      </c>
      <c r="E18" s="121"/>
      <c r="F18" s="121"/>
      <c r="H18" s="41"/>
      <c r="I18" s="41"/>
      <c r="J18" s="41"/>
    </row>
    <row r="19" spans="2:10" x14ac:dyDescent="0.2">
      <c r="B19" s="86" t="s">
        <v>280</v>
      </c>
      <c r="C19" s="8"/>
      <c r="D19" s="33">
        <f>TUsersSiz/11000</f>
        <v>0</v>
      </c>
      <c r="E19" s="119"/>
      <c r="F19" s="119"/>
      <c r="G19" s="41"/>
      <c r="H19" s="41"/>
      <c r="I19" s="41"/>
      <c r="J19" s="41"/>
    </row>
    <row r="20" spans="2:10" ht="16" customHeight="1" x14ac:dyDescent="0.2">
      <c r="B20" s="18" t="s">
        <v>204</v>
      </c>
      <c r="C20" s="8"/>
      <c r="D20" s="31">
        <f>ROUNDUP(FourCoreM4,0)</f>
        <v>0</v>
      </c>
      <c r="E20" s="124" t="str">
        <f>IF(TUsersSiz=0,"",IF(HTTP_Browser_Clients&gt;=Notes_Clients,"1 DPAR a piece",IF(VOP_Clients&gt;Notes_Clients,"1 DPAR a piece",IF(Notes_Clients&gt;HTTP_Browser_Clients,"2 DPARs a piece",IF(Notes_Clients&gt;VOP_Clients,"2 DPARs a piece")))))</f>
        <v/>
      </c>
      <c r="F20" s="124"/>
      <c r="G20" s="116" t="s">
        <v>212</v>
      </c>
      <c r="H20" s="116"/>
      <c r="I20" s="116"/>
      <c r="J20" s="116"/>
    </row>
    <row r="21" spans="2:10" ht="16" customHeight="1" x14ac:dyDescent="0.2">
      <c r="B21" s="86" t="s">
        <v>188</v>
      </c>
      <c r="C21" s="89"/>
      <c r="D21" s="103">
        <v>0</v>
      </c>
      <c r="E21" s="87"/>
      <c r="F21" s="87"/>
      <c r="G21" s="116"/>
      <c r="H21" s="116"/>
      <c r="I21" s="116"/>
      <c r="J21" s="116"/>
    </row>
    <row r="22" spans="2:10" ht="16" customHeight="1" x14ac:dyDescent="0.2">
      <c r="B22" s="21" t="s">
        <v>279</v>
      </c>
      <c r="C22" s="89"/>
      <c r="D22" s="31">
        <f>SUM(D20:D21)</f>
        <v>0</v>
      </c>
      <c r="E22" s="87"/>
      <c r="F22" s="87"/>
      <c r="G22" s="116"/>
      <c r="H22" s="116"/>
      <c r="I22" s="116"/>
      <c r="J22" s="116"/>
    </row>
    <row r="23" spans="2:10" x14ac:dyDescent="0.2">
      <c r="B23" s="18" t="s">
        <v>189</v>
      </c>
      <c r="D23" s="104">
        <f>IF(TUsersSiz=0,0,IF(Virtualization2="Yes",(FourCoreM4*1.1)/TotalMach_VM1,(FourCoreM4/TotalMach_VM1)))</f>
        <v>0</v>
      </c>
      <c r="E23" s="120" t="str">
        <f>IF(MachUtil&gt;Max_CPU,"Add machines. Maximum CPU exceeded","")</f>
        <v/>
      </c>
      <c r="F23" s="121"/>
      <c r="G23" s="116"/>
      <c r="H23" s="116"/>
      <c r="I23" s="116"/>
      <c r="J23" s="116"/>
    </row>
    <row r="24" spans="2:10" x14ac:dyDescent="0.2">
      <c r="B24" s="18"/>
      <c r="D24" s="11"/>
      <c r="F24" s="25"/>
      <c r="G24" s="116"/>
      <c r="H24" s="116"/>
      <c r="I24" s="116"/>
      <c r="J24" s="116"/>
    </row>
    <row r="25" spans="2:10" x14ac:dyDescent="0.2">
      <c r="G25" s="116"/>
      <c r="H25" s="116"/>
      <c r="I25" s="116"/>
      <c r="J25" s="116"/>
    </row>
    <row r="26" spans="2:10" ht="19" x14ac:dyDescent="0.25">
      <c r="B26" s="110" t="s">
        <v>210</v>
      </c>
      <c r="C26" s="110"/>
      <c r="D26" s="110"/>
      <c r="G26" s="116"/>
      <c r="H26" s="116"/>
      <c r="I26" s="116"/>
      <c r="J26" s="116"/>
    </row>
    <row r="27" spans="2:10" ht="16" customHeight="1" x14ac:dyDescent="0.2">
      <c r="B27" s="19" t="s">
        <v>222</v>
      </c>
      <c r="C27" s="21"/>
      <c r="D27" s="65">
        <v>0</v>
      </c>
      <c r="E27" s="16"/>
      <c r="F27" s="85" t="s">
        <v>264</v>
      </c>
      <c r="G27" s="116" t="s">
        <v>282</v>
      </c>
      <c r="H27" s="116"/>
      <c r="I27" s="116"/>
      <c r="J27" s="116"/>
    </row>
    <row r="28" spans="2:10" x14ac:dyDescent="0.2">
      <c r="B28" s="19" t="s">
        <v>42</v>
      </c>
      <c r="C28" s="21"/>
      <c r="D28" s="63">
        <f>IF(DesRPE_1=0,0,ROUNDUP(FourCoreM4,0))</f>
        <v>0</v>
      </c>
      <c r="E28" s="15"/>
      <c r="G28" s="116"/>
      <c r="H28" s="116"/>
      <c r="I28" s="116"/>
      <c r="J28" s="116"/>
    </row>
    <row r="29" spans="2:10" x14ac:dyDescent="0.2">
      <c r="B29" s="19" t="s">
        <v>43</v>
      </c>
      <c r="C29" s="21"/>
      <c r="D29" s="66">
        <v>0</v>
      </c>
      <c r="E29" s="125" t="str">
        <f>IF(TUsersSiz=0,"",IF(DesRPE_1=0,"",IF(HTTP_Browser_Clients&gt;=Notes_Clients,"1 DPAR a piece",IF(VOP_Clients&gt;Notes_Clients,"1 DPAR a piece",IF(Notes_Clients&gt;HTTP_Browser_Clients,"2 DPARs a piece",IF(Notes_Clients&gt;VOP_Clients,"2 DPARs a piece"))))))</f>
        <v/>
      </c>
      <c r="F29" s="125"/>
      <c r="G29" s="116"/>
      <c r="H29" s="116"/>
      <c r="I29" s="116"/>
      <c r="J29" s="116"/>
    </row>
    <row r="30" spans="2:10" x14ac:dyDescent="0.2">
      <c r="B30" s="19" t="s">
        <v>279</v>
      </c>
      <c r="C30" s="21"/>
      <c r="D30" s="106">
        <f>SUM(D28:D29)</f>
        <v>0</v>
      </c>
      <c r="E30" s="88"/>
      <c r="F30" s="88"/>
      <c r="G30" s="84"/>
      <c r="H30" s="84"/>
      <c r="I30" s="84"/>
      <c r="J30" s="84"/>
    </row>
    <row r="31" spans="2:10" x14ac:dyDescent="0.2">
      <c r="B31" s="19" t="s">
        <v>44</v>
      </c>
      <c r="C31" s="21"/>
      <c r="D31" s="29">
        <f>IF(DesRPE_1=0,0,IF(Virtualization2="Yes",(MachUtil/(DesRPE_1/RPE2x)),MachUtil/(DesRPE_1/RPE2x)))</f>
        <v>0</v>
      </c>
      <c r="E31" s="123" t="str">
        <f>IF(MachUtil_2&gt;Max_CPU,"Add machines. Maximum CPU exceeded","")</f>
        <v/>
      </c>
      <c r="F31" s="123"/>
      <c r="G31" s="84"/>
      <c r="H31" s="84"/>
      <c r="I31" s="84"/>
      <c r="J31" s="84"/>
    </row>
    <row r="32" spans="2:10" x14ac:dyDescent="0.2">
      <c r="D32" s="46"/>
    </row>
    <row r="33" spans="2:11" ht="19" x14ac:dyDescent="0.25">
      <c r="B33" s="122" t="s">
        <v>213</v>
      </c>
      <c r="C33" s="122"/>
      <c r="D33" s="122"/>
    </row>
    <row r="34" spans="2:11" x14ac:dyDescent="0.2">
      <c r="B34" s="48" t="s">
        <v>186</v>
      </c>
      <c r="C34" s="48"/>
      <c r="D34" s="77">
        <f>TUsersSiz/11000</f>
        <v>0</v>
      </c>
    </row>
    <row r="35" spans="2:11" ht="16" customHeight="1" x14ac:dyDescent="0.2">
      <c r="B35" s="20" t="s">
        <v>69</v>
      </c>
      <c r="D35" s="67">
        <v>0</v>
      </c>
      <c r="E35" s="16"/>
      <c r="G35" s="84"/>
      <c r="H35" s="84"/>
      <c r="I35" s="84"/>
      <c r="J35" s="84"/>
    </row>
    <row r="36" spans="2:11" x14ac:dyDescent="0.2">
      <c r="B36" s="20" t="s">
        <v>70</v>
      </c>
      <c r="D36" s="66">
        <v>0</v>
      </c>
      <c r="E36" s="15"/>
      <c r="G36" s="84"/>
      <c r="H36" s="84"/>
      <c r="I36" s="84"/>
      <c r="J36" s="84"/>
    </row>
    <row r="37" spans="2:11" x14ac:dyDescent="0.2">
      <c r="B37" s="20" t="s">
        <v>218</v>
      </c>
      <c r="D37" s="27">
        <f>IF(D35=0,0,(D35/D36)*0.95)</f>
        <v>0</v>
      </c>
      <c r="F37" s="85" t="s">
        <v>264</v>
      </c>
      <c r="G37" s="116" t="s">
        <v>272</v>
      </c>
      <c r="H37" s="116"/>
      <c r="I37" s="116"/>
      <c r="J37" s="116"/>
    </row>
    <row r="38" spans="2:11" x14ac:dyDescent="0.2">
      <c r="B38" s="20" t="s">
        <v>219</v>
      </c>
      <c r="D38" s="49">
        <f>D37/RPE2x</f>
        <v>0</v>
      </c>
      <c r="G38" s="116"/>
      <c r="H38" s="116"/>
      <c r="I38" s="116"/>
      <c r="J38" s="116"/>
    </row>
    <row r="39" spans="2:11" x14ac:dyDescent="0.2">
      <c r="B39" s="20" t="s">
        <v>257</v>
      </c>
      <c r="D39" s="66">
        <v>0</v>
      </c>
    </row>
    <row r="40" spans="2:11" x14ac:dyDescent="0.2">
      <c r="B40" s="20" t="s">
        <v>220</v>
      </c>
      <c r="D40" s="29">
        <f>IF(D35=0,0,(D34/(D38*D39)))</f>
        <v>0</v>
      </c>
      <c r="F40" s="25"/>
      <c r="G40" s="82"/>
    </row>
    <row r="41" spans="2:11" s="11" customFormat="1" x14ac:dyDescent="0.2">
      <c r="D41" s="14"/>
      <c r="G41" s="83"/>
    </row>
    <row r="42" spans="2:11" x14ac:dyDescent="0.2">
      <c r="B42" s="20" t="s">
        <v>75</v>
      </c>
      <c r="D42" s="66">
        <v>1</v>
      </c>
      <c r="G42" s="82"/>
    </row>
    <row r="43" spans="2:11" x14ac:dyDescent="0.2">
      <c r="B43" s="20" t="s">
        <v>72</v>
      </c>
      <c r="D43" s="28">
        <f>IF(TRegistered_Users&gt;0,ROUNDUP((TRegistered_Users/DPARPeak),0),0)</f>
        <v>0</v>
      </c>
    </row>
    <row r="44" spans="2:11" x14ac:dyDescent="0.2">
      <c r="B44" s="20" t="s">
        <v>73</v>
      </c>
      <c r="D44" s="28" t="b">
        <f>IF(TRegistered_Users&gt;0,(TRegistered_Users/PowerDPARr_1))</f>
        <v>0</v>
      </c>
    </row>
    <row r="45" spans="2:11" x14ac:dyDescent="0.2">
      <c r="B45" s="20" t="s">
        <v>74</v>
      </c>
      <c r="D45" s="28" t="b">
        <f>IF(TRegistered_Users&gt;0,(Concurrent_Users/PowerDPARr_1))</f>
        <v>0</v>
      </c>
    </row>
    <row r="47" spans="2:11" x14ac:dyDescent="0.2">
      <c r="B47" s="93" t="s">
        <v>271</v>
      </c>
      <c r="C47" s="93"/>
      <c r="D47" s="93"/>
      <c r="E47" s="93"/>
      <c r="F47" s="93"/>
      <c r="G47" s="93"/>
      <c r="H47" s="93"/>
      <c r="I47" s="93"/>
      <c r="J47" s="93"/>
      <c r="K47" s="92"/>
    </row>
    <row r="48" spans="2:11" x14ac:dyDescent="0.2">
      <c r="B48" s="115"/>
      <c r="C48" s="115"/>
      <c r="D48" s="115"/>
      <c r="E48" s="115"/>
      <c r="F48" s="115"/>
      <c r="G48" s="115"/>
      <c r="H48" s="115"/>
      <c r="I48" s="93"/>
      <c r="J48" s="93"/>
      <c r="K48" s="92"/>
    </row>
    <row r="49" spans="2:11" x14ac:dyDescent="0.2">
      <c r="B49" s="115"/>
      <c r="C49" s="115"/>
      <c r="D49" s="115"/>
      <c r="E49" s="115"/>
      <c r="F49" s="115"/>
      <c r="G49" s="115"/>
      <c r="H49" s="115"/>
      <c r="I49" s="93"/>
      <c r="J49" s="93"/>
      <c r="K49" s="92"/>
    </row>
    <row r="50" spans="2:11" x14ac:dyDescent="0.2">
      <c r="B50" s="115"/>
      <c r="C50" s="115"/>
      <c r="D50" s="115"/>
      <c r="E50" s="115"/>
      <c r="F50" s="115"/>
      <c r="G50" s="115"/>
      <c r="H50" s="115"/>
      <c r="I50" s="93"/>
      <c r="J50" s="93"/>
      <c r="K50" s="92"/>
    </row>
    <row r="51" spans="2:11" x14ac:dyDescent="0.2">
      <c r="B51" s="115"/>
      <c r="C51" s="115"/>
      <c r="D51" s="115"/>
      <c r="E51" s="115"/>
      <c r="F51" s="115"/>
      <c r="G51" s="115"/>
      <c r="H51" s="115"/>
      <c r="I51" s="93"/>
      <c r="J51" s="93"/>
      <c r="K51" s="92"/>
    </row>
    <row r="52" spans="2:11" x14ac:dyDescent="0.2">
      <c r="B52" s="115"/>
      <c r="C52" s="115"/>
      <c r="D52" s="115"/>
      <c r="E52" s="115"/>
      <c r="F52" s="115"/>
      <c r="G52" s="115"/>
      <c r="H52" s="115"/>
      <c r="I52" s="92"/>
      <c r="J52" s="92"/>
      <c r="K52" s="92"/>
    </row>
    <row r="53" spans="2:11" x14ac:dyDescent="0.2">
      <c r="B53" s="115"/>
      <c r="C53" s="115"/>
      <c r="D53" s="115"/>
      <c r="E53" s="115"/>
      <c r="F53" s="115"/>
      <c r="G53" s="115"/>
      <c r="H53" s="115"/>
    </row>
    <row r="54" spans="2:11" x14ac:dyDescent="0.2">
      <c r="B54" s="115"/>
      <c r="C54" s="115"/>
      <c r="D54" s="115"/>
      <c r="E54" s="115"/>
      <c r="F54" s="115"/>
      <c r="G54" s="115"/>
      <c r="H54" s="115"/>
    </row>
  </sheetData>
  <sheetProtection selectLockedCells="1"/>
  <mergeCells count="14">
    <mergeCell ref="B48:H54"/>
    <mergeCell ref="G37:J38"/>
    <mergeCell ref="B6:F6"/>
    <mergeCell ref="B3:F3"/>
    <mergeCell ref="E19:F19"/>
    <mergeCell ref="E23:F23"/>
    <mergeCell ref="B33:D33"/>
    <mergeCell ref="E31:F31"/>
    <mergeCell ref="E18:F18"/>
    <mergeCell ref="E20:F20"/>
    <mergeCell ref="G20:J26"/>
    <mergeCell ref="E29:F29"/>
    <mergeCell ref="B26:D26"/>
    <mergeCell ref="G27:J29"/>
  </mergeCells>
  <pageMargins left="0.7" right="0.7" top="0.75" bottom="0.75" header="0.3" footer="0.3"/>
  <ignoredErrors>
    <ignoredError sqref="E20 E29 D34" evalError="1"/>
    <ignoredError sqref="D30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'List Items'!$B$2:$B$3</xm:f>
          </x14:formula1>
          <xm:sqref>D10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opLeftCell="B2" zoomScale="150" zoomScaleNormal="150" zoomScalePageLayoutView="150" workbookViewId="0">
      <selection activeCell="C3" sqref="C3"/>
    </sheetView>
  </sheetViews>
  <sheetFormatPr baseColWidth="10" defaultRowHeight="16" x14ac:dyDescent="0.2"/>
  <cols>
    <col min="1" max="1" width="4.1640625" customWidth="1"/>
    <col min="2" max="2" width="36" customWidth="1"/>
    <col min="3" max="5" width="15.6640625" customWidth="1"/>
    <col min="6" max="8" width="15.6640625" hidden="1" customWidth="1"/>
    <col min="9" max="9" width="15.5" hidden="1" customWidth="1"/>
    <col min="10" max="25" width="0" hidden="1" customWidth="1"/>
  </cols>
  <sheetData>
    <row r="1" spans="2:14" ht="19" x14ac:dyDescent="0.25">
      <c r="B1" s="2" t="s">
        <v>65</v>
      </c>
    </row>
    <row r="2" spans="2:14" x14ac:dyDescent="0.2">
      <c r="F2" t="s">
        <v>224</v>
      </c>
      <c r="G2">
        <v>100</v>
      </c>
    </row>
    <row r="3" spans="2:14" x14ac:dyDescent="0.2">
      <c r="B3" t="s">
        <v>0</v>
      </c>
      <c r="C3" s="68" t="s">
        <v>34</v>
      </c>
      <c r="F3" t="s">
        <v>225</v>
      </c>
      <c r="G3">
        <v>1000</v>
      </c>
    </row>
    <row r="4" spans="2:14" x14ac:dyDescent="0.2">
      <c r="B4" t="s">
        <v>48</v>
      </c>
      <c r="C4" s="67">
        <v>0</v>
      </c>
      <c r="F4" t="s">
        <v>226</v>
      </c>
      <c r="G4">
        <v>8000</v>
      </c>
    </row>
    <row r="5" spans="2:14" x14ac:dyDescent="0.2">
      <c r="B5" t="s">
        <v>49</v>
      </c>
      <c r="C5" s="66">
        <v>0</v>
      </c>
      <c r="F5" t="s">
        <v>227</v>
      </c>
      <c r="G5">
        <v>10000</v>
      </c>
    </row>
    <row r="6" spans="2:14" x14ac:dyDescent="0.2">
      <c r="F6" t="s">
        <v>228</v>
      </c>
      <c r="G6">
        <v>120</v>
      </c>
    </row>
    <row r="7" spans="2:14" x14ac:dyDescent="0.2">
      <c r="B7" s="50" t="s">
        <v>77</v>
      </c>
      <c r="C7" s="5"/>
      <c r="F7" t="s">
        <v>229</v>
      </c>
      <c r="G7">
        <v>1200</v>
      </c>
    </row>
    <row r="8" spans="2:14" x14ac:dyDescent="0.2">
      <c r="B8" t="s">
        <v>50</v>
      </c>
      <c r="C8" s="51">
        <f>IF(Device=0,0,IF(Device&lt;=Dev9_4,1,ROUNDUP((Device/Dev9_4)+0.49,0)))</f>
        <v>0</v>
      </c>
      <c r="F8" t="s">
        <v>230</v>
      </c>
      <c r="G8">
        <v>9600</v>
      </c>
      <c r="I8" s="1" t="s">
        <v>83</v>
      </c>
    </row>
    <row r="9" spans="2:14" x14ac:dyDescent="0.2">
      <c r="B9" t="s">
        <v>51</v>
      </c>
      <c r="C9" s="53">
        <f>IF(Device=0,0,(Device/ServerPool))</f>
        <v>0</v>
      </c>
      <c r="F9" t="s">
        <v>231</v>
      </c>
      <c r="G9">
        <v>12000</v>
      </c>
      <c r="I9" t="s">
        <v>79</v>
      </c>
      <c r="J9" s="25" t="s">
        <v>78</v>
      </c>
    </row>
    <row r="10" spans="2:14" x14ac:dyDescent="0.2">
      <c r="B10" t="s">
        <v>52</v>
      </c>
      <c r="C10" s="51">
        <f>IF(Device=0,0,ROUNDUP((DevicePool/Dev9_4/4)+0.49,0)*IF(Device&lt;=Dev9_4,1,ROUNDUP((Device/Dev9_4)+0.49,0)))</f>
        <v>0</v>
      </c>
      <c r="I10" t="s">
        <v>80</v>
      </c>
      <c r="J10" s="60" t="s">
        <v>81</v>
      </c>
      <c r="L10" s="58" t="s">
        <v>252</v>
      </c>
    </row>
    <row r="11" spans="2:14" x14ac:dyDescent="0.2">
      <c r="I11" t="s">
        <v>82</v>
      </c>
      <c r="J11" s="25" t="s">
        <v>84</v>
      </c>
    </row>
    <row r="12" spans="2:14" x14ac:dyDescent="0.2">
      <c r="B12" s="50" t="s">
        <v>53</v>
      </c>
      <c r="C12" s="5"/>
      <c r="I12" s="18" t="s">
        <v>85</v>
      </c>
      <c r="J12" t="s">
        <v>86</v>
      </c>
    </row>
    <row r="13" spans="2:14" x14ac:dyDescent="0.2">
      <c r="B13" t="s">
        <v>54</v>
      </c>
      <c r="C13" s="51">
        <f>IF(Device=0,0,ServerFailover+ServerBase)</f>
        <v>0</v>
      </c>
      <c r="D13" s="55" t="s">
        <v>233</v>
      </c>
    </row>
    <row r="14" spans="2:14" x14ac:dyDescent="0.2">
      <c r="B14" t="s">
        <v>55</v>
      </c>
      <c r="C14" s="51">
        <f>IF(Device=0,0,IF((AND(Device&lt;=Dev9_1,Virtual="Yes")),1,IF(AND((Device&lt;=Dev9_2),Virtual="Yes"),2,4)))</f>
        <v>0</v>
      </c>
      <c r="D14" s="56">
        <f>IF(Device=0,0,DevicePool/TLServer)</f>
        <v>0</v>
      </c>
      <c r="E14" s="54"/>
      <c r="F14" s="54"/>
      <c r="I14" t="s">
        <v>87</v>
      </c>
      <c r="J14" s="60" t="s">
        <v>88</v>
      </c>
      <c r="N14" s="59" t="s">
        <v>250</v>
      </c>
    </row>
    <row r="15" spans="2:14" x14ac:dyDescent="0.2">
      <c r="B15" t="s">
        <v>56</v>
      </c>
      <c r="C15" s="51">
        <f>IF(Device=0,0,IF(Device&lt;=Dev9_2,8,16))</f>
        <v>0</v>
      </c>
      <c r="D15" t="s">
        <v>22</v>
      </c>
      <c r="I15" t="s">
        <v>89</v>
      </c>
      <c r="J15" s="60" t="s">
        <v>90</v>
      </c>
      <c r="N15" s="59" t="s">
        <v>251</v>
      </c>
    </row>
    <row r="16" spans="2:14" x14ac:dyDescent="0.2">
      <c r="I16" t="s">
        <v>91</v>
      </c>
      <c r="J16" s="25" t="s">
        <v>93</v>
      </c>
    </row>
    <row r="17" spans="2:25" x14ac:dyDescent="0.2">
      <c r="B17" s="50" t="s">
        <v>57</v>
      </c>
      <c r="C17" s="50"/>
      <c r="I17" t="s">
        <v>92</v>
      </c>
      <c r="J17" s="25" t="s">
        <v>94</v>
      </c>
      <c r="O17" s="58" t="s">
        <v>236</v>
      </c>
    </row>
    <row r="18" spans="2:25" x14ac:dyDescent="0.2">
      <c r="B18" t="s">
        <v>54</v>
      </c>
      <c r="C18" s="51">
        <f>IF(Device=0,0,2)</f>
        <v>0</v>
      </c>
    </row>
    <row r="19" spans="2:25" x14ac:dyDescent="0.2">
      <c r="B19" t="s">
        <v>55</v>
      </c>
      <c r="C19" s="51">
        <f>IF(Device=0,0,IF((AND(DevicePool&lt;=Dev9_1,Virtual="Yes")),1,IF((AND(DevicePool&lt;=Dev9_2,Virtual="Yes")),2,IF(DevicePool&lt;=Dev9_3,4,4))))</f>
        <v>0</v>
      </c>
      <c r="I19" t="s">
        <v>95</v>
      </c>
      <c r="J19" s="25" t="s">
        <v>98</v>
      </c>
      <c r="L19" s="127" t="s">
        <v>237</v>
      </c>
      <c r="M19" s="128"/>
      <c r="N19" s="128"/>
    </row>
    <row r="20" spans="2:25" x14ac:dyDescent="0.2">
      <c r="B20" t="s">
        <v>56</v>
      </c>
      <c r="C20" s="51">
        <f>IF(Device=0,0,IF(DevicePool&lt;=Dev9_2,8,IF(DevicePool&lt;=Dev9_3,16,32)))</f>
        <v>0</v>
      </c>
      <c r="D20" t="s">
        <v>22</v>
      </c>
      <c r="I20" t="s">
        <v>96</v>
      </c>
      <c r="J20" s="25" t="s">
        <v>99</v>
      </c>
    </row>
    <row r="21" spans="2:25" x14ac:dyDescent="0.2">
      <c r="I21" t="s">
        <v>97</v>
      </c>
      <c r="J21" s="25" t="s">
        <v>100</v>
      </c>
    </row>
    <row r="22" spans="2:25" x14ac:dyDescent="0.2">
      <c r="B22" s="50" t="s">
        <v>58</v>
      </c>
      <c r="C22" s="50"/>
    </row>
    <row r="23" spans="2:25" x14ac:dyDescent="0.2">
      <c r="B23" t="s">
        <v>54</v>
      </c>
      <c r="C23" s="51">
        <f>IF(Device=0,0,1)</f>
        <v>0</v>
      </c>
    </row>
    <row r="24" spans="2:25" x14ac:dyDescent="0.2">
      <c r="B24" t="s">
        <v>55</v>
      </c>
      <c r="C24" s="51">
        <f>IF(Device=0,0,IF(AND(Virtual="Yes",DevicePool&lt;=Dev9_2),1,2))</f>
        <v>0</v>
      </c>
      <c r="I24" t="s">
        <v>101</v>
      </c>
      <c r="J24" s="60" t="s">
        <v>104</v>
      </c>
      <c r="L24" s="59" t="s">
        <v>253</v>
      </c>
    </row>
    <row r="25" spans="2:25" x14ac:dyDescent="0.2">
      <c r="B25" t="s">
        <v>56</v>
      </c>
      <c r="C25" s="51">
        <f>IF(Device=0,0,IF(Device&lt;=Dev9_2,4,8))</f>
        <v>0</v>
      </c>
      <c r="I25" t="s">
        <v>102</v>
      </c>
      <c r="J25" s="25" t="s">
        <v>105</v>
      </c>
      <c r="R25" s="127" t="s">
        <v>240</v>
      </c>
      <c r="S25" s="128"/>
      <c r="T25" s="128"/>
      <c r="U25" s="128"/>
      <c r="V25" s="128"/>
      <c r="W25" s="128"/>
    </row>
    <row r="26" spans="2:25" x14ac:dyDescent="0.2">
      <c r="I26" t="s">
        <v>103</v>
      </c>
      <c r="J26" s="25" t="s">
        <v>106</v>
      </c>
      <c r="O26" s="59" t="s">
        <v>241</v>
      </c>
      <c r="P26" s="52"/>
      <c r="Q26" s="52"/>
      <c r="R26" s="52"/>
      <c r="S26" s="52"/>
      <c r="T26" s="52"/>
    </row>
    <row r="27" spans="2:25" x14ac:dyDescent="0.2">
      <c r="B27" s="50" t="s">
        <v>246</v>
      </c>
      <c r="C27" s="50"/>
    </row>
    <row r="28" spans="2:25" x14ac:dyDescent="0.2">
      <c r="B28" t="s">
        <v>59</v>
      </c>
      <c r="C28" s="51">
        <f>IF(Device=0,0,IF(DevicePool&lt;=Dev9_1,2,IF(DevicePool&lt;=Dev9_2,3,IF(DevicePool&lt;=Dev9_3,6,8))))</f>
        <v>0</v>
      </c>
    </row>
    <row r="29" spans="2:25" x14ac:dyDescent="0.2">
      <c r="B29" t="s">
        <v>60</v>
      </c>
      <c r="C29" s="51">
        <f>IF(Device=0,0,IF(DevicePool&lt;=Dev9_2,2,4))</f>
        <v>0</v>
      </c>
      <c r="I29" t="s">
        <v>107</v>
      </c>
      <c r="J29" s="25" t="s">
        <v>116</v>
      </c>
    </row>
    <row r="30" spans="2:25" x14ac:dyDescent="0.2">
      <c r="B30" t="s">
        <v>61</v>
      </c>
      <c r="C30" s="53">
        <f>IF(Device=0,0,ROUNDUP((DevicePool/1000)*4,0))</f>
        <v>0</v>
      </c>
      <c r="D30" t="s">
        <v>22</v>
      </c>
      <c r="I30" t="s">
        <v>108</v>
      </c>
      <c r="J30" s="25" t="s">
        <v>117</v>
      </c>
      <c r="Q30" s="127" t="s">
        <v>244</v>
      </c>
      <c r="R30" s="128"/>
      <c r="S30" s="128"/>
      <c r="T30" s="128"/>
      <c r="U30" s="128"/>
      <c r="V30" s="128"/>
    </row>
    <row r="31" spans="2:25" x14ac:dyDescent="0.2">
      <c r="B31" t="s">
        <v>62</v>
      </c>
      <c r="C31" s="51">
        <f>IF(Device=0,0,((Dev9_4/100)*(DevicePool/Dev9_2)))</f>
        <v>0</v>
      </c>
      <c r="I31" t="s">
        <v>109</v>
      </c>
      <c r="J31" s="61" t="s">
        <v>118</v>
      </c>
      <c r="L31" s="59" t="s">
        <v>254</v>
      </c>
    </row>
    <row r="32" spans="2:25" x14ac:dyDescent="0.2">
      <c r="B32" t="s">
        <v>63</v>
      </c>
      <c r="C32" s="51">
        <f>IF(Device=0,0,(((DevicePool*0.4)/1000)*1))</f>
        <v>0</v>
      </c>
      <c r="D32" t="s">
        <v>238</v>
      </c>
      <c r="I32" t="s">
        <v>110</v>
      </c>
      <c r="J32" s="25" t="s">
        <v>119</v>
      </c>
      <c r="S32" s="127" t="s">
        <v>245</v>
      </c>
      <c r="T32" s="128"/>
      <c r="U32" s="128"/>
      <c r="V32" s="128"/>
      <c r="W32" s="128"/>
      <c r="X32" s="128"/>
      <c r="Y32" s="128"/>
    </row>
    <row r="33" spans="2:22" x14ac:dyDescent="0.2">
      <c r="B33" t="s">
        <v>64</v>
      </c>
      <c r="C33" s="53">
        <f>IF(Device=0,0,ROUNDUP((DevicePool/Dev9_2)*2,0))</f>
        <v>0</v>
      </c>
      <c r="D33" t="s">
        <v>22</v>
      </c>
      <c r="I33" t="s">
        <v>111</v>
      </c>
      <c r="J33" s="25" t="s">
        <v>120</v>
      </c>
      <c r="Q33" s="127" t="s">
        <v>247</v>
      </c>
      <c r="R33" s="128"/>
      <c r="S33" s="128"/>
      <c r="T33" s="128"/>
      <c r="U33" s="128"/>
      <c r="V33" s="128"/>
    </row>
    <row r="34" spans="2:22" x14ac:dyDescent="0.2">
      <c r="I34" t="s">
        <v>112</v>
      </c>
      <c r="J34" s="25" t="s">
        <v>121</v>
      </c>
      <c r="P34" s="127" t="s">
        <v>248</v>
      </c>
      <c r="Q34" s="128"/>
      <c r="R34" s="128"/>
      <c r="S34" s="128"/>
      <c r="T34" s="128"/>
      <c r="U34" s="128"/>
    </row>
    <row r="35" spans="2:22" x14ac:dyDescent="0.2">
      <c r="B35" s="126" t="s">
        <v>262</v>
      </c>
      <c r="C35" s="126"/>
      <c r="D35" s="126"/>
      <c r="E35" s="126"/>
    </row>
    <row r="36" spans="2:22" x14ac:dyDescent="0.2">
      <c r="B36" s="126"/>
      <c r="C36" s="126"/>
      <c r="D36" s="126"/>
      <c r="E36" s="126"/>
    </row>
    <row r="37" spans="2:22" x14ac:dyDescent="0.2">
      <c r="B37" s="126"/>
      <c r="C37" s="126"/>
      <c r="D37" s="126"/>
      <c r="E37" s="126"/>
      <c r="I37" s="1" t="s">
        <v>242</v>
      </c>
      <c r="J37" s="25"/>
    </row>
    <row r="38" spans="2:22" x14ac:dyDescent="0.2">
      <c r="B38" s="126"/>
      <c r="C38" s="126"/>
      <c r="D38" s="126"/>
      <c r="E38" s="126"/>
    </row>
    <row r="39" spans="2:22" x14ac:dyDescent="0.2">
      <c r="B39" s="126"/>
      <c r="C39" s="126"/>
      <c r="D39" s="126"/>
      <c r="E39" s="126"/>
      <c r="I39" t="s">
        <v>79</v>
      </c>
      <c r="J39" s="25" t="s">
        <v>78</v>
      </c>
    </row>
    <row r="40" spans="2:22" x14ac:dyDescent="0.2">
      <c r="B40" s="126"/>
      <c r="C40" s="126"/>
      <c r="D40" s="126"/>
      <c r="E40" s="126"/>
      <c r="I40" s="57" t="s">
        <v>79</v>
      </c>
      <c r="J40" s="127" t="s">
        <v>232</v>
      </c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</row>
    <row r="42" spans="2:22" x14ac:dyDescent="0.2">
      <c r="I42" t="s">
        <v>82</v>
      </c>
      <c r="J42" s="25" t="s">
        <v>84</v>
      </c>
    </row>
    <row r="43" spans="2:22" x14ac:dyDescent="0.2">
      <c r="I43" s="57" t="s">
        <v>82</v>
      </c>
      <c r="J43" s="127" t="s">
        <v>234</v>
      </c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</row>
    <row r="45" spans="2:22" x14ac:dyDescent="0.2">
      <c r="I45" t="s">
        <v>91</v>
      </c>
      <c r="J45" s="25" t="s">
        <v>93</v>
      </c>
    </row>
    <row r="46" spans="2:22" x14ac:dyDescent="0.2">
      <c r="I46" s="57" t="s">
        <v>91</v>
      </c>
      <c r="J46" s="127" t="s">
        <v>235</v>
      </c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</row>
    <row r="48" spans="2:22" x14ac:dyDescent="0.2">
      <c r="I48" t="s">
        <v>96</v>
      </c>
      <c r="J48" s="25" t="s">
        <v>99</v>
      </c>
    </row>
    <row r="49" spans="9:24" x14ac:dyDescent="0.2">
      <c r="I49" s="57" t="s">
        <v>96</v>
      </c>
      <c r="J49" s="127" t="s">
        <v>249</v>
      </c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</row>
    <row r="51" spans="9:24" x14ac:dyDescent="0.2">
      <c r="I51" t="s">
        <v>97</v>
      </c>
      <c r="J51" s="25" t="s">
        <v>100</v>
      </c>
    </row>
    <row r="52" spans="9:24" x14ac:dyDescent="0.2">
      <c r="I52" s="57" t="s">
        <v>97</v>
      </c>
      <c r="J52" s="127" t="s">
        <v>239</v>
      </c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</row>
    <row r="54" spans="9:24" x14ac:dyDescent="0.2">
      <c r="I54" t="s">
        <v>107</v>
      </c>
      <c r="J54" s="25" t="s">
        <v>116</v>
      </c>
    </row>
    <row r="55" spans="9:24" x14ac:dyDescent="0.2">
      <c r="I55" s="57" t="s">
        <v>107</v>
      </c>
      <c r="J55" s="58" t="s">
        <v>243</v>
      </c>
    </row>
  </sheetData>
  <sheetProtection selectLockedCells="1"/>
  <mergeCells count="12">
    <mergeCell ref="B35:E40"/>
    <mergeCell ref="L19:N19"/>
    <mergeCell ref="J49:X49"/>
    <mergeCell ref="J52:V52"/>
    <mergeCell ref="R25:W25"/>
    <mergeCell ref="S32:Y32"/>
    <mergeCell ref="Q30:V30"/>
    <mergeCell ref="Q33:V33"/>
    <mergeCell ref="P34:U34"/>
    <mergeCell ref="J43:V43"/>
    <mergeCell ref="J40:V40"/>
    <mergeCell ref="J46:U4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 Items'!$B$2:$B$3</xm:f>
          </x14:formula1>
          <xm:sqref>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showGridLines="0" zoomScale="150" zoomScaleNormal="150" zoomScalePageLayoutView="150" workbookViewId="0">
      <selection activeCell="C3" sqref="C3"/>
    </sheetView>
  </sheetViews>
  <sheetFormatPr baseColWidth="10" defaultRowHeight="16" x14ac:dyDescent="0.2"/>
  <cols>
    <col min="1" max="1" width="3.83203125" customWidth="1"/>
    <col min="2" max="2" width="36" customWidth="1"/>
    <col min="3" max="4" width="14.33203125" customWidth="1"/>
    <col min="5" max="5" width="14.83203125" customWidth="1"/>
  </cols>
  <sheetData>
    <row r="1" spans="2:6" ht="19" x14ac:dyDescent="0.25">
      <c r="B1" s="2" t="s">
        <v>66</v>
      </c>
    </row>
    <row r="3" spans="2:6" x14ac:dyDescent="0.2">
      <c r="B3" t="s">
        <v>0</v>
      </c>
      <c r="C3" s="68" t="s">
        <v>35</v>
      </c>
    </row>
    <row r="5" spans="2:6" x14ac:dyDescent="0.2">
      <c r="B5" t="s">
        <v>48</v>
      </c>
      <c r="C5" s="67">
        <v>0</v>
      </c>
    </row>
    <row r="8" spans="2:6" x14ac:dyDescent="0.2">
      <c r="B8" t="s">
        <v>113</v>
      </c>
      <c r="C8" s="53">
        <f>IF(device_1=0,0,IF(Virtual_1="Yes",0,ROUNDUP((device_1/2000)+0.49,0)))</f>
        <v>0</v>
      </c>
      <c r="F8" s="25"/>
    </row>
    <row r="9" spans="2:6" x14ac:dyDescent="0.2">
      <c r="B9" t="s">
        <v>114</v>
      </c>
      <c r="C9" s="53">
        <f>IF(Virtual_1="No",0,IF(device_1=0,0,ROUNDUP((device_1/2000)+0.49,0)))</f>
        <v>0</v>
      </c>
      <c r="F9" s="25"/>
    </row>
    <row r="10" spans="2:6" x14ac:dyDescent="0.2">
      <c r="B10" t="s">
        <v>115</v>
      </c>
      <c r="C10" s="53">
        <f>IF(device_1=0,0,IF(Virtual_1="No",8,16))</f>
        <v>0</v>
      </c>
      <c r="D10" t="s">
        <v>22</v>
      </c>
      <c r="F10" s="25"/>
    </row>
    <row r="12" spans="2:6" x14ac:dyDescent="0.2">
      <c r="B12" s="126" t="s">
        <v>262</v>
      </c>
      <c r="C12" s="126"/>
      <c r="D12" s="126"/>
    </row>
    <row r="13" spans="2:6" x14ac:dyDescent="0.2">
      <c r="B13" s="126"/>
      <c r="C13" s="126"/>
      <c r="D13" s="126"/>
    </row>
    <row r="14" spans="2:6" x14ac:dyDescent="0.2">
      <c r="B14" s="126"/>
      <c r="C14" s="126"/>
      <c r="D14" s="126"/>
    </row>
    <row r="15" spans="2:6" x14ac:dyDescent="0.2">
      <c r="B15" s="126"/>
      <c r="C15" s="126"/>
      <c r="D15" s="126"/>
    </row>
  </sheetData>
  <sheetProtection selectLockedCells="1"/>
  <mergeCells count="1">
    <mergeCell ref="B12:D1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 Items'!$B$2:$B$3</xm:f>
          </x14:formula1>
          <xm:sqref>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5" sqref="A5"/>
    </sheetView>
  </sheetViews>
  <sheetFormatPr baseColWidth="10" defaultRowHeight="16" x14ac:dyDescent="0.2"/>
  <cols>
    <col min="1" max="1" width="13.1640625" customWidth="1"/>
    <col min="2" max="2" width="14" customWidth="1"/>
  </cols>
  <sheetData>
    <row r="1" spans="1:5" x14ac:dyDescent="0.2">
      <c r="A1" s="1"/>
      <c r="B1" s="1" t="s">
        <v>0</v>
      </c>
      <c r="C1" s="1" t="s">
        <v>45</v>
      </c>
      <c r="D1" s="1" t="s">
        <v>205</v>
      </c>
      <c r="E1" s="1" t="s">
        <v>47</v>
      </c>
    </row>
    <row r="2" spans="1:5" x14ac:dyDescent="0.2">
      <c r="B2" t="s">
        <v>34</v>
      </c>
      <c r="C2" s="17" t="s">
        <v>223</v>
      </c>
      <c r="D2" t="s">
        <v>206</v>
      </c>
      <c r="E2" t="s">
        <v>34</v>
      </c>
    </row>
    <row r="3" spans="1:5" x14ac:dyDescent="0.2">
      <c r="B3" t="s">
        <v>35</v>
      </c>
      <c r="C3" s="17" t="s">
        <v>46</v>
      </c>
      <c r="D3" t="s">
        <v>207</v>
      </c>
      <c r="E3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9"/>
  <sheetViews>
    <sheetView topLeftCell="A18" zoomScale="150" zoomScaleNormal="150" zoomScalePageLayoutView="150" workbookViewId="0">
      <selection activeCell="I38" sqref="I38"/>
    </sheetView>
  </sheetViews>
  <sheetFormatPr baseColWidth="10" defaultRowHeight="16" x14ac:dyDescent="0.2"/>
  <cols>
    <col min="2" max="2" width="24" customWidth="1"/>
    <col min="3" max="3" width="17" customWidth="1"/>
    <col min="9" max="9" width="11.33203125" bestFit="1" customWidth="1"/>
  </cols>
  <sheetData>
    <row r="1" spans="2:11" x14ac:dyDescent="0.2">
      <c r="B1" s="1" t="s">
        <v>181</v>
      </c>
    </row>
    <row r="3" spans="2:11" x14ac:dyDescent="0.2">
      <c r="B3" t="s">
        <v>31</v>
      </c>
    </row>
    <row r="4" spans="2:11" x14ac:dyDescent="0.2">
      <c r="C4" t="s">
        <v>83</v>
      </c>
    </row>
    <row r="5" spans="2:11" x14ac:dyDescent="0.2">
      <c r="C5" t="s">
        <v>122</v>
      </c>
      <c r="D5" t="s">
        <v>149</v>
      </c>
      <c r="J5" t="s">
        <v>183</v>
      </c>
      <c r="K5">
        <v>61870</v>
      </c>
    </row>
    <row r="6" spans="2:11" x14ac:dyDescent="0.2">
      <c r="C6" t="s">
        <v>123</v>
      </c>
      <c r="D6" t="s">
        <v>150</v>
      </c>
      <c r="J6" t="s">
        <v>184</v>
      </c>
      <c r="K6">
        <v>32</v>
      </c>
    </row>
    <row r="8" spans="2:11" x14ac:dyDescent="0.2">
      <c r="C8" t="s">
        <v>124</v>
      </c>
      <c r="D8" s="25" t="s">
        <v>151</v>
      </c>
      <c r="J8" t="s">
        <v>185</v>
      </c>
    </row>
    <row r="9" spans="2:11" x14ac:dyDescent="0.2">
      <c r="C9" t="s">
        <v>125</v>
      </c>
      <c r="D9" t="s">
        <v>152</v>
      </c>
    </row>
    <row r="11" spans="2:11" x14ac:dyDescent="0.2">
      <c r="C11" t="s">
        <v>126</v>
      </c>
      <c r="D11" s="25" t="s">
        <v>153</v>
      </c>
    </row>
    <row r="12" spans="2:11" x14ac:dyDescent="0.2">
      <c r="C12" t="s">
        <v>127</v>
      </c>
      <c r="D12" s="25" t="s">
        <v>154</v>
      </c>
    </row>
    <row r="14" spans="2:11" x14ac:dyDescent="0.2">
      <c r="C14" t="s">
        <v>128</v>
      </c>
      <c r="D14" t="s">
        <v>155</v>
      </c>
    </row>
    <row r="15" spans="2:11" x14ac:dyDescent="0.2">
      <c r="C15" t="s">
        <v>129</v>
      </c>
      <c r="D15" t="s">
        <v>156</v>
      </c>
    </row>
    <row r="16" spans="2:11" x14ac:dyDescent="0.2">
      <c r="C16" t="s">
        <v>158</v>
      </c>
      <c r="D16" s="25" t="s">
        <v>157</v>
      </c>
    </row>
    <row r="17" spans="2:4" x14ac:dyDescent="0.2">
      <c r="C17" t="s">
        <v>130</v>
      </c>
      <c r="D17" s="25" t="s">
        <v>159</v>
      </c>
    </row>
    <row r="18" spans="2:4" x14ac:dyDescent="0.2">
      <c r="C18" t="s">
        <v>131</v>
      </c>
      <c r="D18" s="25" t="s">
        <v>160</v>
      </c>
    </row>
    <row r="21" spans="2:4" x14ac:dyDescent="0.2">
      <c r="B21" t="s">
        <v>32</v>
      </c>
    </row>
    <row r="24" spans="2:4" x14ac:dyDescent="0.2">
      <c r="C24" t="s">
        <v>132</v>
      </c>
      <c r="D24" t="s">
        <v>161</v>
      </c>
    </row>
    <row r="25" spans="2:4" x14ac:dyDescent="0.2">
      <c r="C25" t="s">
        <v>133</v>
      </c>
      <c r="D25">
        <v>6450</v>
      </c>
    </row>
    <row r="27" spans="2:4" x14ac:dyDescent="0.2">
      <c r="C27" t="s">
        <v>134</v>
      </c>
      <c r="D27" t="s">
        <v>285</v>
      </c>
    </row>
    <row r="28" spans="2:4" x14ac:dyDescent="0.2">
      <c r="C28" t="s">
        <v>135</v>
      </c>
      <c r="D28" s="25" t="s">
        <v>162</v>
      </c>
    </row>
    <row r="30" spans="2:4" x14ac:dyDescent="0.2">
      <c r="C30" t="s">
        <v>136</v>
      </c>
      <c r="D30" t="s">
        <v>163</v>
      </c>
    </row>
    <row r="31" spans="2:4" x14ac:dyDescent="0.2">
      <c r="C31" t="s">
        <v>137</v>
      </c>
      <c r="D31" s="26" t="s">
        <v>164</v>
      </c>
    </row>
    <row r="33" spans="2:13" x14ac:dyDescent="0.2">
      <c r="C33" t="s">
        <v>138</v>
      </c>
      <c r="D33" s="25" t="s">
        <v>165</v>
      </c>
    </row>
    <row r="34" spans="2:13" x14ac:dyDescent="0.2">
      <c r="C34" t="s">
        <v>139</v>
      </c>
      <c r="D34" t="s">
        <v>166</v>
      </c>
    </row>
    <row r="36" spans="2:13" x14ac:dyDescent="0.2">
      <c r="C36" t="s">
        <v>140</v>
      </c>
      <c r="D36" s="25" t="s">
        <v>169</v>
      </c>
      <c r="M36" t="s">
        <v>190</v>
      </c>
    </row>
    <row r="37" spans="2:13" x14ac:dyDescent="0.2">
      <c r="C37" t="s">
        <v>141</v>
      </c>
      <c r="D37" s="25" t="s">
        <v>170</v>
      </c>
    </row>
    <row r="38" spans="2:13" x14ac:dyDescent="0.2">
      <c r="C38" t="s">
        <v>171</v>
      </c>
      <c r="D38" s="25" t="s">
        <v>172</v>
      </c>
    </row>
    <row r="39" spans="2:13" x14ac:dyDescent="0.2">
      <c r="D39" s="25"/>
    </row>
    <row r="40" spans="2:13" x14ac:dyDescent="0.2">
      <c r="B40" t="s">
        <v>0</v>
      </c>
      <c r="C40" t="s">
        <v>287</v>
      </c>
      <c r="D40" s="25"/>
    </row>
    <row r="41" spans="2:13" x14ac:dyDescent="0.2">
      <c r="C41" t="s">
        <v>167</v>
      </c>
      <c r="D41" s="25" t="s">
        <v>173</v>
      </c>
    </row>
    <row r="42" spans="2:13" x14ac:dyDescent="0.2">
      <c r="C42" t="s">
        <v>168</v>
      </c>
      <c r="D42" s="25" t="s">
        <v>174</v>
      </c>
    </row>
    <row r="43" spans="2:13" x14ac:dyDescent="0.2">
      <c r="D43" t="s">
        <v>288</v>
      </c>
    </row>
    <row r="45" spans="2:13" x14ac:dyDescent="0.2">
      <c r="B45" t="s">
        <v>142</v>
      </c>
    </row>
    <row r="47" spans="2:13" x14ac:dyDescent="0.2">
      <c r="C47" t="s">
        <v>143</v>
      </c>
      <c r="D47" t="s">
        <v>175</v>
      </c>
    </row>
    <row r="48" spans="2:13" x14ac:dyDescent="0.2">
      <c r="C48" t="s">
        <v>144</v>
      </c>
      <c r="D48" s="25" t="s">
        <v>176</v>
      </c>
    </row>
    <row r="49" spans="2:13" x14ac:dyDescent="0.2">
      <c r="C49" t="s">
        <v>145</v>
      </c>
      <c r="D49" t="s">
        <v>177</v>
      </c>
    </row>
    <row r="51" spans="2:13" x14ac:dyDescent="0.2">
      <c r="C51" t="s">
        <v>146</v>
      </c>
      <c r="D51" s="25" t="s">
        <v>178</v>
      </c>
    </row>
    <row r="52" spans="2:13" x14ac:dyDescent="0.2">
      <c r="D52" s="25" t="s">
        <v>284</v>
      </c>
    </row>
    <row r="53" spans="2:13" x14ac:dyDescent="0.2">
      <c r="C53" t="s">
        <v>147</v>
      </c>
      <c r="D53" s="25" t="s">
        <v>179</v>
      </c>
    </row>
    <row r="54" spans="2:13" x14ac:dyDescent="0.2">
      <c r="D54" s="25" t="s">
        <v>283</v>
      </c>
    </row>
    <row r="55" spans="2:13" x14ac:dyDescent="0.2">
      <c r="C55" t="s">
        <v>148</v>
      </c>
      <c r="D55" s="25" t="s">
        <v>180</v>
      </c>
    </row>
    <row r="56" spans="2:13" x14ac:dyDescent="0.2">
      <c r="D56" t="s">
        <v>286</v>
      </c>
    </row>
    <row r="57" spans="2:13" x14ac:dyDescent="0.2">
      <c r="B57" t="s">
        <v>200</v>
      </c>
    </row>
    <row r="58" spans="2:13" x14ac:dyDescent="0.2">
      <c r="B58" s="25" t="s">
        <v>202</v>
      </c>
    </row>
    <row r="59" spans="2:13" x14ac:dyDescent="0.2">
      <c r="B59" s="25"/>
    </row>
    <row r="60" spans="2:13" x14ac:dyDescent="0.2">
      <c r="B60" s="25"/>
    </row>
    <row r="62" spans="2:13" x14ac:dyDescent="0.2">
      <c r="B62" t="s">
        <v>201</v>
      </c>
    </row>
    <row r="63" spans="2:13" x14ac:dyDescent="0.2">
      <c r="B63" t="s">
        <v>190</v>
      </c>
      <c r="C63" t="s">
        <v>140</v>
      </c>
    </row>
    <row r="64" spans="2:13" ht="55" customHeight="1" x14ac:dyDescent="0.2">
      <c r="B64" s="131" t="s">
        <v>191</v>
      </c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</row>
    <row r="65" spans="2:13" ht="49" customHeight="1" x14ac:dyDescent="0.2">
      <c r="B65" s="129" t="s">
        <v>208</v>
      </c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</row>
    <row r="66" spans="2:13" x14ac:dyDescent="0.2">
      <c r="B66" t="s">
        <v>192</v>
      </c>
    </row>
    <row r="67" spans="2:13" ht="32" customHeight="1" x14ac:dyDescent="0.2">
      <c r="B67" s="132" t="s">
        <v>193</v>
      </c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</row>
    <row r="69" spans="2:13" x14ac:dyDescent="0.2">
      <c r="B69" t="s">
        <v>194</v>
      </c>
    </row>
    <row r="70" spans="2:13" x14ac:dyDescent="0.2">
      <c r="B70" s="25" t="s">
        <v>195</v>
      </c>
    </row>
    <row r="71" spans="2:13" x14ac:dyDescent="0.2">
      <c r="B71" s="25"/>
    </row>
    <row r="72" spans="2:13" x14ac:dyDescent="0.2">
      <c r="B72" s="25"/>
    </row>
    <row r="73" spans="2:13" x14ac:dyDescent="0.2">
      <c r="B73" t="s">
        <v>203</v>
      </c>
    </row>
    <row r="74" spans="2:13" x14ac:dyDescent="0.2">
      <c r="B74" t="s">
        <v>196</v>
      </c>
    </row>
    <row r="75" spans="2:13" ht="51" customHeight="1" x14ac:dyDescent="0.2">
      <c r="B75" s="129" t="s">
        <v>197</v>
      </c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</row>
    <row r="76" spans="2:13" ht="49" customHeight="1" x14ac:dyDescent="0.2">
      <c r="B76" s="129" t="s">
        <v>209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</row>
    <row r="77" spans="2:13" x14ac:dyDescent="0.2">
      <c r="B77" t="s">
        <v>198</v>
      </c>
    </row>
    <row r="78" spans="2:13" x14ac:dyDescent="0.2">
      <c r="B78" s="25" t="s">
        <v>199</v>
      </c>
    </row>
    <row r="82" spans="2:13" ht="48" customHeight="1" x14ac:dyDescent="0.2">
      <c r="B82" s="129" t="s">
        <v>211</v>
      </c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</row>
    <row r="84" spans="2:13" ht="27" x14ac:dyDescent="0.2">
      <c r="D84" s="42" t="s">
        <v>216</v>
      </c>
      <c r="E84" s="42" t="s">
        <v>187</v>
      </c>
      <c r="F84" s="47" t="s">
        <v>217</v>
      </c>
      <c r="G84" s="42" t="s">
        <v>214</v>
      </c>
      <c r="H84" s="47" t="s">
        <v>71</v>
      </c>
      <c r="I84" s="42" t="s">
        <v>215</v>
      </c>
      <c r="J84" s="42"/>
      <c r="K84" s="42"/>
    </row>
    <row r="85" spans="2:13" x14ac:dyDescent="0.2">
      <c r="D85" s="43">
        <v>94.09</v>
      </c>
      <c r="E85" s="43">
        <v>6808.5</v>
      </c>
      <c r="F85" s="43">
        <v>1984</v>
      </c>
      <c r="G85" s="44">
        <f>F85/E85</f>
        <v>0.2914004553132114</v>
      </c>
      <c r="H85" s="44">
        <v>4</v>
      </c>
      <c r="I85" s="46">
        <f>D85/(G85*H85)/100</f>
        <v>0.80722248613911307</v>
      </c>
      <c r="J85" s="43"/>
      <c r="K85" s="45"/>
    </row>
    <row r="89" spans="2:13" x14ac:dyDescent="0.2">
      <c r="D89" s="42" t="s">
        <v>36</v>
      </c>
      <c r="E89" s="43">
        <v>75</v>
      </c>
    </row>
  </sheetData>
  <mergeCells count="6">
    <mergeCell ref="B82:M82"/>
    <mergeCell ref="B64:M64"/>
    <mergeCell ref="B67:M67"/>
    <mergeCell ref="B75:M75"/>
    <mergeCell ref="B65:M65"/>
    <mergeCell ref="B76:L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Mail</vt:lpstr>
      <vt:lpstr>Avg_Mail_File</vt:lpstr>
      <vt:lpstr>Hardware</vt:lpstr>
      <vt:lpstr>Traveler_HA</vt:lpstr>
      <vt:lpstr>Traveler_No HA</vt:lpstr>
      <vt:lpstr>List Items</vt:lpstr>
      <vt:lpstr>NotesFormData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2017-06-13T13:42:05Z</dcterms:created>
  <dcterms:modified xsi:type="dcterms:W3CDTF">2017-11-14T16:26:18Z</dcterms:modified>
</cp:coreProperties>
</file>