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wit\OneDrive - RSI Pipeline Solutions\Documents\GitHub\Microstructure_Report\"/>
    </mc:Choice>
  </mc:AlternateContent>
  <xr:revisionPtr revIDLastSave="0" documentId="13_ncr:1_{BCB16755-B0FC-4F0A-A2DE-92C65E430482}" xr6:coauthVersionLast="47" xr6:coauthVersionMax="47" xr10:uidLastSave="{00000000-0000-0000-0000-000000000000}"/>
  <bookViews>
    <workbookView xWindow="11664" yWindow="2424" windowWidth="17280" windowHeight="8994" xr2:uid="{B12AD3FC-A857-4621-A83E-64304E75EFF2}"/>
  </bookViews>
  <sheets>
    <sheet name="Examples" sheetId="1" r:id="rId1"/>
    <sheet name="Calc T_D from T_C" sheetId="2" r:id="rId2"/>
    <sheet name="Approach" sheetId="3" r:id="rId3"/>
    <sheet name="Sheet2" sheetId="4" r:id="rId4"/>
  </sheets>
  <definedNames>
    <definedName name="_xlcn.WorksheetConnection_CharpyCalcs.xlsxTable11" hidden="1">Table1[]</definedName>
    <definedName name="solver_adj" localSheetId="0" hidden="1">Examples!#REF!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Examples!#REF!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Examples!#REF!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Examples!#REF!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Charpy Calc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F9" i="2" l="1"/>
  <c r="E9" i="2"/>
  <c r="F8" i="2"/>
  <c r="E8" i="2"/>
  <c r="D8" i="2"/>
  <c r="F7" i="2"/>
  <c r="E7" i="2"/>
  <c r="F6" i="2"/>
  <c r="E6" i="2"/>
  <c r="F5" i="2"/>
  <c r="E5" i="2"/>
  <c r="F4" i="2"/>
  <c r="E4" i="2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N55" i="1"/>
  <c r="N53" i="1"/>
  <c r="N52" i="1"/>
  <c r="K50" i="1"/>
  <c r="N50" i="1" s="1"/>
  <c r="K49" i="1"/>
  <c r="N49" i="1" s="1"/>
  <c r="N48" i="1"/>
  <c r="K47" i="1"/>
  <c r="N47" i="1" s="1"/>
  <c r="O47" i="1" s="1"/>
  <c r="K46" i="1"/>
  <c r="N46" i="1" s="1"/>
  <c r="K45" i="1"/>
  <c r="N45" i="1" s="1"/>
  <c r="K44" i="1"/>
  <c r="N44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N51" i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21" i="1"/>
  <c r="N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21" i="1"/>
  <c r="H21" i="1" s="1"/>
  <c r="O57" i="1" l="1"/>
  <c r="O39" i="1"/>
  <c r="O23" i="1"/>
  <c r="O49" i="1"/>
  <c r="H62" i="1"/>
  <c r="L62" i="1" s="1"/>
  <c r="O61" i="1"/>
  <c r="O62" i="1"/>
  <c r="O48" i="1"/>
  <c r="O36" i="1"/>
  <c r="O45" i="1"/>
  <c r="O55" i="1"/>
  <c r="O63" i="1"/>
  <c r="H66" i="1"/>
  <c r="L66" i="1" s="1"/>
  <c r="O58" i="1"/>
  <c r="O40" i="1"/>
  <c r="O32" i="1"/>
  <c r="O24" i="1"/>
  <c r="O65" i="1"/>
  <c r="H38" i="1"/>
  <c r="L38" i="1" s="1"/>
  <c r="O50" i="1"/>
  <c r="O31" i="1"/>
  <c r="O46" i="1"/>
  <c r="H31" i="1"/>
  <c r="L31" i="1" s="1"/>
  <c r="O56" i="1"/>
  <c r="O38" i="1"/>
  <c r="O30" i="1"/>
  <c r="O22" i="1"/>
  <c r="O21" i="1"/>
  <c r="O64" i="1"/>
  <c r="O28" i="1"/>
  <c r="O27" i="1"/>
  <c r="O60" i="1"/>
  <c r="O42" i="1"/>
  <c r="O34" i="1"/>
  <c r="O26" i="1"/>
  <c r="O67" i="1"/>
  <c r="O43" i="1"/>
  <c r="O35" i="1"/>
  <c r="O59" i="1"/>
  <c r="O41" i="1"/>
  <c r="O33" i="1"/>
  <c r="O25" i="1"/>
  <c r="O44" i="1"/>
  <c r="O53" i="1"/>
  <c r="O52" i="1"/>
  <c r="O51" i="1"/>
  <c r="O66" i="1"/>
  <c r="H35" i="1"/>
  <c r="L35" i="1" s="1"/>
  <c r="O37" i="1"/>
  <c r="O29" i="1"/>
  <c r="H58" i="1"/>
  <c r="L58" i="1" s="1"/>
  <c r="H27" i="1"/>
  <c r="L27" i="1" s="1"/>
  <c r="H54" i="1"/>
  <c r="L54" i="1" s="1"/>
  <c r="H23" i="1"/>
  <c r="L23" i="1" s="1"/>
  <c r="H50" i="1"/>
  <c r="L50" i="1" s="1"/>
  <c r="H46" i="1"/>
  <c r="L46" i="1" s="1"/>
  <c r="H42" i="1"/>
  <c r="L42" i="1" s="1"/>
  <c r="N54" i="1"/>
  <c r="O54" i="1" s="1"/>
  <c r="H65" i="1"/>
  <c r="L65" i="1" s="1"/>
  <c r="H61" i="1"/>
  <c r="L61" i="1" s="1"/>
  <c r="H57" i="1"/>
  <c r="L57" i="1" s="1"/>
  <c r="H53" i="1"/>
  <c r="L53" i="1" s="1"/>
  <c r="H49" i="1"/>
  <c r="L49" i="1" s="1"/>
  <c r="H45" i="1"/>
  <c r="L45" i="1" s="1"/>
  <c r="H41" i="1"/>
  <c r="L41" i="1" s="1"/>
  <c r="H34" i="1"/>
  <c r="L34" i="1" s="1"/>
  <c r="H30" i="1"/>
  <c r="L30" i="1" s="1"/>
  <c r="H26" i="1"/>
  <c r="L26" i="1" s="1"/>
  <c r="H22" i="1"/>
  <c r="L22" i="1" s="1"/>
  <c r="G21" i="1"/>
  <c r="L21" i="1" s="1"/>
  <c r="H64" i="1"/>
  <c r="L64" i="1" s="1"/>
  <c r="H60" i="1"/>
  <c r="L60" i="1" s="1"/>
  <c r="H56" i="1"/>
  <c r="L56" i="1" s="1"/>
  <c r="H52" i="1"/>
  <c r="L52" i="1" s="1"/>
  <c r="H48" i="1"/>
  <c r="L48" i="1" s="1"/>
  <c r="H44" i="1"/>
  <c r="L44" i="1" s="1"/>
  <c r="H40" i="1"/>
  <c r="L40" i="1" s="1"/>
  <c r="H37" i="1"/>
  <c r="L37" i="1" s="1"/>
  <c r="H33" i="1"/>
  <c r="L33" i="1" s="1"/>
  <c r="H29" i="1"/>
  <c r="L29" i="1" s="1"/>
  <c r="H25" i="1"/>
  <c r="L25" i="1" s="1"/>
  <c r="H67" i="1"/>
  <c r="L67" i="1" s="1"/>
  <c r="H63" i="1"/>
  <c r="L63" i="1" s="1"/>
  <c r="H59" i="1"/>
  <c r="L59" i="1" s="1"/>
  <c r="H55" i="1"/>
  <c r="L55" i="1" s="1"/>
  <c r="H51" i="1"/>
  <c r="L51" i="1" s="1"/>
  <c r="H47" i="1"/>
  <c r="L47" i="1" s="1"/>
  <c r="H43" i="1"/>
  <c r="L43" i="1" s="1"/>
  <c r="H39" i="1"/>
  <c r="L39" i="1" s="1"/>
  <c r="H36" i="1"/>
  <c r="L36" i="1" s="1"/>
  <c r="H32" i="1"/>
  <c r="L32" i="1" s="1"/>
  <c r="H28" i="1"/>
  <c r="L28" i="1" s="1"/>
  <c r="H24" i="1"/>
  <c r="L2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7BB22A-C4F2-4DB8-9BE9-83BD12B6D12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37C369-FCEA-44D1-82F2-AA839FB9CBC4}" name="WorksheetConnection_Charpy Calcs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harpyCalcs.xlsxTable11"/>
        </x15:connection>
      </ext>
    </extLst>
  </connection>
</connections>
</file>

<file path=xl/sharedStrings.xml><?xml version="1.0" encoding="utf-8"?>
<sst xmlns="http://schemas.openxmlformats.org/spreadsheetml/2006/main" count="193" uniqueCount="48">
  <si>
    <t>t_c (in)</t>
  </si>
  <si>
    <t>t_w (in)</t>
  </si>
  <si>
    <t>ratio</t>
  </si>
  <si>
    <t>T_C (deg F)</t>
  </si>
  <si>
    <t>T_D (deg F)</t>
  </si>
  <si>
    <t>A</t>
  </si>
  <si>
    <t>B</t>
  </si>
  <si>
    <t>Charpy Fractional Size</t>
  </si>
  <si>
    <t>Specimen thickness (in)</t>
  </si>
  <si>
    <t>5005.4669 PGE DFM 0613-01 MP 4.13, 4.17, 4.20 with revised cover letter</t>
  </si>
  <si>
    <t>L300A MP397.34 EXPONENT DCA Final</t>
  </si>
  <si>
    <t>413.62-14.39, Rev.1-Line-0140-Report Package</t>
  </si>
  <si>
    <t>413.62-17.39 L021E-MP130-F-1 Final</t>
  </si>
  <si>
    <t>413.62-17.84 Line-118A-Final Rev 11-7-17</t>
  </si>
  <si>
    <t>Fraction of Full Size Charpy</t>
  </si>
  <si>
    <t>A (sigmoidal parameter)</t>
  </si>
  <si>
    <t>B (sigmoidal parameter)</t>
  </si>
  <si>
    <t>Test Temperature (F)</t>
  </si>
  <si>
    <t>&gt;98</t>
  </si>
  <si>
    <t>&gt; 98</t>
  </si>
  <si>
    <t>Shear Area</t>
  </si>
  <si>
    <t>Shear Area (%)</t>
  </si>
  <si>
    <t>T_C, Transition Temperature (F)</t>
  </si>
  <si>
    <t>CVN_at (ft-lbs, CVN energy at test temperature)</t>
  </si>
  <si>
    <t>Specimen Location</t>
  </si>
  <si>
    <t>Bar Orientation</t>
  </si>
  <si>
    <t>Base Metal</t>
  </si>
  <si>
    <t>Transverse (T-L)</t>
  </si>
  <si>
    <t>Seam Weld Bondline</t>
  </si>
  <si>
    <t>Longitudinal (L-T)</t>
  </si>
  <si>
    <t>Pipe #</t>
  </si>
  <si>
    <t>Report</t>
  </si>
  <si>
    <t>CVN_Upper Shelf Estimate For Sample Size</t>
  </si>
  <si>
    <t>CVN_Upper Shelf Estimate for Full Size Equivalent</t>
  </si>
  <si>
    <t>Calculating Drop Weight Tear Test Transition Temperature (T_D) from Charpy Transition Temperature</t>
  </si>
  <si>
    <t>ID</t>
  </si>
  <si>
    <t>Composition</t>
  </si>
  <si>
    <t>Transition Temp by Rosenfeld Fit</t>
  </si>
  <si>
    <t>Transition Temp by Full Curve Fit</t>
  </si>
  <si>
    <t>Upper Shelf by &gt;95% Shear</t>
  </si>
  <si>
    <t>Upper Shelf by Rosenfeld fits</t>
  </si>
  <si>
    <t>Upper Shelf by Full Curve Fit</t>
  </si>
  <si>
    <t>J</t>
  </si>
  <si>
    <t>CVN</t>
  </si>
  <si>
    <t>Kmat</t>
  </si>
  <si>
    <t>MISSED A STEP IN THESE CALCS</t>
  </si>
  <si>
    <t>Finding the Sigmoidal Parameters, A and B, from Mike's 1997 Oil and Gas Journal</t>
  </si>
  <si>
    <t>Finding the Sigmoidal Parameters, A and B, from API 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</si>
</sst>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2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Equations</a:t>
            </a:r>
            <a:r>
              <a:rPr lang="en-US" baseline="0"/>
              <a:t> for Sigmoidal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Examples!$G$12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277371165608704"/>
                  <c:y val="-2.0239166756850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Examples!$F$13:$F$16</c:f>
              <c:numCache>
                <c:formatCode>General</c:formatCode>
                <c:ptCount val="4"/>
                <c:pt idx="0">
                  <c:v>0.25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Examples!$G$13:$G$16</c:f>
              <c:numCache>
                <c:formatCode>General</c:formatCode>
                <c:ptCount val="4"/>
                <c:pt idx="0">
                  <c:v>24</c:v>
                </c:pt>
                <c:pt idx="1">
                  <c:v>32.5</c:v>
                </c:pt>
                <c:pt idx="2">
                  <c:v>48.9</c:v>
                </c:pt>
                <c:pt idx="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9-4CE7-9289-7A3CCA208D1B}"/>
            </c:ext>
          </c:extLst>
        </c:ser>
        <c:ser>
          <c:idx val="1"/>
          <c:order val="1"/>
          <c:tx>
            <c:strRef>
              <c:f>Examples!$H$12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4201325054632489E-2"/>
                  <c:y val="0.21006936654199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Examples!$F$13:$F$16</c:f>
              <c:numCache>
                <c:formatCode>General</c:formatCode>
                <c:ptCount val="4"/>
                <c:pt idx="0">
                  <c:v>0.25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Examples!$H$13:$H$16</c:f>
              <c:numCache>
                <c:formatCode>General</c:formatCode>
                <c:ptCount val="4"/>
                <c:pt idx="0">
                  <c:v>13.8</c:v>
                </c:pt>
                <c:pt idx="1">
                  <c:v>18.8</c:v>
                </c:pt>
                <c:pt idx="2">
                  <c:v>28.4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9-4CE7-9289-7A3CCA20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45248"/>
        <c:axId val="656800592"/>
      </c:scatterChart>
      <c:valAx>
        <c:axId val="558745248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0592"/>
        <c:crosses val="autoZero"/>
        <c:crossBetween val="midCat"/>
      </c:valAx>
      <c:valAx>
        <c:axId val="656800592"/>
        <c:scaling>
          <c:orientation val="minMax"/>
          <c:max val="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accen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Examples!$A$21:$A$67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xVal>
          <c:yVal>
            <c:numRef>
              <c:f>Examples!$L$21:$L$67</c:f>
              <c:numCache>
                <c:formatCode>General</c:formatCode>
                <c:ptCount val="29"/>
                <c:pt idx="0">
                  <c:v>103.60760697500166</c:v>
                </c:pt>
                <c:pt idx="1">
                  <c:v>103.60760697500166</c:v>
                </c:pt>
                <c:pt idx="2">
                  <c:v>89.534368774638239</c:v>
                </c:pt>
                <c:pt idx="3">
                  <c:v>78.716024494302758</c:v>
                </c:pt>
                <c:pt idx="4">
                  <c:v>72.274954986940344</c:v>
                </c:pt>
                <c:pt idx="5">
                  <c:v>78.716024494302758</c:v>
                </c:pt>
                <c:pt idx="6">
                  <c:v>105.27777346007088</c:v>
                </c:pt>
                <c:pt idx="7">
                  <c:v>98.526176901190581</c:v>
                </c:pt>
                <c:pt idx="8">
                  <c:v>97.210598448268243</c:v>
                </c:pt>
                <c:pt idx="9">
                  <c:v>64.479439643759235</c:v>
                </c:pt>
                <c:pt idx="10">
                  <c:v>91.95231455856306</c:v>
                </c:pt>
                <c:pt idx="11">
                  <c:v>128.08668051661962</c:v>
                </c:pt>
                <c:pt idx="12">
                  <c:v>128.08668051661962</c:v>
                </c:pt>
                <c:pt idx="13">
                  <c:v>120.66449401146372</c:v>
                </c:pt>
                <c:pt idx="14">
                  <c:v>104.04647649991716</c:v>
                </c:pt>
                <c:pt idx="15">
                  <c:v>113.50531733482245</c:v>
                </c:pt>
                <c:pt idx="16">
                  <c:v>123.92679193162121</c:v>
                </c:pt>
                <c:pt idx="17">
                  <c:v>5.0000150949563604</c:v>
                </c:pt>
                <c:pt idx="18">
                  <c:v>-21.421979837084692</c:v>
                </c:pt>
                <c:pt idx="19">
                  <c:v>-21.421979837084692</c:v>
                </c:pt>
                <c:pt idx="20">
                  <c:v>-3.4219798370846917</c:v>
                </c:pt>
                <c:pt idx="21">
                  <c:v>-3.4219798370846917</c:v>
                </c:pt>
                <c:pt idx="22">
                  <c:v>-3.4219798370846917</c:v>
                </c:pt>
                <c:pt idx="23">
                  <c:v>180.25728702631034</c:v>
                </c:pt>
                <c:pt idx="24">
                  <c:v>180.25728702631034</c:v>
                </c:pt>
                <c:pt idx="25">
                  <c:v>180.25728702631034</c:v>
                </c:pt>
                <c:pt idx="26">
                  <c:v>183.09121987382196</c:v>
                </c:pt>
                <c:pt idx="27">
                  <c:v>183.09121987382196</c:v>
                </c:pt>
                <c:pt idx="28">
                  <c:v>183.09121987382196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DB2-8DDF-AF21ED0B6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395248"/>
        <c:axId val="552716400"/>
      </c:scatterChart>
      <c:valAx>
        <c:axId val="18713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16400"/>
        <c:crossesAt val="-50"/>
        <c:crossBetween val="midCat"/>
      </c:valAx>
      <c:valAx>
        <c:axId val="552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</a:t>
                </a:r>
                <a:r>
                  <a:rPr lang="en-US" baseline="0"/>
                  <a:t> Temperature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 for</a:t>
            </a:r>
            <a:r>
              <a:rPr lang="en-US" baseline="0"/>
              <a:t> Full Size Equivalent Charpy Sample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Examples!$A$21:$A$67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xVal>
          <c:yVal>
            <c:numRef>
              <c:f>Examples!$O$21:$O$67</c:f>
              <c:numCache>
                <c:formatCode>General</c:formatCode>
                <c:ptCount val="29"/>
                <c:pt idx="0">
                  <c:v>34.698056904927135</c:v>
                </c:pt>
                <c:pt idx="1">
                  <c:v>34.698056904927135</c:v>
                </c:pt>
                <c:pt idx="2">
                  <c:v>22.391356918943124</c:v>
                </c:pt>
                <c:pt idx="3">
                  <c:v>27.971972027972026</c:v>
                </c:pt>
                <c:pt idx="4">
                  <c:v>22.898969544309594</c:v>
                </c:pt>
                <c:pt idx="5">
                  <c:v>18.64798135198135</c:v>
                </c:pt>
                <c:pt idx="6">
                  <c:v>25.943344339622641</c:v>
                </c:pt>
                <c:pt idx="7">
                  <c:v>27.7184946695096</c:v>
                </c:pt>
                <c:pt idx="8">
                  <c:v>23.012506276150628</c:v>
                </c:pt>
                <c:pt idx="9">
                  <c:v>23.690725685785534</c:v>
                </c:pt>
                <c:pt idx="10">
                  <c:v>26.562446875000003</c:v>
                </c:pt>
                <c:pt idx="11">
                  <c:v>31.806552162849865</c:v>
                </c:pt>
                <c:pt idx="12">
                  <c:v>31.806552162849865</c:v>
                </c:pt>
                <c:pt idx="13">
                  <c:v>32.573224755700316</c:v>
                </c:pt>
                <c:pt idx="14">
                  <c:v>27.964149888143169</c:v>
                </c:pt>
                <c:pt idx="15">
                  <c:v>34.152937158469939</c:v>
                </c:pt>
                <c:pt idx="16">
                  <c:v>33.500770519262971</c:v>
                </c:pt>
                <c:pt idx="17">
                  <c:v>80.394030082987555</c:v>
                </c:pt>
                <c:pt idx="18">
                  <c:v>83.249076690211908</c:v>
                </c:pt>
                <c:pt idx="19">
                  <c:v>80.72637739656912</c:v>
                </c:pt>
                <c:pt idx="20">
                  <c:v>78.203678102926347</c:v>
                </c:pt>
                <c:pt idx="21">
                  <c:v>80.72637739656912</c:v>
                </c:pt>
                <c:pt idx="22">
                  <c:v>88.294475277497483</c:v>
                </c:pt>
                <c:pt idx="23">
                  <c:v>49.212500000000006</c:v>
                </c:pt>
                <c:pt idx="24">
                  <c:v>39.370000000000005</c:v>
                </c:pt>
                <c:pt idx="25">
                  <c:v>39.370000000000005</c:v>
                </c:pt>
                <c:pt idx="26">
                  <c:v>51.724034482758618</c:v>
                </c:pt>
                <c:pt idx="27">
                  <c:v>51.724034482758618</c:v>
                </c:pt>
                <c:pt idx="28">
                  <c:v>34.482689655172415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E-41CC-A419-256D0EFF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395248"/>
        <c:axId val="552716400"/>
      </c:scatterChart>
      <c:valAx>
        <c:axId val="18713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16400"/>
        <c:crosses val="autoZero"/>
        <c:crossBetween val="midCat"/>
      </c:valAx>
      <c:valAx>
        <c:axId val="552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Upper Shelf Enegy (ft-lbs)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9524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Equations</a:t>
            </a:r>
            <a:r>
              <a:rPr lang="en-US" baseline="0"/>
              <a:t> for Sigmoidal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Examples!$N$4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485064653835428"/>
                  <c:y val="-4.1798568238539342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Examples!$M$5:$M$11</c:f>
              <c:numCache>
                <c:formatCode>General</c:formatCode>
                <c:ptCount val="7"/>
                <c:pt idx="0">
                  <c:v>0.25</c:v>
                </c:pt>
                <c:pt idx="1">
                  <c:v>0.33333000000000002</c:v>
                </c:pt>
                <c:pt idx="2">
                  <c:v>0.5</c:v>
                </c:pt>
                <c:pt idx="3">
                  <c:v>0.66666599999999998</c:v>
                </c:pt>
                <c:pt idx="4">
                  <c:v>1</c:v>
                </c:pt>
              </c:numCache>
            </c:numRef>
          </c:xVal>
          <c:yVal>
            <c:numRef>
              <c:f>Examples!$N$5:$N$11</c:f>
              <c:numCache>
                <c:formatCode>General</c:formatCode>
                <c:ptCount val="7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41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C-4CF6-AA75-42416FF0E4C2}"/>
            </c:ext>
          </c:extLst>
        </c:ser>
        <c:ser>
          <c:idx val="1"/>
          <c:order val="1"/>
          <c:tx>
            <c:strRef>
              <c:f>Examples!$O$4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0907913434651303E-2"/>
                  <c:y val="0.18985386838302903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Examples!$M$5:$M$13</c:f>
              <c:numCache>
                <c:formatCode>General</c:formatCode>
                <c:ptCount val="9"/>
                <c:pt idx="0">
                  <c:v>0.25</c:v>
                </c:pt>
                <c:pt idx="1">
                  <c:v>0.33333000000000002</c:v>
                </c:pt>
                <c:pt idx="2">
                  <c:v>0.5</c:v>
                </c:pt>
                <c:pt idx="3">
                  <c:v>0.66666599999999998</c:v>
                </c:pt>
                <c:pt idx="4">
                  <c:v>1</c:v>
                </c:pt>
              </c:numCache>
            </c:numRef>
          </c:xVal>
          <c:yVal>
            <c:numRef>
              <c:f>Examples!$O$5:$O$13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C-4CF6-AA75-42416FF0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45248"/>
        <c:axId val="656800592"/>
      </c:scatterChart>
      <c:valAx>
        <c:axId val="558745248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Charpy Fractional Specimen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0592"/>
        <c:crosses val="autoZero"/>
        <c:crossBetween val="midCat"/>
      </c:valAx>
      <c:valAx>
        <c:axId val="656800592"/>
        <c:scaling>
          <c:orientation val="minMax"/>
          <c:max val="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Sigmoidal Parameters A and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accen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Sheet2!$F$5</c:f>
              <c:strCache>
                <c:ptCount val="1"/>
                <c:pt idx="0">
                  <c:v>Kmat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Sheet2!$D$6:$D$25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Sheet2!$F$6:$F$25</c:f>
              <c:numCache>
                <c:formatCode>General</c:formatCode>
                <c:ptCount val="20"/>
                <c:pt idx="0">
                  <c:v>40202.331875392985</c:v>
                </c:pt>
                <c:pt idx="1">
                  <c:v>62648.466034125006</c:v>
                </c:pt>
                <c:pt idx="2">
                  <c:v>81209.87601244176</c:v>
                </c:pt>
                <c:pt idx="3">
                  <c:v>97626.931407708194</c:v>
                </c:pt>
                <c:pt idx="4">
                  <c:v>112613.9124819368</c:v>
                </c:pt>
                <c:pt idx="5">
                  <c:v>126551.71781503099</c:v>
                </c:pt>
                <c:pt idx="6">
                  <c:v>139673.49163594685</c:v>
                </c:pt>
                <c:pt idx="7">
                  <c:v>152134.89394766284</c:v>
                </c:pt>
                <c:pt idx="8">
                  <c:v>164046.30413970718</c:v>
                </c:pt>
                <c:pt idx="9">
                  <c:v>175489.54356582524</c:v>
                </c:pt>
                <c:pt idx="10">
                  <c:v>186527.36832792085</c:v>
                </c:pt>
                <c:pt idx="11">
                  <c:v>197209.23203332559</c:v>
                </c:pt>
                <c:pt idx="12">
                  <c:v>207574.97289496285</c:v>
                </c:pt>
                <c:pt idx="13">
                  <c:v>217657.27480047385</c:v>
                </c:pt>
                <c:pt idx="14">
                  <c:v>227483.36833495318</c:v>
                </c:pt>
                <c:pt idx="15">
                  <c:v>237076.24138885085</c:v>
                </c:pt>
                <c:pt idx="16">
                  <c:v>246455.52247350058</c:v>
                </c:pt>
                <c:pt idx="17">
                  <c:v>255638.13921974695</c:v>
                </c:pt>
                <c:pt idx="18">
                  <c:v>264638.81855028123</c:v>
                </c:pt>
                <c:pt idx="19">
                  <c:v>273470.47289455851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FCE-9FA8-94DE4358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9199"/>
        <c:axId val="13729567"/>
      </c:scatterChart>
      <c:valAx>
        <c:axId val="206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567"/>
        <c:crosses val="autoZero"/>
        <c:crossBetween val="midCat"/>
      </c:valAx>
      <c:valAx>
        <c:axId val="137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82648</xdr:colOff>
      <xdr:row>1</xdr:row>
      <xdr:rowOff>161194</xdr:rowOff>
    </xdr:from>
    <xdr:to>
      <xdr:col>11</xdr:col>
      <xdr:colOff>343878</xdr:colOff>
      <xdr:row>15</xdr:row>
      <xdr:rowOff>72001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BF2A4E-93B8-4988-9101-8EF5AAD12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3552" y="344367"/>
          <a:ext cx="3536364" cy="24752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250288</xdr:colOff>
      <xdr:row>0</xdr:row>
      <xdr:rowOff>0</xdr:rowOff>
    </xdr:from>
    <xdr:to>
      <xdr:col>11</xdr:col>
      <xdr:colOff>418808</xdr:colOff>
      <xdr:row>16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7FE50-65EF-467E-9F7C-BDE18E313A0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376309</xdr:colOff>
      <xdr:row>14</xdr:row>
      <xdr:rowOff>95251</xdr:rowOff>
    </xdr:from>
    <xdr:to>
      <xdr:col>12</xdr:col>
      <xdr:colOff>1045973</xdr:colOff>
      <xdr:row>18</xdr:row>
      <xdr:rowOff>14120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448A7A-D0A3-4252-8148-B3F8075D6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82347" y="2476501"/>
          <a:ext cx="2625953" cy="651560"/>
        </a:xfrm>
        <a:prstGeom prst="rect">
          <a:avLst/>
        </a:prstGeom>
      </xdr:spPr>
    </xdr:pic>
    <xdr:clientData/>
  </xdr:twoCellAnchor>
  <xdr:twoCellAnchor editAs="oneCell">
    <xdr:from>
      <xdr:col>12</xdr:col>
      <xdr:colOff>1458058</xdr:colOff>
      <xdr:row>14</xdr:row>
      <xdr:rowOff>87923</xdr:rowOff>
    </xdr:from>
    <xdr:to>
      <xdr:col>17</xdr:col>
      <xdr:colOff>98525</xdr:colOff>
      <xdr:row>18</xdr:row>
      <xdr:rowOff>64377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52BF81-CA3F-4159-8ECD-90F17A355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20385" y="2469173"/>
          <a:ext cx="3146525" cy="709145"/>
        </a:xfrm>
        <a:prstGeom prst="rect">
          <a:avLst/>
        </a:prstGeom>
      </xdr:spPr>
    </xdr:pic>
    <xdr:clientData/>
  </xdr:twoCellAnchor>
  <xdr:twoCellAnchor>
    <xdr:from>
      <xdr:col>1</xdr:col>
      <xdr:colOff>753208</xdr:colOff>
      <xdr:row>21</xdr:row>
      <xdr:rowOff>123239</xdr:rowOff>
    </xdr:from>
    <xdr:to>
      <xdr:col>2</xdr:col>
      <xdr:colOff>2467708</xdr:colOff>
      <xdr:row>47</xdr:row>
      <xdr:rowOff>123239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6FB766-7D65-44FA-A835-84F59A658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2526909</xdr:colOff>
      <xdr:row>21</xdr:row>
      <xdr:rowOff>114006</xdr:rowOff>
    </xdr:from>
    <xdr:to>
      <xdr:col>4</xdr:col>
      <xdr:colOff>1379806</xdr:colOff>
      <xdr:row>47</xdr:row>
      <xdr:rowOff>114006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CA7107-606C-4B02-B87B-8722EDA17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425823</xdr:colOff>
      <xdr:row>0</xdr:row>
      <xdr:rowOff>53788</xdr:rowOff>
    </xdr:from>
    <xdr:to>
      <xdr:col>22</xdr:col>
      <xdr:colOff>29566</xdr:colOff>
      <xdr:row>16</xdr:row>
      <xdr:rowOff>158564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6940EA-0D13-4F80-9C1B-B42429341D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289560</xdr:colOff>
      <xdr:row>2</xdr:row>
      <xdr:rowOff>137160</xdr:rowOff>
    </xdr:from>
    <xdr:to>
      <xdr:col>13</xdr:col>
      <xdr:colOff>107560</xdr:colOff>
      <xdr:row>12</xdr:row>
      <xdr:rowOff>71511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936765-BD3E-443E-997C-B61F10AACEE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0040" y="502920"/>
          <a:ext cx="4298560" cy="17631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399600</xdr:colOff>
      <xdr:row>3</xdr:row>
      <xdr:rowOff>137074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C9BF90-0C35-430B-90C9-B57B0770F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00000" cy="685714"/>
        </a:xfrm>
        <a:prstGeom prst="rect">
          <a:avLst/>
        </a:prstGeom>
      </xdr:spPr>
    </xdr:pic>
    <xdr:clientData/>
  </xdr:twoCellAnchor>
  <xdr:twoCellAnchor>
    <xdr:from>
      <xdr:col>7</xdr:col>
      <xdr:colOff>327660</xdr:colOff>
      <xdr:row>7</xdr:row>
      <xdr:rowOff>17145</xdr:rowOff>
    </xdr:from>
    <xdr:to>
      <xdr:col>14</xdr:col>
      <xdr:colOff>419100</xdr:colOff>
      <xdr:row>22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D2EC9-A414-4DF0-A0E7-A1FB3C40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464820</xdr:colOff>
      <xdr:row>0</xdr:row>
      <xdr:rowOff>0</xdr:rowOff>
    </xdr:from>
    <xdr:to>
      <xdr:col>11</xdr:col>
      <xdr:colOff>294976</xdr:colOff>
      <xdr:row>6</xdr:row>
      <xdr:rowOff>159863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CEEF8F-954B-404A-9CD9-F470CEF16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45380" y="0"/>
          <a:ext cx="2390476" cy="12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1BCC9-630B-4D5F-81D4-F07345867851}" name="Table1" displayName="Table1" ref="A20:O67" totalsRowShown="0">
  <autoFilter ref="A20:O67" xr:uid="{43F12403-0862-42D0-B003-59F4DE6DE8C3}">
    <filterColumn colId="2">
      <filters>
        <filter val="Base Metal"/>
      </filters>
    </filterColumn>
  </autoFilter>
  <tableColumns count="15">
    <tableColumn id="1" xr3:uid="{2CBF107B-82C9-463F-9409-F27BB46D8DC8}" name="Pipe #"/>
    <tableColumn id="2" xr3:uid="{A6426007-10DA-4672-ADB0-506E0261C826}" name="Report" dataDxfId="10"/>
    <tableColumn id="3" xr3:uid="{F5B83229-1004-47BF-90DA-4138B63C61D2}" name="Specimen Location" dataDxfId="9"/>
    <tableColumn id="4" xr3:uid="{C65918F3-023E-4FCE-9715-F7CB746C8BA4}" name="Bar Orientation" dataDxfId="8"/>
    <tableColumn id="5" xr3:uid="{70B90D13-F639-4222-99F1-5430A38C9B96}" name="Specimen thickness (in)"/>
    <tableColumn id="6" xr3:uid="{08BF5695-5B47-4800-861F-57F3FFF4EEB0}" name="Fraction of Full Size Charpy" dataDxfId="7" dataCellStyle="Percent">
      <calculatedColumnFormula>E21/0.3937</calculatedColumnFormula>
    </tableColumn>
    <tableColumn id="7" xr3:uid="{A1F61202-902C-432F-A489-92064BAED3D9}" name="A (sigmoidal parameter)">
      <calculatedColumnFormula>-21.812*F21^2+68.279*F21+8.4349</calculatedColumnFormula>
    </tableColumn>
    <tableColumn id="8" xr3:uid="{ECA2656E-BA56-4929-AE49-7F8996ECFA88}" name="B (sigmoidal parameter)">
      <calculatedColumnFormula>-12.736*F21^2+39.984*F21+4.6897</calculatedColumnFormula>
    </tableColumn>
    <tableColumn id="9" xr3:uid="{78C9BB97-2C8F-4046-AB9E-EB935A7FDA46}" name="Test Temperature (F)" dataDxfId="6"/>
    <tableColumn id="10" xr3:uid="{BEB5C074-C07C-431C-A60E-71CA89E8E25E}" name="Shear Area" dataDxfId="5"/>
    <tableColumn id="11" xr3:uid="{98C343DA-01DF-497D-8772-1E6C9627104E}" name="Shear Area (%)" dataDxfId="4" dataCellStyle="Percent">
      <calculatedColumnFormula>J21/100</calculatedColumnFormula>
    </tableColumn>
    <tableColumn id="12" xr3:uid="{CA001C30-5523-47AA-A9F9-94A00FC28344}" name="T_C, Transition Temperature (F)" dataDxfId="3">
      <calculatedColumnFormula>IFERROR(I21-H21*LN(K21/(1-K21))+G21,"")</calculatedColumnFormula>
    </tableColumn>
    <tableColumn id="13" xr3:uid="{AFBB37DC-3371-41A0-99BB-2C75B3396D05}" name="CVN_at (ft-lbs, CVN energy at test temperature)" dataDxfId="2"/>
    <tableColumn id="14" xr3:uid="{CB7A3F6A-CEC3-49D8-99F3-018257576C09}" name="CVN_Upper Shelf Estimate For Sample Size" dataDxfId="1">
      <calculatedColumnFormula>IFERROR(M21/(0.9*K21+0.1),"")</calculatedColumnFormula>
    </tableColumn>
    <tableColumn id="15" xr3:uid="{B5DF6AC2-5A5A-4E03-B2B0-E479CA5FFE64}" name="CVN_Upper Shelf Estimate for Full Size Equivalent" dataDxfId="0">
      <calculatedColumnFormula>IFERROR(Table1[[#This Row],[CVN_Upper Shelf Estimate For Sample Size]]/Table1[[#This Row],[Fraction of Full Size Charpy]],"")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ED59-A1AD-418F-A98E-D195C93B43C6}">
  <dimension ref="A1:O67"/>
  <sheetViews>
    <sheetView tabSelected="1" topLeftCell="P2" zoomScale="85" zoomScaleNormal="52" workbookViewId="0">
      <selection activeCell="T22" sqref="T22"/>
    </sheetView>
  </sheetViews>
  <sheetFormatPr defaultRowHeight="14.4" x14ac:dyDescent="0.55000000000000004"/>
  <cols>
    <col min="2" max="4" width="39.47265625" customWidth="1"/>
    <col min="5" max="5" width="21.578125" customWidth="1"/>
    <col min="6" max="6" width="24.26171875" customWidth="1"/>
    <col min="7" max="7" width="22.15625" customWidth="1"/>
    <col min="8" max="8" width="22.1015625" customWidth="1"/>
    <col min="9" max="9" width="19.578125" customWidth="1"/>
    <col min="10" max="10" width="11.3125" customWidth="1"/>
    <col min="11" max="11" width="14.41796875" customWidth="1"/>
    <col min="12" max="13" width="27.05078125" customWidth="1"/>
  </cols>
  <sheetData>
    <row r="1" spans="6:15" x14ac:dyDescent="0.55000000000000004">
      <c r="K1" s="5"/>
    </row>
    <row r="2" spans="6:15" x14ac:dyDescent="0.55000000000000004">
      <c r="K2" s="4"/>
    </row>
    <row r="3" spans="6:15" x14ac:dyDescent="0.55000000000000004">
      <c r="K3" s="4"/>
      <c r="M3" t="s">
        <v>47</v>
      </c>
    </row>
    <row r="4" spans="6:15" x14ac:dyDescent="0.55000000000000004">
      <c r="K4" s="4"/>
      <c r="M4" t="s">
        <v>7</v>
      </c>
      <c r="N4" t="s">
        <v>5</v>
      </c>
      <c r="O4" t="s">
        <v>6</v>
      </c>
    </row>
    <row r="5" spans="6:15" x14ac:dyDescent="0.55000000000000004">
      <c r="K5" s="4"/>
      <c r="M5">
        <v>0.25</v>
      </c>
      <c r="N5">
        <v>22</v>
      </c>
      <c r="O5">
        <v>19</v>
      </c>
    </row>
    <row r="6" spans="6:15" x14ac:dyDescent="0.55000000000000004">
      <c r="K6" s="4"/>
      <c r="M6">
        <v>0.33333000000000002</v>
      </c>
      <c r="N6">
        <v>28</v>
      </c>
      <c r="O6">
        <v>24</v>
      </c>
    </row>
    <row r="7" spans="6:15" x14ac:dyDescent="0.55000000000000004">
      <c r="K7" s="4"/>
      <c r="M7">
        <v>0.5</v>
      </c>
      <c r="N7">
        <v>36</v>
      </c>
      <c r="O7">
        <v>30</v>
      </c>
    </row>
    <row r="8" spans="6:15" x14ac:dyDescent="0.55000000000000004">
      <c r="M8">
        <v>0.66666599999999998</v>
      </c>
      <c r="N8">
        <v>41</v>
      </c>
      <c r="O8">
        <v>32</v>
      </c>
    </row>
    <row r="9" spans="6:15" x14ac:dyDescent="0.55000000000000004">
      <c r="M9">
        <v>1</v>
      </c>
      <c r="N9">
        <v>50</v>
      </c>
      <c r="O9">
        <v>33</v>
      </c>
    </row>
    <row r="11" spans="6:15" x14ac:dyDescent="0.55000000000000004">
      <c r="F11" t="s">
        <v>46</v>
      </c>
      <c r="L11" s="14" t="s">
        <v>45</v>
      </c>
    </row>
    <row r="12" spans="6:15" x14ac:dyDescent="0.55000000000000004">
      <c r="F12" t="s">
        <v>7</v>
      </c>
      <c r="G12" t="s">
        <v>5</v>
      </c>
      <c r="H12" t="s">
        <v>6</v>
      </c>
    </row>
    <row r="13" spans="6:15" x14ac:dyDescent="0.55000000000000004">
      <c r="F13">
        <v>0.25</v>
      </c>
      <c r="G13">
        <v>24</v>
      </c>
      <c r="H13">
        <v>13.8</v>
      </c>
    </row>
    <row r="14" spans="6:15" x14ac:dyDescent="0.55000000000000004">
      <c r="F14">
        <v>0.4</v>
      </c>
      <c r="G14">
        <v>32.5</v>
      </c>
      <c r="H14">
        <v>18.8</v>
      </c>
    </row>
    <row r="15" spans="6:15" x14ac:dyDescent="0.55000000000000004">
      <c r="F15">
        <v>0.8</v>
      </c>
      <c r="G15">
        <v>48.9</v>
      </c>
      <c r="H15">
        <v>28.4</v>
      </c>
    </row>
    <row r="16" spans="6:15" x14ac:dyDescent="0.55000000000000004">
      <c r="F16">
        <v>1</v>
      </c>
      <c r="G16">
        <v>55</v>
      </c>
      <c r="H16">
        <v>32</v>
      </c>
    </row>
    <row r="20" spans="1:15" x14ac:dyDescent="0.55000000000000004">
      <c r="A20" t="s">
        <v>30</v>
      </c>
      <c r="B20" t="s">
        <v>31</v>
      </c>
      <c r="C20" s="10" t="s">
        <v>24</v>
      </c>
      <c r="D20" s="10" t="s">
        <v>25</v>
      </c>
      <c r="E20" t="s">
        <v>8</v>
      </c>
      <c r="F20" t="s">
        <v>14</v>
      </c>
      <c r="G20" t="s">
        <v>15</v>
      </c>
      <c r="H20" t="s">
        <v>16</v>
      </c>
      <c r="I20" t="s">
        <v>17</v>
      </c>
      <c r="J20" t="s">
        <v>20</v>
      </c>
      <c r="K20" t="s">
        <v>21</v>
      </c>
      <c r="L20" t="s">
        <v>22</v>
      </c>
      <c r="M20" t="s">
        <v>23</v>
      </c>
      <c r="N20" t="s">
        <v>32</v>
      </c>
      <c r="O20" t="s">
        <v>33</v>
      </c>
    </row>
    <row r="21" spans="1:15" x14ac:dyDescent="0.55000000000000004">
      <c r="A21">
        <v>1</v>
      </c>
      <c r="B21" t="s">
        <v>9</v>
      </c>
      <c r="C21" s="3" t="s">
        <v>26</v>
      </c>
      <c r="D21" s="3" t="s">
        <v>27</v>
      </c>
      <c r="E21">
        <v>0.12992125984251968</v>
      </c>
      <c r="F21" s="8">
        <f>E21/0.3937</f>
        <v>0.33000066000132</v>
      </c>
      <c r="G21">
        <f>-21.812*F21^2+68.279*F21+8.4349</f>
        <v>28.591678762894425</v>
      </c>
      <c r="H21">
        <f>-12.736*F21^2+39.984*F21+4.6897</f>
        <v>16.497490441674536</v>
      </c>
      <c r="I21" s="1">
        <v>50</v>
      </c>
      <c r="J21" s="4">
        <v>18</v>
      </c>
      <c r="K21" s="9">
        <f>J21/100</f>
        <v>0.18</v>
      </c>
      <c r="L21">
        <f t="shared" ref="L21:L67" si="0">IFERROR(I21-H21*LN(K21/(1-K21))+G21,"")</f>
        <v>103.60760697500166</v>
      </c>
      <c r="M21" s="4">
        <v>3</v>
      </c>
      <c r="N21">
        <f t="shared" ref="N21:N67" si="1">IFERROR(M21/(0.9*K21+0.1),"")</f>
        <v>11.450381679389313</v>
      </c>
      <c r="O21">
        <f>IFERROR(Table1[[#This Row],[CVN_Upper Shelf Estimate For Sample Size]]/Table1[[#This Row],[Fraction of Full Size Charpy]],"")</f>
        <v>34.698056904927135</v>
      </c>
    </row>
    <row r="22" spans="1:15" x14ac:dyDescent="0.55000000000000004">
      <c r="A22">
        <v>1</v>
      </c>
      <c r="B22" t="s">
        <v>9</v>
      </c>
      <c r="C22" s="3" t="s">
        <v>26</v>
      </c>
      <c r="D22" s="3" t="s">
        <v>27</v>
      </c>
      <c r="E22">
        <v>0.12992125984251968</v>
      </c>
      <c r="F22" s="8">
        <f t="shared" ref="F22:F67" si="2">E22/0.3937</f>
        <v>0.33000066000132</v>
      </c>
      <c r="G22">
        <f t="shared" ref="G22:G67" si="3">-21.812*F22^2+68.279*F22+8.4349</f>
        <v>28.591678762894425</v>
      </c>
      <c r="H22">
        <f t="shared" ref="H22:H67" si="4">-12.736*F22^2+39.984*F22+4.6897</f>
        <v>16.497490441674536</v>
      </c>
      <c r="I22" s="1">
        <v>50</v>
      </c>
      <c r="J22" s="4">
        <v>18</v>
      </c>
      <c r="K22" s="9">
        <f t="shared" ref="K22:K67" si="5">J22/100</f>
        <v>0.18</v>
      </c>
      <c r="L22">
        <f t="shared" si="0"/>
        <v>103.60760697500166</v>
      </c>
      <c r="M22" s="4">
        <v>3</v>
      </c>
      <c r="N22">
        <f t="shared" si="1"/>
        <v>11.450381679389313</v>
      </c>
      <c r="O22">
        <f>IFERROR(Table1[[#This Row],[CVN_Upper Shelf Estimate For Sample Size]]/Table1[[#This Row],[Fraction of Full Size Charpy]],"")</f>
        <v>34.698056904927135</v>
      </c>
    </row>
    <row r="23" spans="1:15" x14ac:dyDescent="0.55000000000000004">
      <c r="A23">
        <v>1</v>
      </c>
      <c r="B23" t="s">
        <v>9</v>
      </c>
      <c r="C23" s="3" t="s">
        <v>26</v>
      </c>
      <c r="D23" s="3" t="s">
        <v>27</v>
      </c>
      <c r="E23">
        <v>0.12992125984251968</v>
      </c>
      <c r="F23" s="8">
        <f t="shared" si="2"/>
        <v>0.33000066000132</v>
      </c>
      <c r="G23">
        <f t="shared" si="3"/>
        <v>28.591678762894425</v>
      </c>
      <c r="H23">
        <f t="shared" si="4"/>
        <v>16.497490441674536</v>
      </c>
      <c r="I23" s="1">
        <v>50</v>
      </c>
      <c r="J23" s="4">
        <v>34</v>
      </c>
      <c r="K23" s="9">
        <f t="shared" si="5"/>
        <v>0.34</v>
      </c>
      <c r="L23">
        <f t="shared" si="0"/>
        <v>89.534368774638239</v>
      </c>
      <c r="M23" s="4">
        <v>3</v>
      </c>
      <c r="N23">
        <f t="shared" si="1"/>
        <v>7.3891625615763541</v>
      </c>
      <c r="O23">
        <f>IFERROR(Table1[[#This Row],[CVN_Upper Shelf Estimate For Sample Size]]/Table1[[#This Row],[Fraction of Full Size Charpy]],"")</f>
        <v>22.391356918943124</v>
      </c>
    </row>
    <row r="24" spans="1:15" x14ac:dyDescent="0.55000000000000004">
      <c r="A24">
        <v>1</v>
      </c>
      <c r="B24" t="s">
        <v>9</v>
      </c>
      <c r="C24" s="3" t="s">
        <v>26</v>
      </c>
      <c r="D24" s="3" t="s">
        <v>27</v>
      </c>
      <c r="E24">
        <v>0.12992125984251968</v>
      </c>
      <c r="F24" s="8">
        <f t="shared" si="2"/>
        <v>0.33000066000132</v>
      </c>
      <c r="G24">
        <f t="shared" si="3"/>
        <v>28.591678762894425</v>
      </c>
      <c r="H24">
        <f t="shared" si="4"/>
        <v>16.497490441674536</v>
      </c>
      <c r="I24" s="1">
        <v>32</v>
      </c>
      <c r="J24" s="4">
        <v>25</v>
      </c>
      <c r="K24" s="9">
        <f t="shared" si="5"/>
        <v>0.25</v>
      </c>
      <c r="L24">
        <f t="shared" si="0"/>
        <v>78.716024494302758</v>
      </c>
      <c r="M24" s="4">
        <v>3</v>
      </c>
      <c r="N24">
        <f t="shared" si="1"/>
        <v>9.2307692307692299</v>
      </c>
      <c r="O24">
        <f>IFERROR(Table1[[#This Row],[CVN_Upper Shelf Estimate For Sample Size]]/Table1[[#This Row],[Fraction of Full Size Charpy]],"")</f>
        <v>27.971972027972026</v>
      </c>
    </row>
    <row r="25" spans="1:15" x14ac:dyDescent="0.55000000000000004">
      <c r="A25">
        <v>1</v>
      </c>
      <c r="B25" t="s">
        <v>9</v>
      </c>
      <c r="C25" s="3" t="s">
        <v>26</v>
      </c>
      <c r="D25" s="3" t="s">
        <v>27</v>
      </c>
      <c r="E25">
        <v>0.12992125984251968</v>
      </c>
      <c r="F25" s="8">
        <f t="shared" si="2"/>
        <v>0.33000066000132</v>
      </c>
      <c r="G25">
        <f t="shared" si="3"/>
        <v>28.591678762894425</v>
      </c>
      <c r="H25">
        <f t="shared" si="4"/>
        <v>16.497490441674536</v>
      </c>
      <c r="I25" s="1">
        <v>32</v>
      </c>
      <c r="J25" s="4">
        <v>33</v>
      </c>
      <c r="K25" s="9">
        <f t="shared" si="5"/>
        <v>0.33</v>
      </c>
      <c r="L25">
        <f t="shared" si="0"/>
        <v>72.274954986940344</v>
      </c>
      <c r="M25" s="4">
        <v>3</v>
      </c>
      <c r="N25">
        <f t="shared" si="1"/>
        <v>7.5566750629722916</v>
      </c>
      <c r="O25">
        <f>IFERROR(Table1[[#This Row],[CVN_Upper Shelf Estimate For Sample Size]]/Table1[[#This Row],[Fraction of Full Size Charpy]],"")</f>
        <v>22.898969544309594</v>
      </c>
    </row>
    <row r="26" spans="1:15" x14ac:dyDescent="0.55000000000000004">
      <c r="A26">
        <v>1</v>
      </c>
      <c r="B26" t="s">
        <v>9</v>
      </c>
      <c r="C26" s="3" t="s">
        <v>26</v>
      </c>
      <c r="D26" s="3" t="s">
        <v>27</v>
      </c>
      <c r="E26">
        <v>0.12992125984251968</v>
      </c>
      <c r="F26" s="8">
        <f t="shared" si="2"/>
        <v>0.33000066000132</v>
      </c>
      <c r="G26">
        <f t="shared" si="3"/>
        <v>28.591678762894425</v>
      </c>
      <c r="H26">
        <f t="shared" si="4"/>
        <v>16.497490441674536</v>
      </c>
      <c r="I26" s="1">
        <v>32</v>
      </c>
      <c r="J26" s="4">
        <v>25</v>
      </c>
      <c r="K26" s="9">
        <f t="shared" si="5"/>
        <v>0.25</v>
      </c>
      <c r="L26">
        <f t="shared" si="0"/>
        <v>78.716024494302758</v>
      </c>
      <c r="M26" s="4">
        <v>2</v>
      </c>
      <c r="N26">
        <f t="shared" si="1"/>
        <v>6.1538461538461533</v>
      </c>
      <c r="O26">
        <f>IFERROR(Table1[[#This Row],[CVN_Upper Shelf Estimate For Sample Size]]/Table1[[#This Row],[Fraction of Full Size Charpy]],"")</f>
        <v>18.64798135198135</v>
      </c>
    </row>
    <row r="27" spans="1:15" hidden="1" x14ac:dyDescent="0.55000000000000004">
      <c r="A27">
        <v>1</v>
      </c>
      <c r="B27" t="s">
        <v>9</v>
      </c>
      <c r="C27" s="1" t="s">
        <v>28</v>
      </c>
      <c r="D27" s="1" t="s">
        <v>27</v>
      </c>
      <c r="E27">
        <v>0.12992125984251968</v>
      </c>
      <c r="F27" s="8">
        <f t="shared" si="2"/>
        <v>0.33000066000132</v>
      </c>
      <c r="G27">
        <f t="shared" si="3"/>
        <v>28.591678762894425</v>
      </c>
      <c r="H27">
        <f t="shared" si="4"/>
        <v>16.497490441674536</v>
      </c>
      <c r="I27" s="1">
        <v>50</v>
      </c>
      <c r="J27" s="4" t="s">
        <v>18</v>
      </c>
      <c r="K27" s="9" t="e">
        <f t="shared" si="5"/>
        <v>#VALUE!</v>
      </c>
      <c r="L27" t="str">
        <f t="shared" si="0"/>
        <v/>
      </c>
      <c r="M27" s="4">
        <v>11</v>
      </c>
      <c r="N27" t="str">
        <f t="shared" si="1"/>
        <v/>
      </c>
      <c r="O27" t="str">
        <f>IFERROR(Table1[[#This Row],[CVN_Upper Shelf Estimate For Sample Size]]/Table1[[#This Row],[Fraction of Full Size Charpy]],"")</f>
        <v/>
      </c>
    </row>
    <row r="28" spans="1:15" hidden="1" x14ac:dyDescent="0.55000000000000004">
      <c r="A28">
        <v>1</v>
      </c>
      <c r="B28" t="s">
        <v>9</v>
      </c>
      <c r="C28" s="1" t="s">
        <v>28</v>
      </c>
      <c r="D28" s="1" t="s">
        <v>27</v>
      </c>
      <c r="E28">
        <v>0.12992125984251968</v>
      </c>
      <c r="F28" s="8">
        <f t="shared" si="2"/>
        <v>0.33000066000132</v>
      </c>
      <c r="G28">
        <f t="shared" si="3"/>
        <v>28.591678762894425</v>
      </c>
      <c r="H28">
        <f t="shared" si="4"/>
        <v>16.497490441674536</v>
      </c>
      <c r="I28" s="1">
        <v>50</v>
      </c>
      <c r="J28" s="4">
        <v>37</v>
      </c>
      <c r="K28" s="9">
        <f t="shared" si="5"/>
        <v>0.37</v>
      </c>
      <c r="L28">
        <f t="shared" si="0"/>
        <v>87.371920560589118</v>
      </c>
      <c r="M28" s="4">
        <v>3</v>
      </c>
      <c r="N28">
        <f t="shared" si="1"/>
        <v>6.9284064665127012</v>
      </c>
      <c r="O28">
        <f>IFERROR(Table1[[#This Row],[CVN_Upper Shelf Estimate For Sample Size]]/Table1[[#This Row],[Fraction of Full Size Charpy]],"")</f>
        <v>20.995129120302327</v>
      </c>
    </row>
    <row r="29" spans="1:15" hidden="1" x14ac:dyDescent="0.55000000000000004">
      <c r="A29">
        <v>1</v>
      </c>
      <c r="B29" t="s">
        <v>9</v>
      </c>
      <c r="C29" s="1" t="s">
        <v>28</v>
      </c>
      <c r="D29" s="1" t="s">
        <v>27</v>
      </c>
      <c r="E29">
        <v>0.12992125984251968</v>
      </c>
      <c r="F29" s="8">
        <f t="shared" si="2"/>
        <v>0.33000066000132</v>
      </c>
      <c r="G29">
        <f t="shared" si="3"/>
        <v>28.591678762894425</v>
      </c>
      <c r="H29">
        <f t="shared" si="4"/>
        <v>16.497490441674536</v>
      </c>
      <c r="I29" s="1">
        <v>50</v>
      </c>
      <c r="J29" s="4">
        <v>42</v>
      </c>
      <c r="K29" s="9">
        <f t="shared" si="5"/>
        <v>0.42</v>
      </c>
      <c r="L29">
        <f t="shared" si="0"/>
        <v>83.916629716580985</v>
      </c>
      <c r="M29" s="4">
        <v>6</v>
      </c>
      <c r="N29">
        <f t="shared" si="1"/>
        <v>12.552301255230127</v>
      </c>
      <c r="O29">
        <f>IFERROR(Table1[[#This Row],[CVN_Upper Shelf Estimate For Sample Size]]/Table1[[#This Row],[Fraction of Full Size Charpy]],"")</f>
        <v>38.037200456447323</v>
      </c>
    </row>
    <row r="30" spans="1:15" hidden="1" x14ac:dyDescent="0.55000000000000004">
      <c r="A30">
        <v>1</v>
      </c>
      <c r="B30" t="s">
        <v>9</v>
      </c>
      <c r="C30" s="1" t="s">
        <v>28</v>
      </c>
      <c r="D30" s="1" t="s">
        <v>27</v>
      </c>
      <c r="E30">
        <v>0.12992125984251968</v>
      </c>
      <c r="F30" s="8">
        <f t="shared" si="2"/>
        <v>0.33000066000132</v>
      </c>
      <c r="G30">
        <f t="shared" si="3"/>
        <v>28.591678762894425</v>
      </c>
      <c r="H30">
        <f t="shared" si="4"/>
        <v>16.497490441674536</v>
      </c>
      <c r="I30" s="1">
        <v>32</v>
      </c>
      <c r="J30" s="4">
        <v>18</v>
      </c>
      <c r="K30" s="9">
        <f t="shared" si="5"/>
        <v>0.18</v>
      </c>
      <c r="L30">
        <f t="shared" si="0"/>
        <v>85.607606975001659</v>
      </c>
      <c r="M30" s="4">
        <v>2</v>
      </c>
      <c r="N30">
        <f t="shared" si="1"/>
        <v>7.6335877862595414</v>
      </c>
      <c r="O30">
        <f>IFERROR(Table1[[#This Row],[CVN_Upper Shelf Estimate For Sample Size]]/Table1[[#This Row],[Fraction of Full Size Charpy]],"")</f>
        <v>23.132037936618087</v>
      </c>
    </row>
    <row r="31" spans="1:15" hidden="1" x14ac:dyDescent="0.55000000000000004">
      <c r="A31">
        <v>1</v>
      </c>
      <c r="B31" t="s">
        <v>9</v>
      </c>
      <c r="C31" s="1" t="s">
        <v>28</v>
      </c>
      <c r="D31" s="1" t="s">
        <v>27</v>
      </c>
      <c r="E31">
        <v>0.12992125984251968</v>
      </c>
      <c r="F31" s="8">
        <f t="shared" si="2"/>
        <v>0.33000066000132</v>
      </c>
      <c r="G31">
        <f t="shared" si="3"/>
        <v>28.591678762894425</v>
      </c>
      <c r="H31">
        <f t="shared" si="4"/>
        <v>16.497490441674536</v>
      </c>
      <c r="I31" s="1">
        <v>32</v>
      </c>
      <c r="J31" s="4" t="s">
        <v>18</v>
      </c>
      <c r="K31" s="9" t="e">
        <f t="shared" si="5"/>
        <v>#VALUE!</v>
      </c>
      <c r="L31" t="str">
        <f t="shared" si="0"/>
        <v/>
      </c>
      <c r="M31" s="4">
        <v>11</v>
      </c>
      <c r="N31" t="str">
        <f t="shared" si="1"/>
        <v/>
      </c>
      <c r="O31" t="str">
        <f>IFERROR(Table1[[#This Row],[CVN_Upper Shelf Estimate For Sample Size]]/Table1[[#This Row],[Fraction of Full Size Charpy]],"")</f>
        <v/>
      </c>
    </row>
    <row r="32" spans="1:15" hidden="1" x14ac:dyDescent="0.55000000000000004">
      <c r="A32">
        <v>1</v>
      </c>
      <c r="B32" t="s">
        <v>9</v>
      </c>
      <c r="C32" s="1" t="s">
        <v>28</v>
      </c>
      <c r="D32" s="1" t="s">
        <v>27</v>
      </c>
      <c r="E32">
        <v>0.12992125984251968</v>
      </c>
      <c r="F32" s="8">
        <f t="shared" si="2"/>
        <v>0.33000066000132</v>
      </c>
      <c r="G32">
        <f t="shared" si="3"/>
        <v>28.591678762894425</v>
      </c>
      <c r="H32">
        <f t="shared" si="4"/>
        <v>16.497490441674536</v>
      </c>
      <c r="I32" s="1">
        <v>32</v>
      </c>
      <c r="J32" s="4">
        <v>29</v>
      </c>
      <c r="K32" s="9">
        <f t="shared" si="5"/>
        <v>0.28999999999999998</v>
      </c>
      <c r="L32">
        <f t="shared" si="0"/>
        <v>75.363268520809527</v>
      </c>
      <c r="M32" s="4">
        <v>4</v>
      </c>
      <c r="N32">
        <f t="shared" si="1"/>
        <v>11.0803324099723</v>
      </c>
      <c r="O32">
        <f>IFERROR(Table1[[#This Row],[CVN_Upper Shelf Estimate For Sample Size]]/Table1[[#This Row],[Fraction of Full Size Charpy]],"")</f>
        <v>33.576697725174185</v>
      </c>
    </row>
    <row r="33" spans="1:15" x14ac:dyDescent="0.55000000000000004">
      <c r="A33">
        <v>2</v>
      </c>
      <c r="B33" t="s">
        <v>10</v>
      </c>
      <c r="C33" s="1" t="s">
        <v>26</v>
      </c>
      <c r="D33" s="1" t="s">
        <v>27</v>
      </c>
      <c r="E33">
        <v>0.39370078740157483</v>
      </c>
      <c r="F33" s="8">
        <f t="shared" si="2"/>
        <v>1.000002000004</v>
      </c>
      <c r="G33">
        <f t="shared" si="3"/>
        <v>54.901949310011361</v>
      </c>
      <c r="H33">
        <f t="shared" si="4"/>
        <v>31.937729024007112</v>
      </c>
      <c r="I33" s="1">
        <v>32</v>
      </c>
      <c r="J33" s="4">
        <v>36</v>
      </c>
      <c r="K33" s="9">
        <f t="shared" si="5"/>
        <v>0.36</v>
      </c>
      <c r="L33">
        <f t="shared" si="0"/>
        <v>105.27777346007088</v>
      </c>
      <c r="M33" s="1">
        <v>11</v>
      </c>
      <c r="N33">
        <f t="shared" si="1"/>
        <v>25.943396226415093</v>
      </c>
      <c r="O33">
        <f>IFERROR(Table1[[#This Row],[CVN_Upper Shelf Estimate For Sample Size]]/Table1[[#This Row],[Fraction of Full Size Charpy]],"")</f>
        <v>25.943344339622641</v>
      </c>
    </row>
    <row r="34" spans="1:15" x14ac:dyDescent="0.55000000000000004">
      <c r="A34">
        <v>2</v>
      </c>
      <c r="B34" t="s">
        <v>10</v>
      </c>
      <c r="C34" s="1" t="s">
        <v>26</v>
      </c>
      <c r="D34" s="1" t="s">
        <v>27</v>
      </c>
      <c r="E34">
        <v>0.39370078740157483</v>
      </c>
      <c r="F34" s="8">
        <f t="shared" si="2"/>
        <v>1.000002000004</v>
      </c>
      <c r="G34">
        <f t="shared" si="3"/>
        <v>54.901949310011361</v>
      </c>
      <c r="H34">
        <f t="shared" si="4"/>
        <v>31.937729024007112</v>
      </c>
      <c r="I34" s="1">
        <v>32</v>
      </c>
      <c r="J34" s="4">
        <v>41</v>
      </c>
      <c r="K34" s="9">
        <f t="shared" si="5"/>
        <v>0.41</v>
      </c>
      <c r="L34">
        <f t="shared" si="0"/>
        <v>98.526176901190581</v>
      </c>
      <c r="M34" s="1">
        <v>13</v>
      </c>
      <c r="N34">
        <f t="shared" si="1"/>
        <v>27.718550106609811</v>
      </c>
      <c r="O34">
        <f>IFERROR(Table1[[#This Row],[CVN_Upper Shelf Estimate For Sample Size]]/Table1[[#This Row],[Fraction of Full Size Charpy]],"")</f>
        <v>27.7184946695096</v>
      </c>
    </row>
    <row r="35" spans="1:15" x14ac:dyDescent="0.55000000000000004">
      <c r="A35">
        <v>2</v>
      </c>
      <c r="B35" t="s">
        <v>10</v>
      </c>
      <c r="C35" s="1" t="s">
        <v>26</v>
      </c>
      <c r="D35" s="1" t="s">
        <v>27</v>
      </c>
      <c r="E35">
        <v>0.39370078740157483</v>
      </c>
      <c r="F35" s="8">
        <f t="shared" si="2"/>
        <v>1.000002000004</v>
      </c>
      <c r="G35">
        <f t="shared" si="3"/>
        <v>54.901949310011361</v>
      </c>
      <c r="H35">
        <f t="shared" si="4"/>
        <v>31.937729024007112</v>
      </c>
      <c r="I35" s="1">
        <v>32</v>
      </c>
      <c r="J35" s="4">
        <v>42</v>
      </c>
      <c r="K35" s="9">
        <f t="shared" si="5"/>
        <v>0.42</v>
      </c>
      <c r="L35">
        <f t="shared" si="0"/>
        <v>97.210598448268243</v>
      </c>
      <c r="M35" s="1">
        <v>11</v>
      </c>
      <c r="N35">
        <f t="shared" si="1"/>
        <v>23.01255230125523</v>
      </c>
      <c r="O35">
        <f>IFERROR(Table1[[#This Row],[CVN_Upper Shelf Estimate For Sample Size]]/Table1[[#This Row],[Fraction of Full Size Charpy]],"")</f>
        <v>23.012506276150628</v>
      </c>
    </row>
    <row r="36" spans="1:15" x14ac:dyDescent="0.55000000000000004">
      <c r="A36">
        <v>2</v>
      </c>
      <c r="B36" t="s">
        <v>10</v>
      </c>
      <c r="C36" s="1" t="s">
        <v>26</v>
      </c>
      <c r="D36" s="1" t="s">
        <v>27</v>
      </c>
      <c r="E36">
        <v>0.39370078740157483</v>
      </c>
      <c r="F36" s="8">
        <f t="shared" si="2"/>
        <v>1.000002000004</v>
      </c>
      <c r="G36">
        <f t="shared" si="3"/>
        <v>54.901949310011361</v>
      </c>
      <c r="H36">
        <f t="shared" si="4"/>
        <v>31.937729024007112</v>
      </c>
      <c r="I36" s="1">
        <v>50</v>
      </c>
      <c r="J36" s="4">
        <v>78</v>
      </c>
      <c r="K36" s="9">
        <f t="shared" si="5"/>
        <v>0.78</v>
      </c>
      <c r="L36">
        <f t="shared" si="0"/>
        <v>64.479439643759235</v>
      </c>
      <c r="M36" s="1">
        <v>19</v>
      </c>
      <c r="N36">
        <f t="shared" si="1"/>
        <v>23.690773067331669</v>
      </c>
      <c r="O36">
        <f>IFERROR(Table1[[#This Row],[CVN_Upper Shelf Estimate For Sample Size]]/Table1[[#This Row],[Fraction of Full Size Charpy]],"")</f>
        <v>23.690725685785534</v>
      </c>
    </row>
    <row r="37" spans="1:15" x14ac:dyDescent="0.55000000000000004">
      <c r="A37">
        <v>2</v>
      </c>
      <c r="B37" t="s">
        <v>10</v>
      </c>
      <c r="C37" s="1" t="s">
        <v>26</v>
      </c>
      <c r="D37" s="1" t="s">
        <v>27</v>
      </c>
      <c r="E37">
        <v>0.39370078740157483</v>
      </c>
      <c r="F37" s="8">
        <f t="shared" si="2"/>
        <v>1.000002000004</v>
      </c>
      <c r="G37">
        <f t="shared" si="3"/>
        <v>54.901949310011361</v>
      </c>
      <c r="H37">
        <f t="shared" si="4"/>
        <v>31.937729024007112</v>
      </c>
      <c r="I37" s="1">
        <v>50</v>
      </c>
      <c r="J37" s="4">
        <v>60</v>
      </c>
      <c r="K37" s="9">
        <f t="shared" si="5"/>
        <v>0.6</v>
      </c>
      <c r="L37">
        <f t="shared" si="0"/>
        <v>91.95231455856306</v>
      </c>
      <c r="M37" s="1">
        <v>17</v>
      </c>
      <c r="N37">
        <f t="shared" si="1"/>
        <v>26.5625</v>
      </c>
      <c r="O37">
        <f>IFERROR(Table1[[#This Row],[CVN_Upper Shelf Estimate For Sample Size]]/Table1[[#This Row],[Fraction of Full Size Charpy]],"")</f>
        <v>26.562446875000003</v>
      </c>
    </row>
    <row r="38" spans="1:15" hidden="1" x14ac:dyDescent="0.55000000000000004">
      <c r="A38">
        <v>2</v>
      </c>
      <c r="B38" t="s">
        <v>10</v>
      </c>
      <c r="C38" s="1" t="s">
        <v>28</v>
      </c>
      <c r="D38" s="1" t="s">
        <v>27</v>
      </c>
      <c r="E38">
        <v>0.39370078740157483</v>
      </c>
      <c r="F38" s="8">
        <f t="shared" si="2"/>
        <v>1.000002000004</v>
      </c>
      <c r="G38">
        <f t="shared" si="3"/>
        <v>54.901949310011361</v>
      </c>
      <c r="H38">
        <f t="shared" si="4"/>
        <v>31.937729024007112</v>
      </c>
      <c r="I38" s="1">
        <v>32</v>
      </c>
      <c r="J38" s="4">
        <v>79</v>
      </c>
      <c r="K38" s="9">
        <f t="shared" si="5"/>
        <v>0.79</v>
      </c>
      <c r="L38">
        <f t="shared" si="0"/>
        <v>44.586840436910066</v>
      </c>
      <c r="M38" s="1">
        <v>50</v>
      </c>
      <c r="N38">
        <f t="shared" si="1"/>
        <v>61.652281134401967</v>
      </c>
      <c r="O38">
        <f>IFERROR(Table1[[#This Row],[CVN_Upper Shelf Estimate For Sample Size]]/Table1[[#This Row],[Fraction of Full Size Charpy]],"")</f>
        <v>61.652157829839702</v>
      </c>
    </row>
    <row r="39" spans="1:15" hidden="1" x14ac:dyDescent="0.55000000000000004">
      <c r="A39">
        <v>2</v>
      </c>
      <c r="B39" t="s">
        <v>10</v>
      </c>
      <c r="C39" s="1" t="s">
        <v>28</v>
      </c>
      <c r="D39" s="1" t="s">
        <v>27</v>
      </c>
      <c r="E39">
        <v>0.39370078740157483</v>
      </c>
      <c r="F39" s="8">
        <f t="shared" si="2"/>
        <v>1.000002000004</v>
      </c>
      <c r="G39">
        <f t="shared" si="3"/>
        <v>54.901949310011361</v>
      </c>
      <c r="H39">
        <f t="shared" si="4"/>
        <v>31.937729024007112</v>
      </c>
      <c r="I39" s="1">
        <v>32</v>
      </c>
      <c r="J39" s="4">
        <v>67</v>
      </c>
      <c r="K39" s="9">
        <f t="shared" si="5"/>
        <v>0.67</v>
      </c>
      <c r="L39">
        <f t="shared" si="0"/>
        <v>64.284126831168351</v>
      </c>
      <c r="M39" s="1">
        <v>46</v>
      </c>
      <c r="N39">
        <f t="shared" si="1"/>
        <v>65.433854907539114</v>
      </c>
      <c r="O39">
        <f>IFERROR(Table1[[#This Row],[CVN_Upper Shelf Estimate For Sample Size]]/Table1[[#This Row],[Fraction of Full Size Charpy]],"")</f>
        <v>65.433724039829301</v>
      </c>
    </row>
    <row r="40" spans="1:15" hidden="1" x14ac:dyDescent="0.55000000000000004">
      <c r="A40">
        <v>2</v>
      </c>
      <c r="B40" t="s">
        <v>10</v>
      </c>
      <c r="C40" s="1" t="s">
        <v>28</v>
      </c>
      <c r="D40" s="1" t="s">
        <v>27</v>
      </c>
      <c r="E40">
        <v>0.39370078740157483</v>
      </c>
      <c r="F40" s="8">
        <f t="shared" si="2"/>
        <v>1.000002000004</v>
      </c>
      <c r="G40">
        <f t="shared" si="3"/>
        <v>54.901949310011361</v>
      </c>
      <c r="H40">
        <f t="shared" si="4"/>
        <v>31.937729024007112</v>
      </c>
      <c r="I40" s="1">
        <v>32</v>
      </c>
      <c r="J40" s="4">
        <v>66</v>
      </c>
      <c r="K40" s="9">
        <f t="shared" si="5"/>
        <v>0.66</v>
      </c>
      <c r="L40">
        <f t="shared" si="0"/>
        <v>65.717838331171478</v>
      </c>
      <c r="M40" s="1">
        <v>46</v>
      </c>
      <c r="N40">
        <f t="shared" si="1"/>
        <v>66.282420749279538</v>
      </c>
      <c r="O40">
        <f>IFERROR(Table1[[#This Row],[CVN_Upper Shelf Estimate For Sample Size]]/Table1[[#This Row],[Fraction of Full Size Charpy]],"")</f>
        <v>66.282288184438045</v>
      </c>
    </row>
    <row r="41" spans="1:15" hidden="1" x14ac:dyDescent="0.55000000000000004">
      <c r="A41">
        <v>2</v>
      </c>
      <c r="B41" t="s">
        <v>10</v>
      </c>
      <c r="C41" s="1" t="s">
        <v>28</v>
      </c>
      <c r="D41" s="1" t="s">
        <v>27</v>
      </c>
      <c r="E41">
        <v>0.39370078740157483</v>
      </c>
      <c r="F41" s="8">
        <f t="shared" si="2"/>
        <v>1.000002000004</v>
      </c>
      <c r="G41">
        <f t="shared" si="3"/>
        <v>54.901949310011361</v>
      </c>
      <c r="H41">
        <f t="shared" si="4"/>
        <v>31.937729024007112</v>
      </c>
      <c r="I41" s="1">
        <v>50</v>
      </c>
      <c r="J41" s="4">
        <v>70</v>
      </c>
      <c r="K41" s="9">
        <f t="shared" si="5"/>
        <v>0.7</v>
      </c>
      <c r="L41">
        <f t="shared" si="0"/>
        <v>77.841179842343848</v>
      </c>
      <c r="M41" s="1">
        <v>55</v>
      </c>
      <c r="N41">
        <f t="shared" si="1"/>
        <v>75.342465753424662</v>
      </c>
      <c r="O41">
        <f>IFERROR(Table1[[#This Row],[CVN_Upper Shelf Estimate For Sample Size]]/Table1[[#This Row],[Fraction of Full Size Charpy]],"")</f>
        <v>75.342315068493164</v>
      </c>
    </row>
    <row r="42" spans="1:15" hidden="1" x14ac:dyDescent="0.55000000000000004">
      <c r="A42">
        <v>2</v>
      </c>
      <c r="B42" t="s">
        <v>10</v>
      </c>
      <c r="C42" s="1" t="s">
        <v>28</v>
      </c>
      <c r="D42" s="1" t="s">
        <v>27</v>
      </c>
      <c r="E42">
        <v>0.39370078740157483</v>
      </c>
      <c r="F42" s="8">
        <f t="shared" si="2"/>
        <v>1.000002000004</v>
      </c>
      <c r="G42">
        <f t="shared" si="3"/>
        <v>54.901949310011361</v>
      </c>
      <c r="H42">
        <f t="shared" si="4"/>
        <v>31.937729024007112</v>
      </c>
      <c r="I42" s="1">
        <v>50</v>
      </c>
      <c r="J42" s="4">
        <v>81</v>
      </c>
      <c r="K42" s="9">
        <f t="shared" si="5"/>
        <v>0.81</v>
      </c>
      <c r="L42">
        <f t="shared" si="0"/>
        <v>58.591917242647781</v>
      </c>
      <c r="M42" s="1">
        <v>63</v>
      </c>
      <c r="N42">
        <f t="shared" si="1"/>
        <v>75.995174909529553</v>
      </c>
      <c r="O42">
        <f>IFERROR(Table1[[#This Row],[CVN_Upper Shelf Estimate For Sample Size]]/Table1[[#This Row],[Fraction of Full Size Charpy]],"")</f>
        <v>75.995022919179732</v>
      </c>
    </row>
    <row r="43" spans="1:15" hidden="1" x14ac:dyDescent="0.55000000000000004">
      <c r="A43">
        <v>2</v>
      </c>
      <c r="B43" t="s">
        <v>10</v>
      </c>
      <c r="C43" s="1" t="s">
        <v>28</v>
      </c>
      <c r="D43" s="1" t="s">
        <v>27</v>
      </c>
      <c r="E43">
        <v>0.39370078740157483</v>
      </c>
      <c r="F43" s="8">
        <f t="shared" si="2"/>
        <v>1.000002000004</v>
      </c>
      <c r="G43">
        <f t="shared" si="3"/>
        <v>54.901949310011361</v>
      </c>
      <c r="H43">
        <f t="shared" si="4"/>
        <v>31.937729024007112</v>
      </c>
      <c r="I43" s="1">
        <v>50</v>
      </c>
      <c r="J43" s="4">
        <v>69</v>
      </c>
      <c r="K43" s="9">
        <f t="shared" si="5"/>
        <v>0.69</v>
      </c>
      <c r="L43">
        <f t="shared" si="0"/>
        <v>79.347955916152472</v>
      </c>
      <c r="M43" s="1">
        <v>51</v>
      </c>
      <c r="N43">
        <f t="shared" si="1"/>
        <v>70.735090152565888</v>
      </c>
      <c r="O43">
        <f>IFERROR(Table1[[#This Row],[CVN_Upper Shelf Estimate For Sample Size]]/Table1[[#This Row],[Fraction of Full Size Charpy]],"")</f>
        <v>70.734948682385593</v>
      </c>
    </row>
    <row r="44" spans="1:15" x14ac:dyDescent="0.55000000000000004">
      <c r="A44">
        <v>3</v>
      </c>
      <c r="B44" s="7" t="s">
        <v>11</v>
      </c>
      <c r="C44" s="1" t="s">
        <v>26</v>
      </c>
      <c r="D44" s="1" t="s">
        <v>27</v>
      </c>
      <c r="E44">
        <v>0.23622047244094491</v>
      </c>
      <c r="F44" s="8">
        <f t="shared" si="2"/>
        <v>0.60000120000240009</v>
      </c>
      <c r="G44">
        <f t="shared" si="3"/>
        <v>41.550030525589641</v>
      </c>
      <c r="H44">
        <f t="shared" si="4"/>
        <v>24.095169641000943</v>
      </c>
      <c r="I44" s="1">
        <v>50</v>
      </c>
      <c r="J44" s="4">
        <v>18</v>
      </c>
      <c r="K44" s="9">
        <f t="shared" si="5"/>
        <v>0.18</v>
      </c>
      <c r="L44">
        <f t="shared" si="0"/>
        <v>128.08668051661962</v>
      </c>
      <c r="M44" s="4">
        <v>5</v>
      </c>
      <c r="N44">
        <f t="shared" si="1"/>
        <v>19.083969465648853</v>
      </c>
      <c r="O44">
        <f>IFERROR(Table1[[#This Row],[CVN_Upper Shelf Estimate For Sample Size]]/Table1[[#This Row],[Fraction of Full Size Charpy]],"")</f>
        <v>31.806552162849865</v>
      </c>
    </row>
    <row r="45" spans="1:15" x14ac:dyDescent="0.55000000000000004">
      <c r="A45">
        <v>3</v>
      </c>
      <c r="B45" s="7" t="s">
        <v>11</v>
      </c>
      <c r="C45" s="1" t="s">
        <v>26</v>
      </c>
      <c r="D45" s="1" t="s">
        <v>27</v>
      </c>
      <c r="E45">
        <v>0.23622047244094491</v>
      </c>
      <c r="F45" s="8">
        <f t="shared" si="2"/>
        <v>0.60000120000240009</v>
      </c>
      <c r="G45">
        <f t="shared" si="3"/>
        <v>41.550030525589641</v>
      </c>
      <c r="H45">
        <f t="shared" si="4"/>
        <v>24.095169641000943</v>
      </c>
      <c r="I45" s="1">
        <v>50</v>
      </c>
      <c r="J45" s="4">
        <v>18</v>
      </c>
      <c r="K45" s="9">
        <f t="shared" si="5"/>
        <v>0.18</v>
      </c>
      <c r="L45">
        <f t="shared" si="0"/>
        <v>128.08668051661962</v>
      </c>
      <c r="M45" s="4">
        <v>5</v>
      </c>
      <c r="N45">
        <f t="shared" si="1"/>
        <v>19.083969465648853</v>
      </c>
      <c r="O45">
        <f>IFERROR(Table1[[#This Row],[CVN_Upper Shelf Estimate For Sample Size]]/Table1[[#This Row],[Fraction of Full Size Charpy]],"")</f>
        <v>31.806552162849865</v>
      </c>
    </row>
    <row r="46" spans="1:15" x14ac:dyDescent="0.55000000000000004">
      <c r="A46">
        <v>3</v>
      </c>
      <c r="B46" s="7" t="s">
        <v>11</v>
      </c>
      <c r="C46" s="1" t="s">
        <v>26</v>
      </c>
      <c r="D46" s="1" t="s">
        <v>27</v>
      </c>
      <c r="E46">
        <v>0.23622047244094491</v>
      </c>
      <c r="F46" s="8">
        <f t="shared" si="2"/>
        <v>0.60000120000240009</v>
      </c>
      <c r="G46">
        <f t="shared" si="3"/>
        <v>41.550030525589641</v>
      </c>
      <c r="H46">
        <f t="shared" si="4"/>
        <v>24.095169641000943</v>
      </c>
      <c r="I46" s="1">
        <v>50</v>
      </c>
      <c r="J46" s="4">
        <v>23</v>
      </c>
      <c r="K46" s="9">
        <f t="shared" si="5"/>
        <v>0.23</v>
      </c>
      <c r="L46">
        <f t="shared" si="0"/>
        <v>120.66449401146372</v>
      </c>
      <c r="M46" s="4">
        <v>6</v>
      </c>
      <c r="N46">
        <f t="shared" si="1"/>
        <v>19.543973941368076</v>
      </c>
      <c r="O46">
        <f>IFERROR(Table1[[#This Row],[CVN_Upper Shelf Estimate For Sample Size]]/Table1[[#This Row],[Fraction of Full Size Charpy]],"")</f>
        <v>32.573224755700316</v>
      </c>
    </row>
    <row r="47" spans="1:15" x14ac:dyDescent="0.55000000000000004">
      <c r="A47">
        <v>3</v>
      </c>
      <c r="B47" s="7" t="s">
        <v>11</v>
      </c>
      <c r="C47" s="1" t="s">
        <v>26</v>
      </c>
      <c r="D47" s="1" t="s">
        <v>27</v>
      </c>
      <c r="E47">
        <v>0.23622047244094491</v>
      </c>
      <c r="F47" s="8">
        <f t="shared" si="2"/>
        <v>0.60000120000240009</v>
      </c>
      <c r="G47">
        <f t="shared" si="3"/>
        <v>41.550030525589641</v>
      </c>
      <c r="H47">
        <f t="shared" si="4"/>
        <v>24.095169641000943</v>
      </c>
      <c r="I47" s="1">
        <v>32</v>
      </c>
      <c r="J47" s="4">
        <v>22</v>
      </c>
      <c r="K47" s="9">
        <f t="shared" si="5"/>
        <v>0.22</v>
      </c>
      <c r="L47">
        <f t="shared" si="0"/>
        <v>104.04647649991716</v>
      </c>
      <c r="M47" s="4">
        <v>5</v>
      </c>
      <c r="N47">
        <f t="shared" si="1"/>
        <v>16.778523489932883</v>
      </c>
      <c r="O47">
        <f>IFERROR(Table1[[#This Row],[CVN_Upper Shelf Estimate For Sample Size]]/Table1[[#This Row],[Fraction of Full Size Charpy]],"")</f>
        <v>27.964149888143169</v>
      </c>
    </row>
    <row r="48" spans="1:15" x14ac:dyDescent="0.55000000000000004">
      <c r="A48">
        <v>3</v>
      </c>
      <c r="B48" s="7" t="s">
        <v>11</v>
      </c>
      <c r="C48" s="1" t="s">
        <v>26</v>
      </c>
      <c r="D48" s="1" t="s">
        <v>27</v>
      </c>
      <c r="E48">
        <v>0.23622047244094491</v>
      </c>
      <c r="F48" s="8">
        <f t="shared" si="2"/>
        <v>0.60000120000240009</v>
      </c>
      <c r="G48">
        <f t="shared" si="3"/>
        <v>41.550030525589641</v>
      </c>
      <c r="H48">
        <f t="shared" si="4"/>
        <v>24.095169641000943</v>
      </c>
      <c r="I48" s="1">
        <v>32</v>
      </c>
      <c r="J48" s="4">
        <v>11</v>
      </c>
      <c r="K48" s="9">
        <v>0.16</v>
      </c>
      <c r="L48">
        <f t="shared" si="0"/>
        <v>113.50531733482245</v>
      </c>
      <c r="M48" s="4">
        <v>5</v>
      </c>
      <c r="N48">
        <f t="shared" si="1"/>
        <v>20.491803278688522</v>
      </c>
      <c r="O48">
        <f>IFERROR(Table1[[#This Row],[CVN_Upper Shelf Estimate For Sample Size]]/Table1[[#This Row],[Fraction of Full Size Charpy]],"")</f>
        <v>34.152937158469939</v>
      </c>
    </row>
    <row r="49" spans="1:15" x14ac:dyDescent="0.55000000000000004">
      <c r="A49">
        <v>3</v>
      </c>
      <c r="B49" s="7" t="s">
        <v>11</v>
      </c>
      <c r="C49" s="1" t="s">
        <v>26</v>
      </c>
      <c r="D49" s="1" t="s">
        <v>27</v>
      </c>
      <c r="E49">
        <v>0.23622047244094491</v>
      </c>
      <c r="F49" s="8">
        <f t="shared" si="2"/>
        <v>0.60000120000240009</v>
      </c>
      <c r="G49">
        <f t="shared" si="3"/>
        <v>41.550030525589641</v>
      </c>
      <c r="H49">
        <f t="shared" si="4"/>
        <v>24.095169641000943</v>
      </c>
      <c r="I49" s="1">
        <v>32</v>
      </c>
      <c r="J49" s="4">
        <v>11</v>
      </c>
      <c r="K49" s="9">
        <f t="shared" si="5"/>
        <v>0.11</v>
      </c>
      <c r="L49">
        <f t="shared" si="0"/>
        <v>123.92679193162121</v>
      </c>
      <c r="M49" s="4">
        <v>4</v>
      </c>
      <c r="N49">
        <f t="shared" si="1"/>
        <v>20.100502512562812</v>
      </c>
      <c r="O49">
        <f>IFERROR(Table1[[#This Row],[CVN_Upper Shelf Estimate For Sample Size]]/Table1[[#This Row],[Fraction of Full Size Charpy]],"")</f>
        <v>33.500770519262971</v>
      </c>
    </row>
    <row r="50" spans="1:15" x14ac:dyDescent="0.55000000000000004">
      <c r="A50">
        <v>4</v>
      </c>
      <c r="B50" s="7" t="s">
        <v>12</v>
      </c>
      <c r="C50" s="1" t="s">
        <v>26</v>
      </c>
      <c r="D50" s="1" t="s">
        <v>29</v>
      </c>
      <c r="E50">
        <v>0.15748031496062992</v>
      </c>
      <c r="F50" s="8">
        <f t="shared" si="2"/>
        <v>0.40000080000159999</v>
      </c>
      <c r="G50">
        <f t="shared" si="3"/>
        <v>32.25662066358737</v>
      </c>
      <c r="H50">
        <f t="shared" si="4"/>
        <v>18.645563836199521</v>
      </c>
      <c r="I50" s="1">
        <v>32</v>
      </c>
      <c r="J50" s="4">
        <v>96</v>
      </c>
      <c r="K50" s="9">
        <f t="shared" si="5"/>
        <v>0.96</v>
      </c>
      <c r="L50">
        <f t="shared" si="0"/>
        <v>5.0000150949563604</v>
      </c>
      <c r="M50" s="4">
        <v>31</v>
      </c>
      <c r="N50">
        <f t="shared" si="1"/>
        <v>32.157676348547717</v>
      </c>
      <c r="O50">
        <f>IFERROR(Table1[[#This Row],[CVN_Upper Shelf Estimate For Sample Size]]/Table1[[#This Row],[Fraction of Full Size Charpy]],"")</f>
        <v>80.394030082987555</v>
      </c>
    </row>
    <row r="51" spans="1:15" x14ac:dyDescent="0.55000000000000004">
      <c r="A51">
        <v>4</v>
      </c>
      <c r="B51" s="7" t="s">
        <v>12</v>
      </c>
      <c r="C51" s="1" t="s">
        <v>26</v>
      </c>
      <c r="D51" s="1" t="s">
        <v>29</v>
      </c>
      <c r="E51">
        <v>0.15748031496062992</v>
      </c>
      <c r="F51" s="8">
        <f t="shared" si="2"/>
        <v>0.40000080000159999</v>
      </c>
      <c r="G51">
        <f t="shared" si="3"/>
        <v>32.25662066358737</v>
      </c>
      <c r="H51">
        <f t="shared" si="4"/>
        <v>18.645563836199521</v>
      </c>
      <c r="I51" s="1">
        <v>32</v>
      </c>
      <c r="J51" s="4" t="s">
        <v>19</v>
      </c>
      <c r="K51" s="9">
        <v>0.99</v>
      </c>
      <c r="L51">
        <f t="shared" si="0"/>
        <v>-21.421979837084692</v>
      </c>
      <c r="M51" s="4">
        <v>33</v>
      </c>
      <c r="N51">
        <f t="shared" si="1"/>
        <v>33.299697275479311</v>
      </c>
      <c r="O51">
        <f>IFERROR(Table1[[#This Row],[CVN_Upper Shelf Estimate For Sample Size]]/Table1[[#This Row],[Fraction of Full Size Charpy]],"")</f>
        <v>83.249076690211908</v>
      </c>
    </row>
    <row r="52" spans="1:15" x14ac:dyDescent="0.55000000000000004">
      <c r="A52">
        <v>4</v>
      </c>
      <c r="B52" s="7" t="s">
        <v>12</v>
      </c>
      <c r="C52" s="1" t="s">
        <v>26</v>
      </c>
      <c r="D52" s="1" t="s">
        <v>29</v>
      </c>
      <c r="E52">
        <v>0.15748031496062992</v>
      </c>
      <c r="F52" s="8">
        <f t="shared" si="2"/>
        <v>0.40000080000159999</v>
      </c>
      <c r="G52">
        <f t="shared" si="3"/>
        <v>32.25662066358737</v>
      </c>
      <c r="H52">
        <f t="shared" si="4"/>
        <v>18.645563836199521</v>
      </c>
      <c r="I52" s="1">
        <v>32</v>
      </c>
      <c r="J52" s="4" t="s">
        <v>19</v>
      </c>
      <c r="K52" s="9">
        <v>0.99</v>
      </c>
      <c r="L52">
        <f t="shared" si="0"/>
        <v>-21.421979837084692</v>
      </c>
      <c r="M52" s="4">
        <v>32</v>
      </c>
      <c r="N52">
        <f t="shared" si="1"/>
        <v>32.290615539858727</v>
      </c>
      <c r="O52">
        <f>IFERROR(Table1[[#This Row],[CVN_Upper Shelf Estimate For Sample Size]]/Table1[[#This Row],[Fraction of Full Size Charpy]],"")</f>
        <v>80.72637739656912</v>
      </c>
    </row>
    <row r="53" spans="1:15" x14ac:dyDescent="0.55000000000000004">
      <c r="A53">
        <v>4</v>
      </c>
      <c r="B53" s="7" t="s">
        <v>12</v>
      </c>
      <c r="C53" s="1" t="s">
        <v>26</v>
      </c>
      <c r="D53" s="1" t="s">
        <v>29</v>
      </c>
      <c r="E53">
        <v>0.15748031496062992</v>
      </c>
      <c r="F53" s="8">
        <f t="shared" si="2"/>
        <v>0.40000080000159999</v>
      </c>
      <c r="G53">
        <f t="shared" si="3"/>
        <v>32.25662066358737</v>
      </c>
      <c r="H53">
        <f t="shared" si="4"/>
        <v>18.645563836199521</v>
      </c>
      <c r="I53" s="1">
        <v>50</v>
      </c>
      <c r="J53" s="4" t="s">
        <v>19</v>
      </c>
      <c r="K53" s="9">
        <v>0.99</v>
      </c>
      <c r="L53">
        <f t="shared" si="0"/>
        <v>-3.4219798370846917</v>
      </c>
      <c r="M53" s="4">
        <v>31</v>
      </c>
      <c r="N53">
        <f t="shared" si="1"/>
        <v>31.281533804238144</v>
      </c>
      <c r="O53">
        <f>IFERROR(Table1[[#This Row],[CVN_Upper Shelf Estimate For Sample Size]]/Table1[[#This Row],[Fraction of Full Size Charpy]],"")</f>
        <v>78.203678102926347</v>
      </c>
    </row>
    <row r="54" spans="1:15" x14ac:dyDescent="0.55000000000000004">
      <c r="A54">
        <v>4</v>
      </c>
      <c r="B54" s="7" t="s">
        <v>12</v>
      </c>
      <c r="C54" s="1" t="s">
        <v>26</v>
      </c>
      <c r="D54" s="1" t="s">
        <v>29</v>
      </c>
      <c r="E54">
        <v>0.15748031496062992</v>
      </c>
      <c r="F54" s="8">
        <f t="shared" si="2"/>
        <v>0.40000080000159999</v>
      </c>
      <c r="G54">
        <f t="shared" si="3"/>
        <v>32.25662066358737</v>
      </c>
      <c r="H54">
        <f t="shared" si="4"/>
        <v>18.645563836199521</v>
      </c>
      <c r="I54" s="1">
        <v>50</v>
      </c>
      <c r="J54" s="4" t="s">
        <v>19</v>
      </c>
      <c r="K54" s="9">
        <v>0.99</v>
      </c>
      <c r="L54">
        <f t="shared" si="0"/>
        <v>-3.4219798370846917</v>
      </c>
      <c r="M54" s="4">
        <v>32</v>
      </c>
      <c r="N54">
        <f t="shared" si="1"/>
        <v>32.290615539858727</v>
      </c>
      <c r="O54">
        <f>IFERROR(Table1[[#This Row],[CVN_Upper Shelf Estimate For Sample Size]]/Table1[[#This Row],[Fraction of Full Size Charpy]],"")</f>
        <v>80.72637739656912</v>
      </c>
    </row>
    <row r="55" spans="1:15" x14ac:dyDescent="0.55000000000000004">
      <c r="A55">
        <v>4</v>
      </c>
      <c r="B55" s="7" t="s">
        <v>12</v>
      </c>
      <c r="C55" s="1" t="s">
        <v>26</v>
      </c>
      <c r="D55" s="1" t="s">
        <v>29</v>
      </c>
      <c r="E55">
        <v>0.15748031496062992</v>
      </c>
      <c r="F55" s="8">
        <f t="shared" si="2"/>
        <v>0.40000080000159999</v>
      </c>
      <c r="G55">
        <f t="shared" si="3"/>
        <v>32.25662066358737</v>
      </c>
      <c r="H55">
        <f t="shared" si="4"/>
        <v>18.645563836199521</v>
      </c>
      <c r="I55" s="1">
        <v>50</v>
      </c>
      <c r="J55" s="4" t="s">
        <v>19</v>
      </c>
      <c r="K55" s="9">
        <v>0.99</v>
      </c>
      <c r="L55">
        <f t="shared" si="0"/>
        <v>-3.4219798370846917</v>
      </c>
      <c r="M55" s="4">
        <v>35</v>
      </c>
      <c r="N55">
        <f t="shared" si="1"/>
        <v>35.317860746720484</v>
      </c>
      <c r="O55">
        <f>IFERROR(Table1[[#This Row],[CVN_Upper Shelf Estimate For Sample Size]]/Table1[[#This Row],[Fraction of Full Size Charpy]],"")</f>
        <v>88.294475277497483</v>
      </c>
    </row>
    <row r="56" spans="1:15" hidden="1" x14ac:dyDescent="0.55000000000000004">
      <c r="A56">
        <v>4</v>
      </c>
      <c r="B56" t="s">
        <v>12</v>
      </c>
      <c r="C56" s="1" t="s">
        <v>28</v>
      </c>
      <c r="D56" s="1" t="s">
        <v>27</v>
      </c>
      <c r="E56">
        <v>0.15748031496062992</v>
      </c>
      <c r="F56" s="8">
        <f t="shared" si="2"/>
        <v>0.40000080000159999</v>
      </c>
      <c r="G56">
        <f t="shared" si="3"/>
        <v>32.25662066358737</v>
      </c>
      <c r="H56">
        <f t="shared" si="4"/>
        <v>18.645563836199521</v>
      </c>
      <c r="I56" s="1">
        <v>32</v>
      </c>
      <c r="J56" s="4">
        <v>96</v>
      </c>
      <c r="K56" s="9">
        <f t="shared" si="5"/>
        <v>0.96</v>
      </c>
      <c r="L56">
        <f t="shared" si="0"/>
        <v>5.0000150949563604</v>
      </c>
      <c r="M56" s="4">
        <v>31</v>
      </c>
      <c r="N56">
        <f t="shared" si="1"/>
        <v>32.157676348547717</v>
      </c>
      <c r="O56">
        <f>IFERROR(Table1[[#This Row],[CVN_Upper Shelf Estimate For Sample Size]]/Table1[[#This Row],[Fraction of Full Size Charpy]],"")</f>
        <v>80.394030082987555</v>
      </c>
    </row>
    <row r="57" spans="1:15" hidden="1" x14ac:dyDescent="0.55000000000000004">
      <c r="A57">
        <v>4</v>
      </c>
      <c r="B57" t="s">
        <v>12</v>
      </c>
      <c r="C57" s="1" t="s">
        <v>28</v>
      </c>
      <c r="D57" s="1" t="s">
        <v>27</v>
      </c>
      <c r="E57">
        <v>0.15748031496062992</v>
      </c>
      <c r="F57" s="8">
        <f t="shared" si="2"/>
        <v>0.40000080000159999</v>
      </c>
      <c r="G57">
        <f t="shared" si="3"/>
        <v>32.25662066358737</v>
      </c>
      <c r="H57">
        <f t="shared" si="4"/>
        <v>18.645563836199521</v>
      </c>
      <c r="I57" s="1">
        <v>32</v>
      </c>
      <c r="J57" s="4" t="s">
        <v>18</v>
      </c>
      <c r="K57" s="9" t="e">
        <f t="shared" si="5"/>
        <v>#VALUE!</v>
      </c>
      <c r="L57" t="str">
        <f t="shared" si="0"/>
        <v/>
      </c>
      <c r="M57" s="4">
        <v>33</v>
      </c>
      <c r="N57" t="str">
        <f t="shared" si="1"/>
        <v/>
      </c>
      <c r="O57" t="str">
        <f>IFERROR(Table1[[#This Row],[CVN_Upper Shelf Estimate For Sample Size]]/Table1[[#This Row],[Fraction of Full Size Charpy]],"")</f>
        <v/>
      </c>
    </row>
    <row r="58" spans="1:15" hidden="1" x14ac:dyDescent="0.55000000000000004">
      <c r="A58">
        <v>4</v>
      </c>
      <c r="B58" t="s">
        <v>12</v>
      </c>
      <c r="C58" s="1" t="s">
        <v>28</v>
      </c>
      <c r="D58" s="1" t="s">
        <v>27</v>
      </c>
      <c r="E58">
        <v>0.15748031496062992</v>
      </c>
      <c r="F58" s="8">
        <f t="shared" si="2"/>
        <v>0.40000080000159999</v>
      </c>
      <c r="G58">
        <f t="shared" si="3"/>
        <v>32.25662066358737</v>
      </c>
      <c r="H58">
        <f t="shared" si="4"/>
        <v>18.645563836199521</v>
      </c>
      <c r="I58" s="1">
        <v>32</v>
      </c>
      <c r="J58" s="4" t="s">
        <v>18</v>
      </c>
      <c r="K58" s="9" t="e">
        <f t="shared" si="5"/>
        <v>#VALUE!</v>
      </c>
      <c r="L58" t="str">
        <f t="shared" si="0"/>
        <v/>
      </c>
      <c r="M58" s="4">
        <v>32</v>
      </c>
      <c r="N58" t="str">
        <f t="shared" si="1"/>
        <v/>
      </c>
      <c r="O58" t="str">
        <f>IFERROR(Table1[[#This Row],[CVN_Upper Shelf Estimate For Sample Size]]/Table1[[#This Row],[Fraction of Full Size Charpy]],"")</f>
        <v/>
      </c>
    </row>
    <row r="59" spans="1:15" hidden="1" x14ac:dyDescent="0.55000000000000004">
      <c r="A59">
        <v>4</v>
      </c>
      <c r="B59" t="s">
        <v>12</v>
      </c>
      <c r="C59" s="1" t="s">
        <v>28</v>
      </c>
      <c r="D59" s="1" t="s">
        <v>27</v>
      </c>
      <c r="E59">
        <v>0.15748031496062992</v>
      </c>
      <c r="F59" s="8">
        <f t="shared" si="2"/>
        <v>0.40000080000159999</v>
      </c>
      <c r="G59">
        <f t="shared" si="3"/>
        <v>32.25662066358737</v>
      </c>
      <c r="H59">
        <f t="shared" si="4"/>
        <v>18.645563836199521</v>
      </c>
      <c r="I59" s="1">
        <v>50</v>
      </c>
      <c r="J59" s="4" t="s">
        <v>18</v>
      </c>
      <c r="K59" s="9" t="e">
        <f t="shared" si="5"/>
        <v>#VALUE!</v>
      </c>
      <c r="L59" t="str">
        <f t="shared" si="0"/>
        <v/>
      </c>
      <c r="M59" s="4">
        <v>31</v>
      </c>
      <c r="N59" t="str">
        <f t="shared" si="1"/>
        <v/>
      </c>
      <c r="O59" t="str">
        <f>IFERROR(Table1[[#This Row],[CVN_Upper Shelf Estimate For Sample Size]]/Table1[[#This Row],[Fraction of Full Size Charpy]],"")</f>
        <v/>
      </c>
    </row>
    <row r="60" spans="1:15" hidden="1" x14ac:dyDescent="0.55000000000000004">
      <c r="A60">
        <v>4</v>
      </c>
      <c r="B60" t="s">
        <v>12</v>
      </c>
      <c r="C60" s="1" t="s">
        <v>28</v>
      </c>
      <c r="D60" s="1" t="s">
        <v>27</v>
      </c>
      <c r="E60">
        <v>0.15748031496062992</v>
      </c>
      <c r="F60" s="8">
        <f t="shared" si="2"/>
        <v>0.40000080000159999</v>
      </c>
      <c r="G60">
        <f t="shared" si="3"/>
        <v>32.25662066358737</v>
      </c>
      <c r="H60">
        <f t="shared" si="4"/>
        <v>18.645563836199521</v>
      </c>
      <c r="I60" s="1">
        <v>50</v>
      </c>
      <c r="J60" s="4" t="s">
        <v>18</v>
      </c>
      <c r="K60" s="9" t="e">
        <f t="shared" si="5"/>
        <v>#VALUE!</v>
      </c>
      <c r="L60" t="str">
        <f t="shared" si="0"/>
        <v/>
      </c>
      <c r="M60" s="4">
        <v>32</v>
      </c>
      <c r="N60" t="str">
        <f t="shared" si="1"/>
        <v/>
      </c>
      <c r="O60" t="str">
        <f>IFERROR(Table1[[#This Row],[CVN_Upper Shelf Estimate For Sample Size]]/Table1[[#This Row],[Fraction of Full Size Charpy]],"")</f>
        <v/>
      </c>
    </row>
    <row r="61" spans="1:15" hidden="1" x14ac:dyDescent="0.55000000000000004">
      <c r="A61">
        <v>4</v>
      </c>
      <c r="B61" t="s">
        <v>12</v>
      </c>
      <c r="C61" s="1" t="s">
        <v>28</v>
      </c>
      <c r="D61" s="1" t="s">
        <v>27</v>
      </c>
      <c r="E61">
        <v>0.15748031496062992</v>
      </c>
      <c r="F61" s="8">
        <f t="shared" si="2"/>
        <v>0.40000080000159999</v>
      </c>
      <c r="G61">
        <f t="shared" si="3"/>
        <v>32.25662066358737</v>
      </c>
      <c r="H61">
        <f t="shared" si="4"/>
        <v>18.645563836199521</v>
      </c>
      <c r="I61" s="1">
        <v>50</v>
      </c>
      <c r="J61" s="4" t="s">
        <v>18</v>
      </c>
      <c r="K61" s="9" t="e">
        <f t="shared" si="5"/>
        <v>#VALUE!</v>
      </c>
      <c r="L61" t="str">
        <f t="shared" si="0"/>
        <v/>
      </c>
      <c r="M61" s="4">
        <v>35</v>
      </c>
      <c r="N61" t="str">
        <f t="shared" si="1"/>
        <v/>
      </c>
      <c r="O61" t="str">
        <f>IFERROR(Table1[[#This Row],[CVN_Upper Shelf Estimate For Sample Size]]/Table1[[#This Row],[Fraction of Full Size Charpy]],"")</f>
        <v/>
      </c>
    </row>
    <row r="62" spans="1:15" x14ac:dyDescent="0.55000000000000004">
      <c r="A62">
        <v>5</v>
      </c>
      <c r="B62" s="7" t="s">
        <v>13</v>
      </c>
      <c r="C62" s="1" t="s">
        <v>26</v>
      </c>
      <c r="D62" s="1" t="s">
        <v>27</v>
      </c>
      <c r="E62">
        <v>0.31496062992125984</v>
      </c>
      <c r="F62" s="8">
        <f t="shared" si="2"/>
        <v>0.80000160000319998</v>
      </c>
      <c r="G62">
        <f t="shared" si="3"/>
        <v>49.098473407730971</v>
      </c>
      <c r="H62">
        <f t="shared" si="4"/>
        <v>28.525891370270138</v>
      </c>
      <c r="I62" s="1">
        <v>32</v>
      </c>
      <c r="J62" s="4">
        <v>3</v>
      </c>
      <c r="K62" s="9">
        <f t="shared" si="5"/>
        <v>0.03</v>
      </c>
      <c r="L62">
        <f t="shared" si="0"/>
        <v>180.25728702631034</v>
      </c>
      <c r="M62" s="4">
        <v>5</v>
      </c>
      <c r="N62">
        <f t="shared" si="1"/>
        <v>39.370078740157481</v>
      </c>
      <c r="O62">
        <f>IFERROR(Table1[[#This Row],[CVN_Upper Shelf Estimate For Sample Size]]/Table1[[#This Row],[Fraction of Full Size Charpy]],"")</f>
        <v>49.212500000000006</v>
      </c>
    </row>
    <row r="63" spans="1:15" x14ac:dyDescent="0.55000000000000004">
      <c r="A63">
        <v>5</v>
      </c>
      <c r="B63" s="7" t="s">
        <v>13</v>
      </c>
      <c r="C63" s="1" t="s">
        <v>26</v>
      </c>
      <c r="D63" s="1" t="s">
        <v>27</v>
      </c>
      <c r="E63">
        <v>0.31496062992125984</v>
      </c>
      <c r="F63" s="8">
        <f t="shared" si="2"/>
        <v>0.80000160000319998</v>
      </c>
      <c r="G63">
        <f t="shared" si="3"/>
        <v>49.098473407730971</v>
      </c>
      <c r="H63">
        <f t="shared" si="4"/>
        <v>28.525891370270138</v>
      </c>
      <c r="I63" s="1">
        <v>32</v>
      </c>
      <c r="J63" s="4">
        <v>3</v>
      </c>
      <c r="K63" s="9">
        <f t="shared" si="5"/>
        <v>0.03</v>
      </c>
      <c r="L63">
        <f t="shared" si="0"/>
        <v>180.25728702631034</v>
      </c>
      <c r="M63" s="4">
        <v>4</v>
      </c>
      <c r="N63">
        <f t="shared" si="1"/>
        <v>31.496062992125985</v>
      </c>
      <c r="O63">
        <f>IFERROR(Table1[[#This Row],[CVN_Upper Shelf Estimate For Sample Size]]/Table1[[#This Row],[Fraction of Full Size Charpy]],"")</f>
        <v>39.370000000000005</v>
      </c>
    </row>
    <row r="64" spans="1:15" x14ac:dyDescent="0.55000000000000004">
      <c r="A64">
        <v>5</v>
      </c>
      <c r="B64" s="7" t="s">
        <v>13</v>
      </c>
      <c r="C64" s="1" t="s">
        <v>26</v>
      </c>
      <c r="D64" s="1" t="s">
        <v>27</v>
      </c>
      <c r="E64">
        <v>0.31496062992125984</v>
      </c>
      <c r="F64" s="8">
        <f t="shared" si="2"/>
        <v>0.80000160000319998</v>
      </c>
      <c r="G64">
        <f t="shared" si="3"/>
        <v>49.098473407730971</v>
      </c>
      <c r="H64">
        <f t="shared" si="4"/>
        <v>28.525891370270138</v>
      </c>
      <c r="I64" s="1">
        <v>32</v>
      </c>
      <c r="J64" s="4">
        <v>3</v>
      </c>
      <c r="K64" s="9">
        <f t="shared" si="5"/>
        <v>0.03</v>
      </c>
      <c r="L64">
        <f t="shared" si="0"/>
        <v>180.25728702631034</v>
      </c>
      <c r="M64" s="4">
        <v>4</v>
      </c>
      <c r="N64">
        <f t="shared" si="1"/>
        <v>31.496062992125985</v>
      </c>
      <c r="O64">
        <f>IFERROR(Table1[[#This Row],[CVN_Upper Shelf Estimate For Sample Size]]/Table1[[#This Row],[Fraction of Full Size Charpy]],"")</f>
        <v>39.370000000000005</v>
      </c>
    </row>
    <row r="65" spans="1:15" x14ac:dyDescent="0.55000000000000004">
      <c r="A65">
        <v>5</v>
      </c>
      <c r="B65" s="7" t="s">
        <v>13</v>
      </c>
      <c r="C65" s="1" t="s">
        <v>26</v>
      </c>
      <c r="D65" s="1" t="s">
        <v>27</v>
      </c>
      <c r="E65">
        <v>0.31496062992125984</v>
      </c>
      <c r="F65" s="8">
        <f t="shared" si="2"/>
        <v>0.80000160000319998</v>
      </c>
      <c r="G65">
        <f t="shared" si="3"/>
        <v>49.098473407730971</v>
      </c>
      <c r="H65">
        <f t="shared" si="4"/>
        <v>28.525891370270138</v>
      </c>
      <c r="I65" s="1">
        <v>50</v>
      </c>
      <c r="J65" s="4">
        <v>5</v>
      </c>
      <c r="K65" s="9">
        <f t="shared" si="5"/>
        <v>0.05</v>
      </c>
      <c r="L65">
        <f t="shared" si="0"/>
        <v>183.09121987382196</v>
      </c>
      <c r="M65" s="4">
        <v>6</v>
      </c>
      <c r="N65">
        <f t="shared" si="1"/>
        <v>41.37931034482758</v>
      </c>
      <c r="O65">
        <f>IFERROR(Table1[[#This Row],[CVN_Upper Shelf Estimate For Sample Size]]/Table1[[#This Row],[Fraction of Full Size Charpy]],"")</f>
        <v>51.724034482758618</v>
      </c>
    </row>
    <row r="66" spans="1:15" x14ac:dyDescent="0.55000000000000004">
      <c r="A66">
        <v>5</v>
      </c>
      <c r="B66" s="7" t="s">
        <v>13</v>
      </c>
      <c r="C66" s="1" t="s">
        <v>26</v>
      </c>
      <c r="D66" s="1" t="s">
        <v>27</v>
      </c>
      <c r="E66">
        <v>0.31496062992125984</v>
      </c>
      <c r="F66" s="8">
        <f t="shared" si="2"/>
        <v>0.80000160000319998</v>
      </c>
      <c r="G66">
        <f t="shared" si="3"/>
        <v>49.098473407730971</v>
      </c>
      <c r="H66">
        <f t="shared" si="4"/>
        <v>28.525891370270138</v>
      </c>
      <c r="I66" s="1">
        <v>50</v>
      </c>
      <c r="J66" s="4">
        <v>5</v>
      </c>
      <c r="K66" s="9">
        <f t="shared" si="5"/>
        <v>0.05</v>
      </c>
      <c r="L66">
        <f t="shared" si="0"/>
        <v>183.09121987382196</v>
      </c>
      <c r="M66" s="4">
        <v>6</v>
      </c>
      <c r="N66">
        <f t="shared" si="1"/>
        <v>41.37931034482758</v>
      </c>
      <c r="O66">
        <f>IFERROR(Table1[[#This Row],[CVN_Upper Shelf Estimate For Sample Size]]/Table1[[#This Row],[Fraction of Full Size Charpy]],"")</f>
        <v>51.724034482758618</v>
      </c>
    </row>
    <row r="67" spans="1:15" x14ac:dyDescent="0.55000000000000004">
      <c r="A67">
        <v>5</v>
      </c>
      <c r="B67" s="7" t="s">
        <v>13</v>
      </c>
      <c r="C67" s="1" t="s">
        <v>26</v>
      </c>
      <c r="D67" s="1" t="s">
        <v>27</v>
      </c>
      <c r="E67">
        <v>0.31496062992125984</v>
      </c>
      <c r="F67" s="8">
        <f t="shared" si="2"/>
        <v>0.80000160000319998</v>
      </c>
      <c r="G67">
        <f t="shared" si="3"/>
        <v>49.098473407730971</v>
      </c>
      <c r="H67">
        <f t="shared" si="4"/>
        <v>28.525891370270138</v>
      </c>
      <c r="I67" s="1">
        <v>50</v>
      </c>
      <c r="J67" s="4">
        <v>5</v>
      </c>
      <c r="K67" s="9">
        <f t="shared" si="5"/>
        <v>0.05</v>
      </c>
      <c r="L67">
        <f t="shared" si="0"/>
        <v>183.09121987382196</v>
      </c>
      <c r="M67" s="4">
        <v>4</v>
      </c>
      <c r="N67">
        <f t="shared" si="1"/>
        <v>27.586206896551722</v>
      </c>
      <c r="O67">
        <f>IFERROR(Table1[[#This Row],[CVN_Upper Shelf Estimate For Sample Size]]/Table1[[#This Row],[Fraction of Full Size Charpy]],"")</f>
        <v>34.482689655172415</v>
      </c>
    </row>
  </sheetData>
  <dataValidations disablePrompts="1" count="2">
    <dataValidation type="list" allowBlank="1" showInputMessage="1" showErrorMessage="1" sqref="C21:C67" xr:uid="{977418DD-D306-4438-8FA1-5F46EF1F47D1}">
      <formula1>"'-----, Base Metal, Seam Weld Metal, Seam Weld Bondline, Seam Weld HAZ, Girth Weld Bondline, Girth Weld HAZ"</formula1>
    </dataValidation>
    <dataValidation type="list" allowBlank="1" showInputMessage="1" showErrorMessage="1" sqref="D21:D67" xr:uid="{92C43F6A-84EA-4E96-9F42-C27C69CF94E0}">
      <formula1>"'-----, Transverse (T-L), Longitudinal (L-T)"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BC9B-B6DC-4EC2-A2C2-AE76D8B9053A}">
  <dimension ref="B2:F9"/>
  <sheetViews>
    <sheetView workbookViewId="0">
      <selection activeCell="I19" sqref="I19"/>
    </sheetView>
  </sheetViews>
  <sheetFormatPr defaultRowHeight="14.4" x14ac:dyDescent="0.55000000000000004"/>
  <sheetData>
    <row r="2" spans="2:6" x14ac:dyDescent="0.55000000000000004">
      <c r="B2" t="s">
        <v>34</v>
      </c>
    </row>
    <row r="3" spans="2:6" x14ac:dyDescent="0.55000000000000004">
      <c r="B3" s="5" t="s">
        <v>3</v>
      </c>
      <c r="C3" s="5" t="s">
        <v>1</v>
      </c>
      <c r="D3" s="5" t="s">
        <v>0</v>
      </c>
      <c r="E3" s="5" t="s">
        <v>2</v>
      </c>
      <c r="F3" s="5" t="s">
        <v>4</v>
      </c>
    </row>
    <row r="4" spans="2:6" x14ac:dyDescent="0.55000000000000004">
      <c r="B4" s="1">
        <v>0</v>
      </c>
      <c r="C4" s="2">
        <v>2</v>
      </c>
      <c r="D4" s="2">
        <v>2</v>
      </c>
      <c r="E4" s="6">
        <f t="shared" ref="E4:E9" si="0">D4/C4</f>
        <v>1</v>
      </c>
      <c r="F4" s="4">
        <f t="shared" ref="F4:F9" si="1">B4+66*(C4^0.55)/(D4^0.7)-100</f>
        <v>-40.517469467685196</v>
      </c>
    </row>
    <row r="5" spans="2:6" x14ac:dyDescent="0.55000000000000004">
      <c r="B5" s="1">
        <v>0</v>
      </c>
      <c r="C5" s="2">
        <v>6.0999999999999999E-2</v>
      </c>
      <c r="D5" s="2">
        <v>6.0999999999999999E-2</v>
      </c>
      <c r="E5" s="6">
        <f t="shared" si="0"/>
        <v>1</v>
      </c>
      <c r="F5" s="4">
        <f t="shared" si="1"/>
        <v>0.40248462855149114</v>
      </c>
    </row>
    <row r="6" spans="2:6" x14ac:dyDescent="0.55000000000000004">
      <c r="B6" s="1">
        <v>0</v>
      </c>
      <c r="C6" s="2">
        <v>2</v>
      </c>
      <c r="D6" s="2">
        <v>1</v>
      </c>
      <c r="E6" s="6">
        <f t="shared" si="0"/>
        <v>0.5</v>
      </c>
      <c r="F6" s="4">
        <f t="shared" si="1"/>
        <v>-3.370344067588718</v>
      </c>
    </row>
    <row r="7" spans="2:6" x14ac:dyDescent="0.55000000000000004">
      <c r="B7" s="1">
        <v>0</v>
      </c>
      <c r="C7" s="2">
        <v>6.0999999999999999E-2</v>
      </c>
      <c r="D7" s="2">
        <v>0.03</v>
      </c>
      <c r="E7" s="6">
        <f t="shared" si="0"/>
        <v>0.49180327868852458</v>
      </c>
      <c r="F7" s="4">
        <f t="shared" si="1"/>
        <v>65.002478005928793</v>
      </c>
    </row>
    <row r="8" spans="2:6" x14ac:dyDescent="0.55000000000000004">
      <c r="B8" s="1">
        <v>0</v>
      </c>
      <c r="C8" s="2">
        <v>0.375</v>
      </c>
      <c r="D8" s="2">
        <f>2*C8/3</f>
        <v>0.25</v>
      </c>
      <c r="E8" s="6">
        <f t="shared" si="0"/>
        <v>0.66666666666666663</v>
      </c>
      <c r="F8" s="4">
        <f t="shared" si="1"/>
        <v>1.5554247049593499</v>
      </c>
    </row>
    <row r="9" spans="2:6" x14ac:dyDescent="0.55000000000000004">
      <c r="B9" s="1">
        <v>130</v>
      </c>
      <c r="C9" s="2">
        <v>0.28100000000000003</v>
      </c>
      <c r="D9" s="2">
        <v>0.22</v>
      </c>
      <c r="E9" s="6">
        <f t="shared" si="0"/>
        <v>0.78291814946619209</v>
      </c>
      <c r="F9" s="4">
        <f t="shared" si="1"/>
        <v>124.76250551311477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533B-05D5-43F2-AF92-D215209C0C38}">
  <dimension ref="A1:G1"/>
  <sheetViews>
    <sheetView workbookViewId="0">
      <selection activeCell="B2" sqref="B2"/>
    </sheetView>
  </sheetViews>
  <sheetFormatPr defaultRowHeight="14.4" x14ac:dyDescent="0.55000000000000004"/>
  <cols>
    <col min="1" max="1" width="2.41796875" bestFit="1" customWidth="1"/>
    <col min="2" max="2" width="11" bestFit="1" customWidth="1"/>
    <col min="3" max="3" width="27.5234375" bestFit="1" customWidth="1"/>
    <col min="4" max="4" width="27.41796875" bestFit="1" customWidth="1"/>
    <col min="5" max="5" width="22.578125" bestFit="1" customWidth="1"/>
    <col min="6" max="6" width="24.3671875" bestFit="1" customWidth="1"/>
    <col min="7" max="7" width="23.734375" bestFit="1" customWidth="1"/>
  </cols>
  <sheetData>
    <row r="1" spans="1:7" s="11" customFormat="1" x14ac:dyDescent="0.55000000000000004">
      <c r="A1" s="11" t="s">
        <v>35</v>
      </c>
      <c r="B1" s="11" t="s">
        <v>36</v>
      </c>
      <c r="C1" s="12" t="s">
        <v>37</v>
      </c>
      <c r="D1" s="12" t="s">
        <v>38</v>
      </c>
      <c r="E1" s="13" t="s">
        <v>39</v>
      </c>
      <c r="F1" s="13" t="s">
        <v>40</v>
      </c>
      <c r="G1" s="1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878-BB10-4877-B4C9-5A8076142116}">
  <dimension ref="D5:F25"/>
  <sheetViews>
    <sheetView workbookViewId="0">
      <selection activeCell="Q13" sqref="Q13"/>
    </sheetView>
  </sheetViews>
  <sheetFormatPr defaultRowHeight="14.4" x14ac:dyDescent="0.55000000000000004"/>
  <cols>
    <col min="6" max="6" width="10.68359375" bestFit="1" customWidth="1"/>
  </cols>
  <sheetData>
    <row r="5" spans="4:6" x14ac:dyDescent="0.55000000000000004">
      <c r="D5" t="s">
        <v>43</v>
      </c>
      <c r="E5" t="s">
        <v>42</v>
      </c>
      <c r="F5" t="s">
        <v>44</v>
      </c>
    </row>
    <row r="6" spans="4:6" x14ac:dyDescent="0.55000000000000004">
      <c r="D6">
        <v>5</v>
      </c>
      <c r="E6">
        <f>6.248*D6^1.28</f>
        <v>49.025567142650253</v>
      </c>
      <c r="F6">
        <f>SQRT(E6*30*10^6/(1-0.3^2))</f>
        <v>40202.331875392985</v>
      </c>
    </row>
    <row r="7" spans="4:6" x14ac:dyDescent="0.55000000000000004">
      <c r="D7">
        <v>10</v>
      </c>
      <c r="E7">
        <f t="shared" ref="E7:E25" si="0">6.248*D7^1.28</f>
        <v>119.05318565834372</v>
      </c>
      <c r="F7">
        <f t="shared" ref="F7:F25" si="1">SQRT(E7*30*10^6/(1-0.3^2))</f>
        <v>62648.466034125006</v>
      </c>
    </row>
    <row r="8" spans="4:6" x14ac:dyDescent="0.55000000000000004">
      <c r="D8">
        <v>15</v>
      </c>
      <c r="E8">
        <f t="shared" si="0"/>
        <v>200.04966684600365</v>
      </c>
      <c r="F8">
        <f t="shared" si="1"/>
        <v>81209.87601244176</v>
      </c>
    </row>
    <row r="9" spans="4:6" x14ac:dyDescent="0.55000000000000004">
      <c r="D9">
        <v>20</v>
      </c>
      <c r="E9">
        <f t="shared" si="0"/>
        <v>289.10753799458928</v>
      </c>
      <c r="F9">
        <f t="shared" si="1"/>
        <v>97626.931407708194</v>
      </c>
    </row>
    <row r="10" spans="4:6" x14ac:dyDescent="0.55000000000000004">
      <c r="D10">
        <v>25</v>
      </c>
      <c r="E10">
        <f t="shared" si="0"/>
        <v>384.68409629617605</v>
      </c>
      <c r="F10">
        <f t="shared" si="1"/>
        <v>112613.9124819368</v>
      </c>
    </row>
    <row r="11" spans="4:6" x14ac:dyDescent="0.55000000000000004">
      <c r="D11">
        <v>30</v>
      </c>
      <c r="E11">
        <f t="shared" si="0"/>
        <v>485.79856421870215</v>
      </c>
      <c r="F11">
        <f t="shared" si="1"/>
        <v>126551.71781503099</v>
      </c>
    </row>
    <row r="12" spans="4:6" x14ac:dyDescent="0.55000000000000004">
      <c r="D12">
        <v>35</v>
      </c>
      <c r="E12">
        <f t="shared" si="0"/>
        <v>591.76342272856641</v>
      </c>
      <c r="F12">
        <f t="shared" si="1"/>
        <v>139673.49163594685</v>
      </c>
    </row>
    <row r="13" spans="4:6" x14ac:dyDescent="0.55000000000000004">
      <c r="D13">
        <v>40</v>
      </c>
      <c r="E13">
        <f t="shared" si="0"/>
        <v>702.06578734615414</v>
      </c>
      <c r="F13">
        <f t="shared" si="1"/>
        <v>152134.89394766284</v>
      </c>
    </row>
    <row r="14" spans="4:6" x14ac:dyDescent="0.55000000000000004">
      <c r="D14">
        <v>45</v>
      </c>
      <c r="E14">
        <f t="shared" si="0"/>
        <v>816.30609369088484</v>
      </c>
      <c r="F14">
        <f t="shared" si="1"/>
        <v>164046.30413970718</v>
      </c>
    </row>
    <row r="15" spans="4:6" x14ac:dyDescent="0.55000000000000004">
      <c r="D15">
        <v>50</v>
      </c>
      <c r="E15">
        <f t="shared" si="0"/>
        <v>934.16292366189737</v>
      </c>
      <c r="F15">
        <f t="shared" si="1"/>
        <v>175489.54356582524</v>
      </c>
    </row>
    <row r="16" spans="4:6" x14ac:dyDescent="0.55000000000000004">
      <c r="D16">
        <v>55</v>
      </c>
      <c r="E16">
        <f t="shared" si="0"/>
        <v>1055.3712604386421</v>
      </c>
      <c r="F16">
        <f t="shared" si="1"/>
        <v>186527.36832792085</v>
      </c>
    </row>
    <row r="17" spans="4:6" x14ac:dyDescent="0.55000000000000004">
      <c r="D17">
        <v>60</v>
      </c>
      <c r="E17">
        <f t="shared" si="0"/>
        <v>1179.708263041613</v>
      </c>
      <c r="F17">
        <f t="shared" si="1"/>
        <v>197209.23203332559</v>
      </c>
    </row>
    <row r="18" spans="4:6" x14ac:dyDescent="0.55000000000000004">
      <c r="D18">
        <v>65</v>
      </c>
      <c r="E18">
        <f t="shared" si="0"/>
        <v>1306.9835376277852</v>
      </c>
      <c r="F18">
        <f t="shared" si="1"/>
        <v>207574.97289496285</v>
      </c>
    </row>
    <row r="19" spans="4:6" x14ac:dyDescent="0.55000000000000004">
      <c r="D19">
        <v>70</v>
      </c>
      <c r="E19">
        <f t="shared" si="0"/>
        <v>1437.0322412982596</v>
      </c>
      <c r="F19">
        <f t="shared" si="1"/>
        <v>217657.27480047385</v>
      </c>
    </row>
    <row r="20" spans="4:6" x14ac:dyDescent="0.55000000000000004">
      <c r="D20">
        <v>75</v>
      </c>
      <c r="E20">
        <f t="shared" si="0"/>
        <v>1569.7100470268183</v>
      </c>
      <c r="F20">
        <f t="shared" si="1"/>
        <v>227483.36833495318</v>
      </c>
    </row>
    <row r="21" spans="4:6" x14ac:dyDescent="0.55000000000000004">
      <c r="D21">
        <v>80</v>
      </c>
      <c r="E21">
        <f t="shared" si="0"/>
        <v>1704.8893750089619</v>
      </c>
      <c r="F21">
        <f t="shared" si="1"/>
        <v>237076.24138885085</v>
      </c>
    </row>
    <row r="22" spans="4:6" x14ac:dyDescent="0.55000000000000004">
      <c r="D22">
        <v>85</v>
      </c>
      <c r="E22">
        <f t="shared" si="0"/>
        <v>1842.4565115831465</v>
      </c>
      <c r="F22">
        <f t="shared" si="1"/>
        <v>246455.52247350058</v>
      </c>
    </row>
    <row r="23" spans="4:6" x14ac:dyDescent="0.55000000000000004">
      <c r="D23">
        <v>90</v>
      </c>
      <c r="E23">
        <f t="shared" si="0"/>
        <v>1982.3093661199534</v>
      </c>
      <c r="F23">
        <f t="shared" si="1"/>
        <v>255638.13921974695</v>
      </c>
    </row>
    <row r="24" spans="4:6" x14ac:dyDescent="0.55000000000000004">
      <c r="D24">
        <v>95</v>
      </c>
      <c r="E24">
        <f t="shared" si="0"/>
        <v>2124.3556966052233</v>
      </c>
      <c r="F24">
        <f t="shared" si="1"/>
        <v>264638.81855028123</v>
      </c>
    </row>
    <row r="25" spans="4:6" x14ac:dyDescent="0.55000000000000004">
      <c r="D25">
        <v>100</v>
      </c>
      <c r="E25">
        <f t="shared" si="0"/>
        <v>2268.5116862035943</v>
      </c>
      <c r="F25">
        <f t="shared" si="1"/>
        <v>273470.47289455851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F946F1DBDFAA4881145DD351A573B7" ma:contentTypeVersion="13" ma:contentTypeDescription="Create a new document." ma:contentTypeScope="" ma:versionID="af4971de2ed7c407d181a1ec7bab2d7a">
  <xsd:schema xmlns:xsd="http://www.w3.org/2001/XMLSchema" xmlns:xs="http://www.w3.org/2001/XMLSchema" xmlns:p="http://schemas.microsoft.com/office/2006/metadata/properties" xmlns:ns3="3e519cd4-b6f5-455b-a7e1-1956c2c3d037" xmlns:ns4="c85115d3-a3fa-42ee-9079-69648bf8d81f" targetNamespace="http://schemas.microsoft.com/office/2006/metadata/properties" ma:root="true" ma:fieldsID="8a09c193f989ae0398b2dfa94e9cee20" ns3:_="" ns4:_="">
    <xsd:import namespace="3e519cd4-b6f5-455b-a7e1-1956c2c3d037"/>
    <xsd:import namespace="c85115d3-a3fa-42ee-9079-69648bf8d8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519cd4-b6f5-455b-a7e1-1956c2c3d0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115d3-a3fa-42ee-9079-69648bf8d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980984-C61D-484E-8AA6-84F68394B2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519cd4-b6f5-455b-a7e1-1956c2c3d037"/>
    <ds:schemaRef ds:uri="c85115d3-a3fa-42ee-9079-69648bf8d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9BB266-C966-4716-9D97-3CF56C89F0BB}">
  <ds:schemaRefs>
    <ds:schemaRef ds:uri="c85115d3-a3fa-42ee-9079-69648bf8d81f"/>
    <ds:schemaRef ds:uri="http://purl.org/dc/elements/1.1/"/>
    <ds:schemaRef ds:uri="http://schemas.microsoft.com/office/infopath/2007/PartnerControls"/>
    <ds:schemaRef ds:uri="3e519cd4-b6f5-455b-a7e1-1956c2c3d03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901A58-4525-47B2-BCDA-D1DE902BE4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Examples</vt:lpstr>
      <vt:lpstr>Calc T_D from T_C</vt:lpstr>
      <vt:lpstr>Approach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Switzner</dc:creator>
  <cp:lastModifiedBy>Nathan Switzner</cp:lastModifiedBy>
  <dcterms:created xsi:type="dcterms:W3CDTF">2020-08-06T14:11:35Z</dcterms:created>
  <dcterms:modified xsi:type="dcterms:W3CDTF">2021-08-03T22:09:44Z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0x010100C5F946F1DBDFAA4881145DD351A573B7</vt:lpwstr>
  </property>
</Properties>
</file>