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24226"/>
  <mc:AlternateContent xmlns:mc="http://schemas.openxmlformats.org/markup-compatibility/2006">
    <mc:Choice Requires="x15">
      <x15ac:absPath xmlns:x15ac="http://schemas.microsoft.com/office/spreadsheetml/2010/11/ac" url="C:\Users\pipe1\Documents\UdeA\Semestre 2020-2\Sistemas de información\"/>
    </mc:Choice>
  </mc:AlternateContent>
  <xr:revisionPtr revIDLastSave="0" documentId="13_ncr:1_{672928D5-2699-4555-A0AF-BA91A83FBC29}" xr6:coauthVersionLast="46" xr6:coauthVersionMax="46" xr10:uidLastSave="{00000000-0000-0000-0000-000000000000}"/>
  <bookViews>
    <workbookView minimized="1" xWindow="8445" yWindow="4740" windowWidth="12390" windowHeight="6675" tabRatio="744" activeTab="5" xr2:uid="{00000000-000D-0000-FFFF-FFFF00000000}"/>
  </bookViews>
  <sheets>
    <sheet name="Identificación" sheetId="4" r:id="rId1"/>
    <sheet name="Hoja1" sheetId="8" r:id="rId2"/>
    <sheet name="MorbilidadMaterna" sheetId="6" r:id="rId3"/>
    <sheet name="Datos_MME" sheetId="7" r:id="rId4"/>
    <sheet name="Funciones (50%)" sheetId="3" r:id="rId5"/>
    <sheet name="Tablas dinámicas (50%)" sheetId="5" r:id="rId6"/>
  </sheets>
  <definedNames>
    <definedName name="_xlnm._FilterDatabase" localSheetId="3" hidden="1">Datos_MME!$A$1:$C$55</definedName>
    <definedName name="_xlnm._FilterDatabase" localSheetId="2" hidden="1">MorbilidadMaterna!$A$1:$K$55</definedName>
    <definedName name="NativeTimeline_Fecha_de_egreso_hospitalario">#N/A</definedName>
    <definedName name="SegmentaciónDeDatos_Clasificación_de_complejidad__de_hospitalización">#N/A</definedName>
    <definedName name="SegmentaciónDeDatos_Clasificación_de_estancia">#N/A</definedName>
  </definedNames>
  <calcPr calcId="191029"/>
  <pivotCaches>
    <pivotCache cacheId="2" r:id="rId7"/>
    <pivotCache cacheId="3" r:id="rId8"/>
    <pivotCache cacheId="4"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K3" i="6" l="1"/>
  <c r="K2" i="6"/>
  <c r="I12" i="5"/>
  <c r="I13" i="5" s="1"/>
  <c r="M12" i="5"/>
  <c r="M11" i="5"/>
  <c r="M10" i="5"/>
  <c r="J12" i="5"/>
  <c r="D55" i="6" l="1"/>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2" i="6"/>
  <c r="M3" i="6"/>
  <c r="N3" i="6" s="1"/>
  <c r="M4" i="6"/>
  <c r="N4" i="6" s="1"/>
  <c r="M5" i="6"/>
  <c r="N5" i="6" s="1"/>
  <c r="M6" i="6"/>
  <c r="N6" i="6" s="1"/>
  <c r="M7" i="6"/>
  <c r="N7" i="6" s="1"/>
  <c r="M8" i="6"/>
  <c r="N8" i="6" s="1"/>
  <c r="M9" i="6"/>
  <c r="N9" i="6" s="1"/>
  <c r="M10" i="6"/>
  <c r="N10" i="6" s="1"/>
  <c r="M11" i="6"/>
  <c r="N11" i="6" s="1"/>
  <c r="M12" i="6"/>
  <c r="N12" i="6" s="1"/>
  <c r="M13" i="6"/>
  <c r="N13" i="6" s="1"/>
  <c r="M14" i="6"/>
  <c r="N14" i="6" s="1"/>
  <c r="M15" i="6"/>
  <c r="N15" i="6" s="1"/>
  <c r="M16" i="6"/>
  <c r="N16" i="6" s="1"/>
  <c r="M17" i="6"/>
  <c r="N17" i="6" s="1"/>
  <c r="M18" i="6"/>
  <c r="N18" i="6" s="1"/>
  <c r="M19" i="6"/>
  <c r="N19" i="6" s="1"/>
  <c r="M20" i="6"/>
  <c r="N20" i="6" s="1"/>
  <c r="M21" i="6"/>
  <c r="N21" i="6" s="1"/>
  <c r="M22" i="6"/>
  <c r="N22" i="6" s="1"/>
  <c r="M23" i="6"/>
  <c r="N23" i="6" s="1"/>
  <c r="M24" i="6"/>
  <c r="N24" i="6" s="1"/>
  <c r="M25" i="6"/>
  <c r="N25" i="6" s="1"/>
  <c r="M26" i="6"/>
  <c r="N26" i="6" s="1"/>
  <c r="M27" i="6"/>
  <c r="N27" i="6" s="1"/>
  <c r="M28" i="6"/>
  <c r="N28" i="6" s="1"/>
  <c r="M29" i="6"/>
  <c r="N29" i="6" s="1"/>
  <c r="M30" i="6"/>
  <c r="N30" i="6" s="1"/>
  <c r="M31" i="6"/>
  <c r="N31" i="6" s="1"/>
  <c r="M32" i="6"/>
  <c r="N32" i="6" s="1"/>
  <c r="M33" i="6"/>
  <c r="N33" i="6" s="1"/>
  <c r="M34" i="6"/>
  <c r="N34" i="6" s="1"/>
  <c r="M35" i="6"/>
  <c r="N35" i="6" s="1"/>
  <c r="M36" i="6"/>
  <c r="N36" i="6" s="1"/>
  <c r="M37" i="6"/>
  <c r="N37" i="6" s="1"/>
  <c r="M38" i="6"/>
  <c r="N38" i="6" s="1"/>
  <c r="M39" i="6"/>
  <c r="N39" i="6" s="1"/>
  <c r="M40" i="6"/>
  <c r="N40" i="6" s="1"/>
  <c r="M41" i="6"/>
  <c r="N41" i="6" s="1"/>
  <c r="M42" i="6"/>
  <c r="N42" i="6" s="1"/>
  <c r="M43" i="6"/>
  <c r="N43" i="6" s="1"/>
  <c r="M44" i="6"/>
  <c r="N44" i="6" s="1"/>
  <c r="M45" i="6"/>
  <c r="N45" i="6" s="1"/>
  <c r="M46" i="6"/>
  <c r="N46" i="6" s="1"/>
  <c r="M47" i="6"/>
  <c r="N47" i="6" s="1"/>
  <c r="M48" i="6"/>
  <c r="N48" i="6" s="1"/>
  <c r="M49" i="6"/>
  <c r="N49" i="6" s="1"/>
  <c r="M50" i="6"/>
  <c r="N50" i="6" s="1"/>
  <c r="M51" i="6"/>
  <c r="N51" i="6" s="1"/>
  <c r="M52" i="6"/>
  <c r="N52" i="6" s="1"/>
  <c r="M53" i="6"/>
  <c r="N53" i="6" s="1"/>
  <c r="M54" i="6"/>
  <c r="N54" i="6" s="1"/>
  <c r="M55" i="6"/>
  <c r="N55" i="6" s="1"/>
  <c r="M2" i="6"/>
  <c r="N2" i="6" s="1"/>
  <c r="J13" i="5"/>
  <c r="L2" i="6" l="1"/>
  <c r="I39" i="3" l="1"/>
  <c r="G39" i="3"/>
  <c r="E39" i="3"/>
  <c r="C39" i="3"/>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F58" i="3"/>
  <c r="G58" i="3" s="1"/>
  <c r="F50" i="3"/>
  <c r="G50" i="3" s="1"/>
  <c r="F51" i="3"/>
  <c r="G51" i="3" s="1"/>
  <c r="F52" i="3"/>
  <c r="G52" i="3" s="1"/>
  <c r="F53" i="3"/>
  <c r="G53" i="3" s="1"/>
  <c r="F54" i="3"/>
  <c r="G54" i="3" s="1"/>
  <c r="F55" i="3"/>
  <c r="G55" i="3" s="1"/>
  <c r="F56" i="3"/>
  <c r="G56" i="3" s="1"/>
  <c r="F57" i="3"/>
  <c r="G57" i="3" s="1"/>
  <c r="F49" i="3"/>
  <c r="G49" i="3" s="1"/>
  <c r="G59" i="3" l="1"/>
  <c r="AL2" i="6"/>
  <c r="AH2" i="6"/>
  <c r="AB2" i="6"/>
  <c r="AC2" i="6"/>
  <c r="AD2" i="6"/>
  <c r="X2" i="6"/>
  <c r="W2" i="6"/>
  <c r="V2" i="6"/>
  <c r="K4" i="6" l="1"/>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I41" i="3" l="1"/>
  <c r="I40" i="3"/>
  <c r="I38" i="3"/>
  <c r="G41" i="3"/>
  <c r="E41" i="3"/>
  <c r="C41" i="3"/>
  <c r="G40" i="3"/>
  <c r="E40" i="3"/>
  <c r="C40" i="3"/>
  <c r="C38" i="3"/>
  <c r="C42" i="3" s="1"/>
  <c r="D39" i="3" s="1"/>
  <c r="E38" i="3"/>
  <c r="G38" i="3"/>
  <c r="I32" i="3"/>
  <c r="G32" i="3"/>
  <c r="E32" i="3"/>
  <c r="C32" i="3"/>
  <c r="I31" i="3"/>
  <c r="G31" i="3"/>
  <c r="E31" i="3"/>
  <c r="C31" i="3"/>
  <c r="C29" i="3"/>
  <c r="I29" i="3"/>
  <c r="G29" i="3"/>
  <c r="E29" i="3"/>
  <c r="I30" i="3"/>
  <c r="G30" i="3"/>
  <c r="E30" i="3"/>
  <c r="C30" i="3"/>
  <c r="R5" i="6"/>
  <c r="R4" i="6"/>
  <c r="R3" i="6"/>
  <c r="R2" i="6"/>
  <c r="Q5" i="6"/>
  <c r="Q4" i="6"/>
  <c r="Q3" i="6"/>
  <c r="Q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2" i="6"/>
  <c r="AJ2" i="6" s="1"/>
  <c r="AI2" i="6" l="1"/>
  <c r="AK2" i="6"/>
  <c r="E42" i="3"/>
  <c r="F39" i="3" s="1"/>
  <c r="K38" i="3"/>
  <c r="I42" i="3"/>
  <c r="J39" i="3" s="1"/>
  <c r="D38" i="3"/>
  <c r="D41" i="3"/>
  <c r="G42" i="3"/>
  <c r="H39" i="3" s="1"/>
  <c r="K40" i="3"/>
  <c r="K29" i="3"/>
  <c r="D40" i="3"/>
  <c r="K41" i="3"/>
  <c r="K30" i="3"/>
  <c r="K31" i="3"/>
  <c r="K32" i="3"/>
  <c r="C33" i="3"/>
  <c r="D32" i="3" s="1"/>
  <c r="G33" i="3"/>
  <c r="H30" i="3" s="1"/>
  <c r="E33" i="3"/>
  <c r="F31" i="3" s="1"/>
  <c r="I33" i="3"/>
  <c r="J30" i="3" s="1"/>
  <c r="F41" i="3" l="1"/>
  <c r="F38" i="3"/>
  <c r="F29" i="3"/>
  <c r="J40" i="3"/>
  <c r="J41" i="3"/>
  <c r="K33" i="3"/>
  <c r="D31" i="3"/>
  <c r="F32" i="3"/>
  <c r="H29" i="3"/>
  <c r="J32" i="3"/>
  <c r="H40" i="3"/>
  <c r="F30" i="3"/>
  <c r="H32" i="3"/>
  <c r="J38" i="3"/>
  <c r="D30" i="3"/>
  <c r="H31" i="3"/>
  <c r="J31" i="3"/>
  <c r="J29" i="3"/>
  <c r="H41" i="3"/>
  <c r="D29" i="3"/>
  <c r="F40" i="3"/>
  <c r="K42" i="3"/>
  <c r="H38" i="3"/>
</calcChain>
</file>

<file path=xl/sharedStrings.xml><?xml version="1.0" encoding="utf-8"?>
<sst xmlns="http://schemas.openxmlformats.org/spreadsheetml/2006/main" count="508" uniqueCount="266">
  <si>
    <t>Taller de Funciones</t>
  </si>
  <si>
    <t>Por medio de funciones de solucion a los siguientes puntos</t>
  </si>
  <si>
    <t>Total</t>
  </si>
  <si>
    <t>%</t>
  </si>
  <si>
    <t>1.</t>
  </si>
  <si>
    <t>Tablas dinámicas</t>
  </si>
  <si>
    <r>
      <rPr>
        <b/>
        <sz val="11"/>
        <color theme="1"/>
        <rFont val="Calibri"/>
        <family val="2"/>
        <scheme val="minor"/>
      </rPr>
      <t>1.</t>
    </r>
    <r>
      <rPr>
        <sz val="11"/>
        <color theme="1"/>
        <rFont val="Calibri"/>
        <family val="2"/>
        <scheme val="minor"/>
      </rPr>
      <t xml:space="preserve"> Elaborar la tabla de la distribución de frecuencias para una de las variables que incluya las columnas (No. y %)</t>
    </r>
  </si>
  <si>
    <r>
      <rPr>
        <b/>
        <sz val="11"/>
        <color theme="1"/>
        <rFont val="Calibri"/>
        <family val="2"/>
        <scheme val="minor"/>
      </rPr>
      <t>2.</t>
    </r>
    <r>
      <rPr>
        <sz val="11"/>
        <color theme="1"/>
        <rFont val="Calibri"/>
        <family val="2"/>
        <scheme val="minor"/>
      </rPr>
      <t xml:space="preserve"> Elaborar la tabla de la distribución de frecuencias que incluya las columnas (No. o frecuencia absoluta, Frecuencia relativa o %, Frecuencia absoluta acumulada, Frecuencia relativa acumulada, valor mínimo,promedio y desviación estandar)</t>
    </r>
  </si>
  <si>
    <t>No</t>
  </si>
  <si>
    <r>
      <rPr>
        <b/>
        <sz val="11"/>
        <color theme="1"/>
        <rFont val="Calibri"/>
        <family val="2"/>
        <scheme val="minor"/>
      </rPr>
      <t>8. D</t>
    </r>
    <r>
      <rPr>
        <sz val="11"/>
        <color theme="1"/>
        <rFont val="Calibri"/>
        <family val="2"/>
        <scheme val="minor"/>
      </rPr>
      <t>ebe formular y responder una pregunta que se pueda resolver con una función si anidada de mínimo 3 anidamientos que incluya a su vez funciones Y y funciones O combinadas. La función debe aplicarse en una nueva columna</t>
    </r>
  </si>
  <si>
    <t>i</t>
  </si>
  <si>
    <t>n</t>
  </si>
  <si>
    <t>m</t>
  </si>
  <si>
    <t xml:space="preserve">Productoria </t>
  </si>
  <si>
    <r>
      <rPr>
        <b/>
        <sz val="10"/>
        <rFont val="Arial"/>
        <family val="2"/>
      </rPr>
      <t>10.</t>
    </r>
    <r>
      <rPr>
        <sz val="11"/>
        <color theme="1"/>
        <rFont val="Calibri"/>
        <family val="2"/>
        <scheme val="minor"/>
      </rPr>
      <t xml:space="preserve"> Debe elaborar un gráfico de dispersion con dos variables cuantitativas y un grafico de barras para una variable cualitativa.</t>
    </r>
  </si>
  <si>
    <t>Primer nombre</t>
  </si>
  <si>
    <t>Segundo nombre</t>
  </si>
  <si>
    <t>Primer apellido</t>
  </si>
  <si>
    <t>Segundo apellido</t>
  </si>
  <si>
    <t/>
  </si>
  <si>
    <t>id</t>
  </si>
  <si>
    <t>Causa agrupada</t>
  </si>
  <si>
    <t xml:space="preserve">Edad </t>
  </si>
  <si>
    <t>Tiempo de gestación</t>
  </si>
  <si>
    <t>Causa agrupada de muerte</t>
  </si>
  <si>
    <t>Trastornos hipertensivos</t>
  </si>
  <si>
    <t>Sepsis de origen no obstétrico</t>
  </si>
  <si>
    <t>Complicaciones hemorrágicas</t>
  </si>
  <si>
    <t>Sepsis de origen obstétrico</t>
  </si>
  <si>
    <t>Causa agrupada de muerte de la madre</t>
  </si>
  <si>
    <t>ANNY</t>
  </si>
  <si>
    <t>LORENA</t>
  </si>
  <si>
    <t>ALFARO</t>
  </si>
  <si>
    <t>ROBLES</t>
  </si>
  <si>
    <t>CRUZ</t>
  </si>
  <si>
    <t>ISLAYD</t>
  </si>
  <si>
    <t>ZULUAGA</t>
  </si>
  <si>
    <t>HENAO</t>
  </si>
  <si>
    <t>DANIELA</t>
  </si>
  <si>
    <t>RADA</t>
  </si>
  <si>
    <t>RODRIGUEZ</t>
  </si>
  <si>
    <t>LIZ</t>
  </si>
  <si>
    <t>NAYIBE</t>
  </si>
  <si>
    <t>MURILLO</t>
  </si>
  <si>
    <t>ARIAS</t>
  </si>
  <si>
    <t>JULIANA</t>
  </si>
  <si>
    <t>CHALARCA</t>
  </si>
  <si>
    <t>MONSALVE</t>
  </si>
  <si>
    <t>MARITZA</t>
  </si>
  <si>
    <t>ALEJANDRA</t>
  </si>
  <si>
    <t>IBARRA</t>
  </si>
  <si>
    <t>GIRALDO</t>
  </si>
  <si>
    <t>ISABEL</t>
  </si>
  <si>
    <t>CRISTINA</t>
  </si>
  <si>
    <t>NOREÑA</t>
  </si>
  <si>
    <t>CAROLINA</t>
  </si>
  <si>
    <t>MARIA</t>
  </si>
  <si>
    <t>TORRES</t>
  </si>
  <si>
    <t>GONZALEZ</t>
  </si>
  <si>
    <t>ELIANA</t>
  </si>
  <si>
    <t>PATRICIA</t>
  </si>
  <si>
    <t>DAVID</t>
  </si>
  <si>
    <t>ZAPATA</t>
  </si>
  <si>
    <t>LUISA</t>
  </si>
  <si>
    <t>FERNANDA</t>
  </si>
  <si>
    <t>ALVAREZ</t>
  </si>
  <si>
    <t>RUEDA</t>
  </si>
  <si>
    <t>DIANA</t>
  </si>
  <si>
    <t>RAGA</t>
  </si>
  <si>
    <t>MAHYVI</t>
  </si>
  <si>
    <t>JOHANNA</t>
  </si>
  <si>
    <t>ARANGO</t>
  </si>
  <si>
    <t>CATALINA</t>
  </si>
  <si>
    <t>DIEZ</t>
  </si>
  <si>
    <t>PIZARRO</t>
  </si>
  <si>
    <t>YENI</t>
  </si>
  <si>
    <t>BANESA</t>
  </si>
  <si>
    <t>PALACIOS</t>
  </si>
  <si>
    <t>RAMOS</t>
  </si>
  <si>
    <t>BEATRIZ</t>
  </si>
  <si>
    <t>EUGENIA</t>
  </si>
  <si>
    <t>VARGAS</t>
  </si>
  <si>
    <t>RAMIREZ</t>
  </si>
  <si>
    <t>YULIANA</t>
  </si>
  <si>
    <t>METAUTE</t>
  </si>
  <si>
    <t>LAURA</t>
  </si>
  <si>
    <t>MARCELA</t>
  </si>
  <si>
    <t>JIMENEZ</t>
  </si>
  <si>
    <t>VALENCIA</t>
  </si>
  <si>
    <t>NATALIA</t>
  </si>
  <si>
    <t>BOLIVAR</t>
  </si>
  <si>
    <t>LEDESMA</t>
  </si>
  <si>
    <t>LUCIDIA</t>
  </si>
  <si>
    <t>MARGARITA</t>
  </si>
  <si>
    <t>OSORIO</t>
  </si>
  <si>
    <t>SALINAS</t>
  </si>
  <si>
    <t>SORELY</t>
  </si>
  <si>
    <t>CARVAJAL</t>
  </si>
  <si>
    <t>HERRERA</t>
  </si>
  <si>
    <t>YEIMY</t>
  </si>
  <si>
    <t>SHIRLEY</t>
  </si>
  <si>
    <t>PAJON</t>
  </si>
  <si>
    <t>PEREZ</t>
  </si>
  <si>
    <t>ANDREA</t>
  </si>
  <si>
    <t>SANCHEZ</t>
  </si>
  <si>
    <t>ARGENIS</t>
  </si>
  <si>
    <t>NARANJO</t>
  </si>
  <si>
    <t>ANGELA</t>
  </si>
  <si>
    <t>ARISTIZABAL</t>
  </si>
  <si>
    <t>LINDA</t>
  </si>
  <si>
    <t>VANESSA</t>
  </si>
  <si>
    <t>OCAMPO</t>
  </si>
  <si>
    <t>AURY</t>
  </si>
  <si>
    <t>ESTELA</t>
  </si>
  <si>
    <t>CONEO</t>
  </si>
  <si>
    <t>PAREDES</t>
  </si>
  <si>
    <t>HURTADO</t>
  </si>
  <si>
    <t>ALZATE</t>
  </si>
  <si>
    <t>SILVIA</t>
  </si>
  <si>
    <t>JOHANA</t>
  </si>
  <si>
    <t>QUIÑONEZ</t>
  </si>
  <si>
    <t>ANGELICA</t>
  </si>
  <si>
    <t>YOANA</t>
  </si>
  <si>
    <t>YEPES</t>
  </si>
  <si>
    <t>CASTAÑEDA</t>
  </si>
  <si>
    <t>PAULA</t>
  </si>
  <si>
    <t>SALDARRIAGA</t>
  </si>
  <si>
    <t>VELEZ</t>
  </si>
  <si>
    <t>LILIANA</t>
  </si>
  <si>
    <t>YANETH</t>
  </si>
  <si>
    <t>PIEDRAHITA</t>
  </si>
  <si>
    <t>MARILYN</t>
  </si>
  <si>
    <t>BETANCUR</t>
  </si>
  <si>
    <t>SUANY</t>
  </si>
  <si>
    <t>JANNETH</t>
  </si>
  <si>
    <t>RENDON</t>
  </si>
  <si>
    <t>YESICA</t>
  </si>
  <si>
    <t>PAOLA</t>
  </si>
  <si>
    <t>COSSIO</t>
  </si>
  <si>
    <t>EBILIN</t>
  </si>
  <si>
    <t>TATIANA</t>
  </si>
  <si>
    <t>PASTRANA</t>
  </si>
  <si>
    <t>AGUEDELO</t>
  </si>
  <si>
    <t>KATHERINE</t>
  </si>
  <si>
    <t>AFANADOR</t>
  </si>
  <si>
    <t>GARCIA</t>
  </si>
  <si>
    <t>YURY</t>
  </si>
  <si>
    <t>ESTEFANIA</t>
  </si>
  <si>
    <t>ALDANA</t>
  </si>
  <si>
    <t>BEDOYA</t>
  </si>
  <si>
    <t>ZABALA</t>
  </si>
  <si>
    <t>KATERINE</t>
  </si>
  <si>
    <t>PARRA</t>
  </si>
  <si>
    <t>VERONICA</t>
  </si>
  <si>
    <t>LEANDRA</t>
  </si>
  <si>
    <t>SALAZAR</t>
  </si>
  <si>
    <t>SERNA</t>
  </si>
  <si>
    <t>OLGA</t>
  </si>
  <si>
    <t>LUCIA</t>
  </si>
  <si>
    <t>MUÑOZ</t>
  </si>
  <si>
    <t>FRANCIA</t>
  </si>
  <si>
    <t>ELENA</t>
  </si>
  <si>
    <t>MARQUEZ</t>
  </si>
  <si>
    <t>DIMAS</t>
  </si>
  <si>
    <t>ARAQUE</t>
  </si>
  <si>
    <t>LUZ</t>
  </si>
  <si>
    <t>ADRIANA</t>
  </si>
  <si>
    <t>MARTINEZ</t>
  </si>
  <si>
    <t>ANA</t>
  </si>
  <si>
    <t>LOPEZ</t>
  </si>
  <si>
    <t>LINEY</t>
  </si>
  <si>
    <t>ESTER</t>
  </si>
  <si>
    <t>GOMEZ</t>
  </si>
  <si>
    <t>BARRIOS</t>
  </si>
  <si>
    <t>YEYSY</t>
  </si>
  <si>
    <t>QUIRAMA</t>
  </si>
  <si>
    <t>CASTRILLON</t>
  </si>
  <si>
    <t>RESTREPO</t>
  </si>
  <si>
    <t>VILLEGAS</t>
  </si>
  <si>
    <t>GUTIERREZ</t>
  </si>
  <si>
    <t>VILLADA</t>
  </si>
  <si>
    <t>GLORIA</t>
  </si>
  <si>
    <t>VELASQUEZ</t>
  </si>
  <si>
    <t>MEJIA</t>
  </si>
  <si>
    <t>SANDRA</t>
  </si>
  <si>
    <t>MILENA</t>
  </si>
  <si>
    <t>MONTOYA</t>
  </si>
  <si>
    <t>ECHEVERRY</t>
  </si>
  <si>
    <t>MIRTA</t>
  </si>
  <si>
    <t>JANET</t>
  </si>
  <si>
    <t>VILLA</t>
  </si>
  <si>
    <t>GALVIS</t>
  </si>
  <si>
    <t>DORANY</t>
  </si>
  <si>
    <t>LEZCANO</t>
  </si>
  <si>
    <t>PUERTA</t>
  </si>
  <si>
    <t>YULEDIS</t>
  </si>
  <si>
    <t>CIRO</t>
  </si>
  <si>
    <t>MISAS</t>
  </si>
  <si>
    <t>Dìas de hospitalizaciòn</t>
  </si>
  <si>
    <t>Fecha de egreso hospitalario</t>
  </si>
  <si>
    <t>1. En la hoja de Morbilidad materna  deberán quedar los datos de la hoja de Datos_MME como el nombre completo de la mujer en una sola celta con mayúscula inicial, la causa agrupada de morbilidad de la mujer</t>
  </si>
  <si>
    <t>En la hoja de morbilidad materna se encuentran los datos de las complicaciones  maternas presentadas en una una institución en el servicio de ginecobstetricia y se necesita generar un resumen de los datos para contrubuir a analisis</t>
  </si>
  <si>
    <r>
      <rPr>
        <b/>
        <sz val="11"/>
        <color theme="1"/>
        <rFont val="Calibri"/>
        <family val="2"/>
        <scheme val="minor"/>
      </rPr>
      <t>2.</t>
    </r>
    <r>
      <rPr>
        <sz val="11"/>
        <color theme="1"/>
        <rFont val="Calibri"/>
        <family val="2"/>
        <scheme val="minor"/>
      </rPr>
      <t xml:space="preserve"> En la hoja de morbilidad materna se debe crear una variable denominada Clasificación de complejidad de hospitalizaciòn a partir de los días de hositalización y la causa agrupada de morbilidad de la siguiente manera:</t>
    </r>
  </si>
  <si>
    <t>-Si estuvo hospitalizada menos de 5 días y la causa agrupada de morbilidad fue Sepsis de origen obstétrico , será clasificado como  "Bajo riesgo"</t>
  </si>
  <si>
    <t>-Si estuvo hospitalizada  entre 5 y 20 días y la causa agrupada fue Trastornos hipertensivos, será clasificado como  "Riesgo Moderado"</t>
  </si>
  <si>
    <t>-Si estuvo hospitalizada  mas de 21  días y la causa agrupada fue Complicaciones hemorrágicas, será clasificado como  "Riesgo Elevado"</t>
  </si>
  <si>
    <t>-para el resto de mujeres, indiferente del número de d´çias de hosiptalización y de la causa agrupada, se clasificará como  "Riesgo muy Elevado"</t>
  </si>
  <si>
    <t>3. Realice un cuadro en donde se pueda visualizar el numero de morbilidades por causa agrupada y  el promedio de días de hospitalización en cada causa.</t>
  </si>
  <si>
    <t>4. Realice el cuadro donde se pueda seleccionar en una celda la clasificación del riesgo (Debe consultar como realizar una lista desplegable) y se pueda analizar el numero de casos de morbilidades reportadas, promedio de edad de las mujeres  y promedio de semanas de gestación</t>
  </si>
  <si>
    <t>5. En una tabla realice el mismo resumen anterior porcausa agrupada de morbilidad</t>
  </si>
  <si>
    <t xml:space="preserve">6. Realice una opcion de busqueda en donde se pueda ingresar en una celda el numero de dentificación,  me permita observar la fecha de egreso, el nombre completod e la mujer en una celda, la edad, el nùmero de semanas de gestación y causa agrupada de morbilidad </t>
  </si>
  <si>
    <t>7. Por medio de funciones complete los siguientes cuadros en primero identifique el numero de casos de morbilidades y en el segundo el promedio de semanas de gestación de la mujer al momento del egreso, es importante que la formula permita copiarse de una fila a otra.</t>
  </si>
  <si>
    <t>Clasificación del riesgo</t>
  </si>
  <si>
    <t>Bajo riesgo</t>
  </si>
  <si>
    <t>Riesgo moderado</t>
  </si>
  <si>
    <t>Riesgo muy elevado</t>
  </si>
  <si>
    <r>
      <rPr>
        <b/>
        <sz val="11"/>
        <color theme="1"/>
        <rFont val="Calibri"/>
        <family val="2"/>
        <scheme val="minor"/>
      </rPr>
      <t>4.</t>
    </r>
    <r>
      <rPr>
        <sz val="11"/>
        <color theme="1"/>
        <rFont val="Calibri"/>
        <family val="2"/>
        <scheme val="minor"/>
      </rPr>
      <t xml:space="preserve"> Obtener el total de egresos  por trimestre según Causa agrupada . Para responder esta pregunta debe tener presente que debe crear un elemento calculado.</t>
    </r>
  </si>
  <si>
    <r>
      <rPr>
        <b/>
        <sz val="11"/>
        <rFont val="Calibri"/>
        <family val="2"/>
        <scheme val="minor"/>
      </rPr>
      <t>5.</t>
    </r>
    <r>
      <rPr>
        <sz val="11"/>
        <rFont val="Calibri"/>
        <family val="2"/>
        <scheme val="minor"/>
      </rPr>
      <t xml:space="preserve"> Obtener según la causa agrupada de morbilidad el total de egresos y segmentar los datos de la tabla por dos variables y elaborar una escala de tiempo según la fecha. Para lo cual debe crear una nueva columna denomidada día con numeros aleatorios entre 0 y 30, además debe crear una nueva columna denominada fecha en la que debe concatenar los datos del día, mes y año en formato de fecha dd/mm/aa.  Para este ítem usted debe consultar el siguiente video (https://tinyurl.com/y28fr9os) y otro material que usted considere pertinente en Youtube, libros o Internet.</t>
    </r>
  </si>
  <si>
    <t>Realizar el siguiente taller individual</t>
  </si>
  <si>
    <r>
      <rPr>
        <b/>
        <sz val="11"/>
        <rFont val="Calibri"/>
        <family val="2"/>
        <scheme val="minor"/>
      </rPr>
      <t>3.</t>
    </r>
    <r>
      <rPr>
        <sz val="11"/>
        <rFont val="Calibri"/>
        <family val="2"/>
        <scheme val="minor"/>
      </rPr>
      <t xml:space="preserve"> Obtener el número de egresos según causa agrupada y de acuerdo con la clasificación del riesgo, calcular el costo de la atención, teniendo en cuenta que si los días de hospitalización mayores de 5,  el valor será de el numero de días de hospitalación por 100000  y para los demás el número de días de hospistalización x 80000 más un incremento del 10%.</t>
    </r>
  </si>
  <si>
    <r>
      <rPr>
        <b/>
        <sz val="10"/>
        <rFont val="Arial"/>
        <family val="2"/>
      </rPr>
      <t>9.</t>
    </r>
    <r>
      <rPr>
        <sz val="10"/>
        <rFont val="Arial"/>
        <family val="2"/>
      </rPr>
      <t xml:space="preserve"> Desarrolle la siguiente productoría, donde el valor de:  n es el último número de la cedula del estudiante y  m=9.  para este ejercicio debe consultar la función producto.</t>
    </r>
  </si>
  <si>
    <t>Nombre</t>
  </si>
  <si>
    <t>Juan Felipe Muñoz Toro</t>
  </si>
  <si>
    <t>Nombre completo</t>
  </si>
  <si>
    <t xml:space="preserve">Clasificación de complejidad  de hospitalización </t>
  </si>
  <si>
    <t>Promedio de días de hospitalización</t>
  </si>
  <si>
    <t>Clasificación de complejidad de hospitalización</t>
  </si>
  <si>
    <t>Riesgo bajo</t>
  </si>
  <si>
    <t>Riesgo alto</t>
  </si>
  <si>
    <t># de casos de morbilidades reportadas</t>
  </si>
  <si>
    <t>Promedio de edad de las mujeres</t>
  </si>
  <si>
    <t>Promedio de semanas de gestación</t>
  </si>
  <si>
    <t xml:space="preserve">Lista deplegable clasificación de complejidad de hospitalización </t>
  </si>
  <si>
    <t>Lista desplegable  causa agrupada de morbilidad</t>
  </si>
  <si>
    <t>Nombre Completo</t>
  </si>
  <si>
    <t>Edad</t>
  </si>
  <si>
    <t># Semanas de gestación</t>
  </si>
  <si>
    <t>Causa agrupada de morbilidad</t>
  </si>
  <si>
    <t>Id</t>
  </si>
  <si>
    <t>Clasificación de estancia</t>
  </si>
  <si>
    <t>8. Clasificación estancia: Si los días de hospitalización son menores que 10 y la causa agrupada pertenece a trastornos hipertensivos, se pone estancia baja. Si la causa agrupada es sepsis de origen obstétrico o no obstétrico y que los dias de hospitalización sean de 10 a 15, se pone estancia media sepsis. Si los dias de hospitalización son mayores de 15, y que la causa agrupada sea complicaciones hemorrágicas, se pone estancia alta</t>
  </si>
  <si>
    <t>Etiquetas de fila</t>
  </si>
  <si>
    <t>Total general</t>
  </si>
  <si>
    <t>Cuenta de Causa agrupada</t>
  </si>
  <si>
    <t>Cuenta de id</t>
  </si>
  <si>
    <t>Día</t>
  </si>
  <si>
    <t>Fecha</t>
  </si>
  <si>
    <t>Frecuencia abs</t>
  </si>
  <si>
    <t>Frecuencia relativa</t>
  </si>
  <si>
    <t>Promedio</t>
  </si>
  <si>
    <t>Desv estandar</t>
  </si>
  <si>
    <t>Mínimo</t>
  </si>
  <si>
    <t>Día egreso</t>
  </si>
  <si>
    <t>Mes egreso</t>
  </si>
  <si>
    <t>Año egreso</t>
  </si>
  <si>
    <t>1-3</t>
  </si>
  <si>
    <t>Tabla 1</t>
  </si>
  <si>
    <t>Tabla 2</t>
  </si>
  <si>
    <t>Tabla 3</t>
  </si>
  <si>
    <t>Porcentaje</t>
  </si>
  <si>
    <t>Total Costo de  atención</t>
  </si>
  <si>
    <t>Costo de  atención</t>
  </si>
  <si>
    <t>Tabla 4</t>
  </si>
  <si>
    <t>Tabla 5</t>
  </si>
  <si>
    <t>Total Cuenta Causa agrupada</t>
  </si>
  <si>
    <t>Cuenta Causa agrupada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</si>
</sst>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quot;$&quot;* #,##0_-;_-&quot;$&quot;* &quot;-&quot;_-;_-@_-"/>
    <numFmt numFmtId="164" formatCode="0.000"/>
  </numFmts>
  <fonts count="10" x14ac:knownFonts="1">
    <font>
      <sz val="11"/>
      <color theme="1"/>
      <name val="Calibri"/>
      <family val="2"/>
      <scheme val="minor"/>
    </font>
    <font>
      <b/>
      <sz val="11"/>
      <color theme="1"/>
      <name val="Calibri"/>
      <family val="2"/>
      <scheme val="minor"/>
    </font>
    <font>
      <b/>
      <sz val="20"/>
      <color theme="1"/>
      <name val="Calibri"/>
      <family val="2"/>
      <scheme val="minor"/>
    </font>
    <font>
      <sz val="10"/>
      <name val="Arial"/>
      <family val="2"/>
    </font>
    <font>
      <b/>
      <sz val="10"/>
      <name val="Arial"/>
      <family val="2"/>
    </font>
    <font>
      <sz val="10"/>
      <color theme="1"/>
      <name val="Arial"/>
      <family val="2"/>
    </font>
    <font>
      <b/>
      <sz val="11"/>
      <name val="Arial"/>
      <family val="2"/>
    </font>
    <font>
      <sz val="11"/>
      <name val="Calibri"/>
      <family val="2"/>
      <scheme val="minor"/>
    </font>
    <font>
      <b/>
      <sz val="11"/>
      <name val="Calibri"/>
      <family val="2"/>
      <scheme val="minor"/>
    </font>
    <font>
      <sz val="11"/>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tint="0.79998168889431442"/>
        <bgColor theme="4" tint="0.79998168889431442"/>
      </patternFill>
    </fill>
  </fills>
  <borders count="10">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5">
    <xf numFmtId="0" fontId="0" fillId="0" borderId="0"/>
    <xf numFmtId="0" fontId="3" fillId="0" borderId="0"/>
    <xf numFmtId="0" fontId="3" fillId="0" borderId="0"/>
    <xf numFmtId="0" fontId="3" fillId="0" borderId="0"/>
    <xf numFmtId="9" fontId="9" fillId="0" borderId="0" applyFont="0" applyFill="0" applyBorder="0" applyAlignment="0" applyProtection="0"/>
  </cellStyleXfs>
  <cellXfs count="69">
    <xf numFmtId="0" fontId="0" fillId="0" borderId="0" xfId="0"/>
    <xf numFmtId="0" fontId="0" fillId="0" borderId="3" xfId="0" applyBorder="1"/>
    <xf numFmtId="0" fontId="0" fillId="0" borderId="0" xfId="0" quotePrefix="1"/>
    <xf numFmtId="0" fontId="0" fillId="0" borderId="0" xfId="0" applyBorder="1"/>
    <xf numFmtId="0" fontId="0" fillId="0" borderId="0" xfId="0" applyAlignment="1">
      <alignment horizontal="left"/>
    </xf>
    <xf numFmtId="0" fontId="1" fillId="2" borderId="3" xfId="0" applyFont="1" applyFill="1" applyBorder="1" applyAlignment="1">
      <alignment horizontal="center" vertical="center" wrapText="1"/>
    </xf>
    <xf numFmtId="0" fontId="1" fillId="2" borderId="3" xfId="0" applyFont="1" applyFill="1" applyBorder="1"/>
    <xf numFmtId="0" fontId="1" fillId="0" borderId="3" xfId="0" applyFont="1" applyBorder="1" applyAlignment="1">
      <alignment horizontal="center"/>
    </xf>
    <xf numFmtId="0" fontId="0" fillId="0" borderId="0" xfId="0" applyAlignment="1">
      <alignment horizontal="right"/>
    </xf>
    <xf numFmtId="0" fontId="3" fillId="0" borderId="0" xfId="0" applyFont="1"/>
    <xf numFmtId="0" fontId="4" fillId="0" borderId="3" xfId="0" applyFont="1" applyBorder="1" applyAlignment="1">
      <alignment horizontal="center" vertical="center"/>
    </xf>
    <xf numFmtId="0" fontId="4" fillId="0" borderId="3" xfId="0" applyFont="1" applyBorder="1" applyAlignment="1">
      <alignment horizontal="center"/>
    </xf>
    <xf numFmtId="0" fontId="0" fillId="0" borderId="3" xfId="0" applyBorder="1" applyAlignment="1">
      <alignment horizontal="right"/>
    </xf>
    <xf numFmtId="0" fontId="4" fillId="0" borderId="3" xfId="0" applyFont="1" applyBorder="1"/>
    <xf numFmtId="0" fontId="5" fillId="0" borderId="3" xfId="0" applyFont="1" applyBorder="1" applyAlignment="1">
      <alignment horizontal="justify" vertical="distributed" wrapText="1"/>
    </xf>
    <xf numFmtId="0" fontId="5" fillId="0" borderId="3" xfId="0" applyFont="1" applyBorder="1" applyAlignment="1">
      <alignment horizontal="center" vertical="distributed" wrapText="1"/>
    </xf>
    <xf numFmtId="14" fontId="0" fillId="0" borderId="0" xfId="0" applyNumberFormat="1"/>
    <xf numFmtId="14" fontId="6" fillId="4" borderId="7" xfId="3" applyNumberFormat="1" applyFont="1" applyFill="1" applyBorder="1" applyAlignment="1">
      <alignment horizontal="center" vertical="center" wrapText="1"/>
    </xf>
    <xf numFmtId="0" fontId="6" fillId="4" borderId="7" xfId="3" applyFont="1" applyFill="1" applyBorder="1" applyAlignment="1">
      <alignment horizontal="center" vertical="center" wrapText="1"/>
    </xf>
    <xf numFmtId="0" fontId="3" fillId="0" borderId="3" xfId="3" applyFont="1" applyFill="1" applyBorder="1" applyAlignment="1">
      <alignment horizontal="center" vertical="center"/>
    </xf>
    <xf numFmtId="14" fontId="4" fillId="3" borderId="3" xfId="1" applyNumberFormat="1" applyFont="1" applyFill="1" applyBorder="1" applyAlignment="1">
      <alignment horizontal="center" vertical="center" wrapText="1"/>
    </xf>
    <xf numFmtId="0" fontId="4" fillId="3" borderId="3" xfId="1" applyFont="1" applyFill="1" applyBorder="1" applyAlignment="1">
      <alignment horizontal="center" vertical="center" wrapText="1"/>
    </xf>
    <xf numFmtId="0" fontId="3" fillId="0" borderId="3" xfId="0" applyFont="1" applyFill="1" applyBorder="1" applyAlignment="1">
      <alignment horizontal="center" vertical="center" wrapText="1"/>
    </xf>
    <xf numFmtId="0" fontId="1" fillId="0" borderId="3" xfId="0" applyFont="1" applyBorder="1" applyAlignment="1">
      <alignment horizontal="left" vertical="center" wrapText="1"/>
    </xf>
    <xf numFmtId="0" fontId="0" fillId="0" borderId="3" xfId="0" applyBorder="1" applyAlignment="1">
      <alignment horizontal="center" vertical="center"/>
    </xf>
    <xf numFmtId="0" fontId="0" fillId="0" borderId="0" xfId="0" applyAlignment="1">
      <alignment horizontal="center" vertical="center"/>
    </xf>
    <xf numFmtId="0" fontId="3" fillId="0" borderId="2" xfId="3" applyFont="1" applyFill="1" applyBorder="1" applyAlignment="1">
      <alignment horizontal="center" vertical="center"/>
    </xf>
    <xf numFmtId="14" fontId="3" fillId="0" borderId="3" xfId="3" applyNumberFormat="1" applyFont="1" applyFill="1" applyBorder="1" applyAlignment="1">
      <alignment horizontal="center" vertical="center"/>
    </xf>
    <xf numFmtId="14" fontId="3" fillId="0" borderId="2" xfId="3" applyNumberFormat="1" applyFont="1" applyFill="1" applyBorder="1" applyAlignment="1">
      <alignment horizontal="center" vertical="center"/>
    </xf>
    <xf numFmtId="0" fontId="4" fillId="3" borderId="4" xfId="1" applyFont="1" applyFill="1" applyBorder="1" applyAlignment="1">
      <alignment horizontal="center" vertical="center" wrapText="1"/>
    </xf>
    <xf numFmtId="0" fontId="3" fillId="0" borderId="4" xfId="0" applyFont="1" applyFill="1" applyBorder="1" applyAlignment="1">
      <alignment horizontal="center" vertical="center" wrapText="1"/>
    </xf>
    <xf numFmtId="1" fontId="0" fillId="0" borderId="3" xfId="0" applyNumberFormat="1" applyBorder="1"/>
    <xf numFmtId="2" fontId="0" fillId="0" borderId="3" xfId="0" applyNumberFormat="1" applyBorder="1"/>
    <xf numFmtId="0" fontId="4" fillId="3" borderId="1" xfId="1" applyFont="1" applyFill="1" applyBorder="1" applyAlignment="1">
      <alignment horizontal="center" vertical="center" wrapText="1"/>
    </xf>
    <xf numFmtId="0" fontId="3" fillId="0" borderId="3" xfId="3" applyNumberFormat="1" applyFont="1" applyFill="1" applyBorder="1" applyAlignment="1">
      <alignment horizontal="center" vertical="center"/>
    </xf>
    <xf numFmtId="1" fontId="0" fillId="0" borderId="3" xfId="0" applyNumberFormat="1" applyBorder="1" applyAlignment="1">
      <alignment horizontal="center"/>
    </xf>
    <xf numFmtId="14" fontId="0" fillId="0" borderId="3" xfId="0" applyNumberFormat="1" applyBorder="1" applyAlignment="1">
      <alignment horizontal="center"/>
    </xf>
    <xf numFmtId="0" fontId="0" fillId="0" borderId="3" xfId="0" applyBorder="1" applyAlignment="1">
      <alignment horizontal="center"/>
    </xf>
    <xf numFmtId="1" fontId="1" fillId="2" borderId="3" xfId="0" applyNumberFormat="1" applyFont="1" applyFill="1" applyBorder="1"/>
    <xf numFmtId="164" fontId="0" fillId="0" borderId="3" xfId="0" applyNumberFormat="1" applyBorder="1"/>
    <xf numFmtId="0" fontId="4" fillId="3" borderId="2" xfId="1" applyFont="1" applyFill="1" applyBorder="1" applyAlignment="1">
      <alignment horizontal="center" vertical="center" wrapText="1"/>
    </xf>
    <xf numFmtId="0" fontId="0" fillId="0" borderId="0" xfId="0" pivotButton="1"/>
    <xf numFmtId="0" fontId="0" fillId="0" borderId="0" xfId="0" applyNumberFormat="1"/>
    <xf numFmtId="9" fontId="0" fillId="0" borderId="3" xfId="4" applyFont="1" applyBorder="1"/>
    <xf numFmtId="10" fontId="0" fillId="0" borderId="0" xfId="0" applyNumberFormat="1"/>
    <xf numFmtId="2" fontId="0" fillId="0" borderId="0" xfId="0" applyNumberFormat="1"/>
    <xf numFmtId="0" fontId="0" fillId="0" borderId="0" xfId="0" applyAlignment="1">
      <alignment wrapText="1"/>
    </xf>
    <xf numFmtId="0" fontId="0" fillId="0" borderId="0" xfId="0" applyBorder="1" applyAlignment="1">
      <alignment vertical="center" wrapText="1"/>
    </xf>
    <xf numFmtId="0" fontId="1" fillId="5" borderId="8" xfId="0" applyFont="1" applyFill="1" applyBorder="1" applyAlignment="1">
      <alignment wrapText="1"/>
    </xf>
    <xf numFmtId="0" fontId="1" fillId="5" borderId="9" xfId="0" applyFont="1" applyFill="1" applyBorder="1" applyAlignment="1">
      <alignment horizontal="left"/>
    </xf>
    <xf numFmtId="1" fontId="0" fillId="0" borderId="0" xfId="0" applyNumberFormat="1" applyAlignment="1">
      <alignment horizontal="left" indent="1"/>
    </xf>
    <xf numFmtId="9" fontId="0" fillId="0" borderId="0" xfId="0" applyNumberFormat="1"/>
    <xf numFmtId="42" fontId="0" fillId="0" borderId="0" xfId="0" applyNumberFormat="1"/>
    <xf numFmtId="0" fontId="0" fillId="0" borderId="0" xfId="0" applyAlignment="1">
      <alignment vertical="center" wrapText="1"/>
    </xf>
    <xf numFmtId="0" fontId="0" fillId="0" borderId="0" xfId="0" applyAlignment="1">
      <alignment horizontal="center" vertical="top" wrapText="1"/>
    </xf>
    <xf numFmtId="0" fontId="0" fillId="0" borderId="3" xfId="0" applyBorder="1" applyAlignment="1">
      <alignment horizontal="left"/>
    </xf>
    <xf numFmtId="0" fontId="0" fillId="0" borderId="0"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2" fillId="0" borderId="0" xfId="0" applyFont="1" applyAlignment="1">
      <alignment horizontal="center"/>
    </xf>
    <xf numFmtId="0" fontId="0" fillId="0" borderId="0" xfId="0" applyAlignment="1">
      <alignment horizontal="left" wrapText="1"/>
    </xf>
    <xf numFmtId="0" fontId="0" fillId="0" borderId="0" xfId="0" applyAlignment="1">
      <alignment horizontal="left" vertical="center" wrapText="1"/>
    </xf>
    <xf numFmtId="0" fontId="7" fillId="0" borderId="0" xfId="0" applyFont="1" applyAlignment="1">
      <alignment horizontal="left" wrapText="1"/>
    </xf>
    <xf numFmtId="0" fontId="1" fillId="0" borderId="0" xfId="0" applyFont="1" applyAlignment="1">
      <alignment horizontal="center"/>
    </xf>
    <xf numFmtId="0" fontId="1" fillId="0" borderId="0" xfId="0" applyFont="1" applyAlignment="1">
      <alignment horizontal="center" wrapText="1"/>
    </xf>
  </cellXfs>
  <cellStyles count="5">
    <cellStyle name="Normal" xfId="0" builtinId="0"/>
    <cellStyle name="Normal 2" xfId="1" xr:uid="{00000000-0005-0000-0000-000001000000}"/>
    <cellStyle name="Normal 66" xfId="3" xr:uid="{00000000-0005-0000-0000-000002000000}"/>
    <cellStyle name="Normal 68" xfId="2" xr:uid="{00000000-0005-0000-0000-000003000000}"/>
    <cellStyle name="Porcentaje" xfId="4" builtinId="5"/>
  </cellStyles>
  <dxfs count="22">
    <dxf>
      <alignment wrapText="1"/>
    </dxf>
    <dxf>
      <alignment wrapText="1"/>
    </dxf>
    <dxf>
      <numFmt numFmtId="32" formatCode="_-&quot;$&quot;* #,##0_-;\-&quot;$&quot;* #,##0_-;_-&quot;$&quot;* &quot;-&quot;_-;_-@_-"/>
    </dxf>
    <dxf>
      <numFmt numFmtId="32" formatCode="_-&quot;$&quot;* #,##0_-;\-&quot;$&quot;* #,##0_-;_-&quot;$&quot;* &quot;-&quot;_-;_-@_-"/>
    </dxf>
    <dxf>
      <numFmt numFmtId="32" formatCode="_-&quot;$&quot;* #,##0_-;\-&quot;$&quot;* #,##0_-;_-&quot;$&quot;* &quot;-&quot;_-;_-@_-"/>
    </dxf>
    <dxf>
      <numFmt numFmtId="32" formatCode="_-&quot;$&quot;* #,##0_-;\-&quot;$&quot;* #,##0_-;_-&quot;$&quot;* &quot;-&quot;_-;_-@_-"/>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4" formatCode="0.00%"/>
    </dxf>
    <dxf>
      <alignment wrapText="1"/>
    </dxf>
    <dxf>
      <numFmt numFmtId="13" formatCode="0%"/>
    </dxf>
    <dxf>
      <numFmt numFmtId="13" formatCode="0%"/>
    </dxf>
    <dxf>
      <numFmt numFmtId="13" formatCode="0%"/>
    </dxf>
    <dxf>
      <numFmt numFmtId="13"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Edad y tiempo de</a:t>
            </a:r>
            <a:r>
              <a:rPr lang="en-US" baseline="0"/>
              <a:t> gestación</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0.22279786455264519"/>
          <c:y val="0.17171296296296298"/>
          <c:w val="0.73096148695698748"/>
          <c:h val="0.61590086330611726"/>
        </c:manualLayout>
      </c:layout>
      <c:scatterChart>
        <c:scatterStyle val="lineMarker"/>
        <c:varyColors val="0"/>
        <c:ser>
          <c:idx val="0"/>
          <c:order val="0"/>
          <c:tx>
            <c:strRef>
              <c:f>MorbilidadMaterna!$I$1</c:f>
              <c:strCache>
                <c:ptCount val="1"/>
                <c:pt idx="0">
                  <c:v>Edad </c:v>
                </c:pt>
              </c:strCache>
            </c:strRef>
          </c:tx>
          <c:spPr>
            <a:ln w="28575" cap="rnd">
              <a:noFill/>
              <a:round/>
            </a:ln>
            <a:effectLst/>
          </c:spPr>
          <c:marker>
            <c:symbol val="circle"/>
            <c:size val="5"/>
            <c:spPr>
              <a:solidFill>
                <a:schemeClr val="accent6"/>
              </a:solidFill>
              <a:ln w="9525">
                <a:solidFill>
                  <a:schemeClr val="accent6"/>
                </a:solidFill>
              </a:ln>
              <a:effectLst/>
            </c:spPr>
          </c:marker>
          <c:xVal>
            <c:numRef>
              <c:f>MorbilidadMaterna!$H$2:$H$55</c:f>
              <c:numCache>
                <c:formatCode>General</c:formatCode>
                <c:ptCount val="54"/>
                <c:pt idx="0">
                  <c:v>37</c:v>
                </c:pt>
                <c:pt idx="1">
                  <c:v>38</c:v>
                </c:pt>
                <c:pt idx="2">
                  <c:v>31</c:v>
                </c:pt>
                <c:pt idx="3">
                  <c:v>37</c:v>
                </c:pt>
                <c:pt idx="4">
                  <c:v>22</c:v>
                </c:pt>
                <c:pt idx="5">
                  <c:v>37</c:v>
                </c:pt>
                <c:pt idx="6">
                  <c:v>39</c:v>
                </c:pt>
                <c:pt idx="7">
                  <c:v>37</c:v>
                </c:pt>
                <c:pt idx="8">
                  <c:v>38</c:v>
                </c:pt>
                <c:pt idx="9">
                  <c:v>16</c:v>
                </c:pt>
                <c:pt idx="10">
                  <c:v>38</c:v>
                </c:pt>
                <c:pt idx="11">
                  <c:v>37</c:v>
                </c:pt>
                <c:pt idx="12">
                  <c:v>32</c:v>
                </c:pt>
                <c:pt idx="13">
                  <c:v>39</c:v>
                </c:pt>
                <c:pt idx="14">
                  <c:v>37</c:v>
                </c:pt>
                <c:pt idx="15">
                  <c:v>37</c:v>
                </c:pt>
                <c:pt idx="16">
                  <c:v>38</c:v>
                </c:pt>
                <c:pt idx="17">
                  <c:v>18</c:v>
                </c:pt>
                <c:pt idx="18">
                  <c:v>37</c:v>
                </c:pt>
                <c:pt idx="19">
                  <c:v>38</c:v>
                </c:pt>
                <c:pt idx="20">
                  <c:v>37</c:v>
                </c:pt>
                <c:pt idx="21">
                  <c:v>29</c:v>
                </c:pt>
                <c:pt idx="22">
                  <c:v>31</c:v>
                </c:pt>
                <c:pt idx="23">
                  <c:v>25</c:v>
                </c:pt>
                <c:pt idx="24">
                  <c:v>25</c:v>
                </c:pt>
                <c:pt idx="25">
                  <c:v>37</c:v>
                </c:pt>
                <c:pt idx="26">
                  <c:v>38</c:v>
                </c:pt>
                <c:pt idx="27">
                  <c:v>31</c:v>
                </c:pt>
                <c:pt idx="28">
                  <c:v>37</c:v>
                </c:pt>
                <c:pt idx="29">
                  <c:v>22</c:v>
                </c:pt>
                <c:pt idx="30">
                  <c:v>37</c:v>
                </c:pt>
                <c:pt idx="31">
                  <c:v>39</c:v>
                </c:pt>
                <c:pt idx="32">
                  <c:v>37</c:v>
                </c:pt>
                <c:pt idx="33">
                  <c:v>38</c:v>
                </c:pt>
                <c:pt idx="34">
                  <c:v>16</c:v>
                </c:pt>
                <c:pt idx="35">
                  <c:v>38</c:v>
                </c:pt>
                <c:pt idx="36">
                  <c:v>37</c:v>
                </c:pt>
                <c:pt idx="37">
                  <c:v>32</c:v>
                </c:pt>
                <c:pt idx="38">
                  <c:v>39</c:v>
                </c:pt>
                <c:pt idx="39">
                  <c:v>37</c:v>
                </c:pt>
                <c:pt idx="40">
                  <c:v>37</c:v>
                </c:pt>
                <c:pt idx="41">
                  <c:v>38</c:v>
                </c:pt>
                <c:pt idx="42">
                  <c:v>18</c:v>
                </c:pt>
                <c:pt idx="43">
                  <c:v>37</c:v>
                </c:pt>
                <c:pt idx="44">
                  <c:v>38</c:v>
                </c:pt>
                <c:pt idx="45">
                  <c:v>37</c:v>
                </c:pt>
                <c:pt idx="46">
                  <c:v>29</c:v>
                </c:pt>
                <c:pt idx="47">
                  <c:v>31</c:v>
                </c:pt>
                <c:pt idx="48">
                  <c:v>25</c:v>
                </c:pt>
                <c:pt idx="49">
                  <c:v>24</c:v>
                </c:pt>
                <c:pt idx="50">
                  <c:v>36</c:v>
                </c:pt>
                <c:pt idx="51">
                  <c:v>38</c:v>
                </c:pt>
                <c:pt idx="52">
                  <c:v>29</c:v>
                </c:pt>
                <c:pt idx="53">
                  <c:v>24</c:v>
                </c:pt>
              </c:numCache>
            </c:numRef>
          </c:xVal>
          <c:yVal>
            <c:numRef>
              <c:f>MorbilidadMaterna!$I$2:$I$55</c:f>
              <c:numCache>
                <c:formatCode>0</c:formatCode>
                <c:ptCount val="54"/>
                <c:pt idx="0">
                  <c:v>36</c:v>
                </c:pt>
                <c:pt idx="1">
                  <c:v>19</c:v>
                </c:pt>
                <c:pt idx="2">
                  <c:v>28</c:v>
                </c:pt>
                <c:pt idx="3">
                  <c:v>23</c:v>
                </c:pt>
                <c:pt idx="4">
                  <c:v>29</c:v>
                </c:pt>
                <c:pt idx="5">
                  <c:v>23</c:v>
                </c:pt>
                <c:pt idx="6">
                  <c:v>27</c:v>
                </c:pt>
                <c:pt idx="7">
                  <c:v>29</c:v>
                </c:pt>
                <c:pt idx="8">
                  <c:v>29</c:v>
                </c:pt>
                <c:pt idx="9">
                  <c:v>21</c:v>
                </c:pt>
                <c:pt idx="10">
                  <c:v>34</c:v>
                </c:pt>
                <c:pt idx="11">
                  <c:v>33</c:v>
                </c:pt>
                <c:pt idx="12">
                  <c:v>15</c:v>
                </c:pt>
                <c:pt idx="13">
                  <c:v>19</c:v>
                </c:pt>
                <c:pt idx="14">
                  <c:v>27</c:v>
                </c:pt>
                <c:pt idx="15">
                  <c:v>35</c:v>
                </c:pt>
                <c:pt idx="16">
                  <c:v>36</c:v>
                </c:pt>
                <c:pt idx="17">
                  <c:v>42</c:v>
                </c:pt>
                <c:pt idx="18">
                  <c:v>37</c:v>
                </c:pt>
                <c:pt idx="19">
                  <c:v>18</c:v>
                </c:pt>
                <c:pt idx="20">
                  <c:v>20</c:v>
                </c:pt>
                <c:pt idx="21">
                  <c:v>16</c:v>
                </c:pt>
                <c:pt idx="22">
                  <c:v>22</c:v>
                </c:pt>
                <c:pt idx="23">
                  <c:v>14</c:v>
                </c:pt>
                <c:pt idx="24">
                  <c:v>28</c:v>
                </c:pt>
                <c:pt idx="25">
                  <c:v>23</c:v>
                </c:pt>
                <c:pt idx="26">
                  <c:v>29</c:v>
                </c:pt>
                <c:pt idx="27">
                  <c:v>23</c:v>
                </c:pt>
                <c:pt idx="28">
                  <c:v>27</c:v>
                </c:pt>
                <c:pt idx="29">
                  <c:v>29</c:v>
                </c:pt>
                <c:pt idx="30">
                  <c:v>29</c:v>
                </c:pt>
                <c:pt idx="31">
                  <c:v>21</c:v>
                </c:pt>
                <c:pt idx="32">
                  <c:v>34</c:v>
                </c:pt>
                <c:pt idx="33">
                  <c:v>33</c:v>
                </c:pt>
                <c:pt idx="34">
                  <c:v>15</c:v>
                </c:pt>
                <c:pt idx="35">
                  <c:v>19</c:v>
                </c:pt>
                <c:pt idx="36">
                  <c:v>27</c:v>
                </c:pt>
                <c:pt idx="37">
                  <c:v>35</c:v>
                </c:pt>
                <c:pt idx="38">
                  <c:v>36</c:v>
                </c:pt>
                <c:pt idx="39">
                  <c:v>17</c:v>
                </c:pt>
                <c:pt idx="40">
                  <c:v>37</c:v>
                </c:pt>
                <c:pt idx="41">
                  <c:v>18</c:v>
                </c:pt>
                <c:pt idx="42">
                  <c:v>20</c:v>
                </c:pt>
                <c:pt idx="43">
                  <c:v>31</c:v>
                </c:pt>
                <c:pt idx="44">
                  <c:v>22</c:v>
                </c:pt>
                <c:pt idx="45">
                  <c:v>15</c:v>
                </c:pt>
                <c:pt idx="46">
                  <c:v>19</c:v>
                </c:pt>
                <c:pt idx="47">
                  <c:v>27</c:v>
                </c:pt>
                <c:pt idx="48">
                  <c:v>35</c:v>
                </c:pt>
                <c:pt idx="49">
                  <c:v>36</c:v>
                </c:pt>
                <c:pt idx="50">
                  <c:v>42</c:v>
                </c:pt>
                <c:pt idx="51">
                  <c:v>37</c:v>
                </c:pt>
                <c:pt idx="52">
                  <c:v>18</c:v>
                </c:pt>
                <c:pt idx="53">
                  <c:v>20</c:v>
                </c:pt>
              </c:numCache>
            </c:numRef>
          </c:yVal>
          <c:smooth val="0"/>
          <c:extLst>
            <c:ext xmlns:c16="http://schemas.microsoft.com/office/drawing/2014/chart" uri="{C3380CC4-5D6E-409C-BE32-E72D297353CC}">
              <c16:uniqueId val="{00000000-5CC5-4F05-AB1F-F1AB1342F04F}"/>
            </c:ext>
          </c:extLst>
        </c:ser>
        <c:dLbls>
          <c:showLegendKey val="0"/>
          <c:showVal val="0"/>
          <c:showCatName val="0"/>
          <c:showSerName val="0"/>
          <c:showPercent val="0"/>
          <c:showBubbleSize val="0"/>
        </c:dLbls>
        <c:axId val="471928431"/>
        <c:axId val="471928847"/>
      </c:scatterChart>
      <c:valAx>
        <c:axId val="471928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1928847"/>
        <c:crosses val="autoZero"/>
        <c:crossBetween val="midCat"/>
      </c:valAx>
      <c:valAx>
        <c:axId val="4719288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19284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[Taller12 Juan Felipe Muñoz Toro.xlsx]Hoja1!TablaDinámica1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Hoja1!$B$1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Hoja1!$A$2:$A$6</c:f>
              <c:strCache>
                <c:ptCount val="4"/>
                <c:pt idx="0">
                  <c:v>Complicaciones hemorrágicas</c:v>
                </c:pt>
                <c:pt idx="1">
                  <c:v>Sepsis de origen no obstétrico</c:v>
                </c:pt>
                <c:pt idx="2">
                  <c:v>Sepsis de origen obstétrico</c:v>
                </c:pt>
                <c:pt idx="3">
                  <c:v>Trastornos hipertensivos</c:v>
                </c:pt>
              </c:strCache>
            </c:strRef>
          </c:cat>
          <c:val>
            <c:numRef>
              <c:f>Hoja1!$B$2:$B$6</c:f>
              <c:numCache>
                <c:formatCode>General</c:formatCode>
                <c:ptCount val="4"/>
                <c:pt idx="0">
                  <c:v>15</c:v>
                </c:pt>
                <c:pt idx="1">
                  <c:v>3</c:v>
                </c:pt>
                <c:pt idx="2">
                  <c:v>5</c:v>
                </c:pt>
                <c:pt idx="3">
                  <c:v>31</c:v>
                </c:pt>
              </c:numCache>
            </c:numRef>
          </c:val>
          <c:extLst>
            <c:ext xmlns:c16="http://schemas.microsoft.com/office/drawing/2014/chart" uri="{C3380CC4-5D6E-409C-BE32-E72D297353CC}">
              <c16:uniqueId val="{00000000-619D-482E-B85A-E24A7578DF6E}"/>
            </c:ext>
          </c:extLst>
        </c:ser>
        <c:dLbls>
          <c:showLegendKey val="0"/>
          <c:showVal val="0"/>
          <c:showCatName val="0"/>
          <c:showSerName val="0"/>
          <c:showPercent val="0"/>
          <c:showBubbleSize val="0"/>
        </c:dLbls>
        <c:gapWidth val="219"/>
        <c:overlap val="-27"/>
        <c:axId val="471924687"/>
        <c:axId val="471942991"/>
      </c:barChart>
      <c:catAx>
        <c:axId val="47192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1942991"/>
        <c:crosses val="autoZero"/>
        <c:auto val="1"/>
        <c:lblAlgn val="ctr"/>
        <c:lblOffset val="100"/>
        <c:noMultiLvlLbl val="0"/>
      </c:catAx>
      <c:valAx>
        <c:axId val="47194299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7192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693796</xdr:colOff>
      <xdr:row>47</xdr:row>
      <xdr:rowOff>57150</xdr:rowOff>
    </xdr:from>
    <xdr:to>
      <xdr:col>2</xdr:col>
      <xdr:colOff>282223</xdr:colOff>
      <xdr:row>48</xdr:row>
      <xdr:rowOff>35279</xdr:rowOff>
    </xdr:to>
    <xdr:pic>
      <xdr:nvPicPr>
        <xdr:cNvPr id="2" name="Imagen 1">
          <a:extLst>
            <a:ext uri="{FF2B5EF4-FFF2-40B4-BE49-F238E27FC236}">
              <a16:creationId xmlns:a16="http://schemas.microsoft.com/office/drawing/2014/main" id="{B56699BD-41AE-45E0-9346-4EE1EDB99335}"/>
            </a:ext>
          </a:extLst>
        </xdr:cNvPr>
        <xdr:cNvPicPr>
          <a:picLocks noChangeAspect="1"/>
        </xdr:cNvPicPr>
      </xdr:nvPicPr>
      <xdr:blipFill>
        <a:blip xmlns:r="http://schemas.openxmlformats.org/officeDocument/2006/relationships" r:embed="rId1"/>
        <a:stretch>
          <a:fillRect/>
        </a:stretch>
      </xdr:blipFill>
      <xdr:spPr>
        <a:xfrm>
          <a:off x="693796" y="8782520"/>
          <a:ext cx="2234260" cy="860073"/>
        </a:xfrm>
        <a:prstGeom prst="rect">
          <a:avLst/>
        </a:prstGeom>
      </xdr:spPr>
    </xdr:pic>
    <xdr:clientData/>
  </xdr:twoCellAnchor>
  <xdr:twoCellAnchor editAs="oneCell">
    <xdr:from>
      <xdr:col>6</xdr:col>
      <xdr:colOff>233540</xdr:colOff>
      <xdr:row>47</xdr:row>
      <xdr:rowOff>28575</xdr:rowOff>
    </xdr:from>
    <xdr:to>
      <xdr:col>6</xdr:col>
      <xdr:colOff>1249141</xdr:colOff>
      <xdr:row>47</xdr:row>
      <xdr:rowOff>870186</xdr:rowOff>
    </xdr:to>
    <xdr:pic>
      <xdr:nvPicPr>
        <xdr:cNvPr id="3" name="Imagen 2">
          <a:extLst>
            <a:ext uri="{FF2B5EF4-FFF2-40B4-BE49-F238E27FC236}">
              <a16:creationId xmlns:a16="http://schemas.microsoft.com/office/drawing/2014/main" id="{E1DDA998-A9C0-41B2-8B02-BAA83DA0E3A3}"/>
            </a:ext>
          </a:extLst>
        </xdr:cNvPr>
        <xdr:cNvPicPr>
          <a:picLocks noChangeAspect="1"/>
        </xdr:cNvPicPr>
      </xdr:nvPicPr>
      <xdr:blipFill>
        <a:blip xmlns:r="http://schemas.openxmlformats.org/officeDocument/2006/relationships" r:embed="rId2"/>
        <a:stretch>
          <a:fillRect/>
        </a:stretch>
      </xdr:blipFill>
      <xdr:spPr>
        <a:xfrm>
          <a:off x="4749096" y="8753945"/>
          <a:ext cx="1015601" cy="841611"/>
        </a:xfrm>
        <a:prstGeom prst="rect">
          <a:avLst/>
        </a:prstGeom>
      </xdr:spPr>
    </xdr:pic>
    <xdr:clientData/>
  </xdr:twoCellAnchor>
  <xdr:twoCellAnchor>
    <xdr:from>
      <xdr:col>0</xdr:col>
      <xdr:colOff>0</xdr:colOff>
      <xdr:row>62</xdr:row>
      <xdr:rowOff>0</xdr:rowOff>
    </xdr:from>
    <xdr:to>
      <xdr:col>4</xdr:col>
      <xdr:colOff>25988</xdr:colOff>
      <xdr:row>78</xdr:row>
      <xdr:rowOff>13817</xdr:rowOff>
    </xdr:to>
    <xdr:graphicFrame macro="">
      <xdr:nvGraphicFramePr>
        <xdr:cNvPr id="5" name="Gráfico 4">
          <a:extLst>
            <a:ext uri="{FF2B5EF4-FFF2-40B4-BE49-F238E27FC236}">
              <a16:creationId xmlns:a16="http://schemas.microsoft.com/office/drawing/2014/main" id="{2C869F07-175E-439E-BBEB-36516A724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62</xdr:row>
      <xdr:rowOff>0</xdr:rowOff>
    </xdr:from>
    <xdr:to>
      <xdr:col>9</xdr:col>
      <xdr:colOff>714963</xdr:colOff>
      <xdr:row>76</xdr:row>
      <xdr:rowOff>109126</xdr:rowOff>
    </xdr:to>
    <xdr:graphicFrame macro="">
      <xdr:nvGraphicFramePr>
        <xdr:cNvPr id="6" name="Gráfico 5">
          <a:extLst>
            <a:ext uri="{FF2B5EF4-FFF2-40B4-BE49-F238E27FC236}">
              <a16:creationId xmlns:a16="http://schemas.microsoft.com/office/drawing/2014/main" id="{5E0AE252-2526-4965-8FC9-4A302B9D0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0.02948</cdr:x>
      <cdr:y>0.42677</cdr:y>
    </cdr:from>
    <cdr:to>
      <cdr:x>0.14286</cdr:x>
      <cdr:y>0.52756</cdr:y>
    </cdr:to>
    <cdr:sp macro="" textlink="">
      <cdr:nvSpPr>
        <cdr:cNvPr id="2" name="Rectángulo 1">
          <a:extLst xmlns:a="http://schemas.openxmlformats.org/drawingml/2006/main">
            <a:ext uri="{FF2B5EF4-FFF2-40B4-BE49-F238E27FC236}">
              <a16:creationId xmlns:a16="http://schemas.microsoft.com/office/drawing/2014/main" id="{72CE7E49-3181-4325-B30E-BB36C7576A07}"/>
            </a:ext>
          </a:extLst>
        </cdr:cNvPr>
        <cdr:cNvSpPr/>
      </cdr:nvSpPr>
      <cdr:spPr>
        <a:xfrm xmlns:a="http://schemas.openxmlformats.org/drawingml/2006/main">
          <a:off x="123826" y="1290639"/>
          <a:ext cx="476250" cy="304800"/>
        </a:xfrm>
        <a:prstGeom xmlns:a="http://schemas.openxmlformats.org/drawingml/2006/main" prst="rect">
          <a:avLst/>
        </a:prstGeom>
        <a:ln xmlns:a="http://schemas.openxmlformats.org/drawingml/2006/main" w="9525"/>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s-CO"/>
            <a:t>Edad</a:t>
          </a:r>
        </a:p>
      </cdr:txBody>
    </cdr:sp>
  </cdr:relSizeAnchor>
  <cdr:relSizeAnchor xmlns:cdr="http://schemas.openxmlformats.org/drawingml/2006/chartDrawing">
    <cdr:from>
      <cdr:x>0.40892</cdr:x>
      <cdr:y>0.87034</cdr:y>
    </cdr:from>
    <cdr:to>
      <cdr:x>0.75057</cdr:x>
      <cdr:y>0.97113</cdr:y>
    </cdr:to>
    <cdr:sp macro="" textlink="">
      <cdr:nvSpPr>
        <cdr:cNvPr id="3" name="Rectángulo 2">
          <a:extLst xmlns:a="http://schemas.openxmlformats.org/drawingml/2006/main">
            <a:ext uri="{FF2B5EF4-FFF2-40B4-BE49-F238E27FC236}">
              <a16:creationId xmlns:a16="http://schemas.microsoft.com/office/drawing/2014/main" id="{1A0C8CB5-E291-4095-9467-6820196181B9}"/>
            </a:ext>
          </a:extLst>
        </cdr:cNvPr>
        <cdr:cNvSpPr/>
      </cdr:nvSpPr>
      <cdr:spPr>
        <a:xfrm xmlns:a="http://schemas.openxmlformats.org/drawingml/2006/main">
          <a:off x="1717674" y="2632075"/>
          <a:ext cx="1435101" cy="304800"/>
        </a:xfrm>
        <a:prstGeom xmlns:a="http://schemas.openxmlformats.org/drawingml/2006/main" prst="rect">
          <a:avLst/>
        </a:prstGeom>
        <a:ln xmlns:a="http://schemas.openxmlformats.org/drawingml/2006/main" w="9525"/>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s-CO"/>
            <a:t>Tiempo</a:t>
          </a:r>
          <a:r>
            <a:rPr lang="es-CO" baseline="0"/>
            <a:t> de gestación</a:t>
          </a:r>
          <a:endParaRPr lang="es-CO"/>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458319</xdr:colOff>
      <xdr:row>41</xdr:row>
      <xdr:rowOff>30816</xdr:rowOff>
    </xdr:from>
    <xdr:to>
      <xdr:col>6</xdr:col>
      <xdr:colOff>563095</xdr:colOff>
      <xdr:row>54</xdr:row>
      <xdr:rowOff>78441</xdr:rowOff>
    </xdr:to>
    <mc:AlternateContent xmlns:mc="http://schemas.openxmlformats.org/markup-compatibility/2006">
      <mc:Choice xmlns:a14="http://schemas.microsoft.com/office/drawing/2010/main" Requires="a14">
        <xdr:graphicFrame macro="">
          <xdr:nvGraphicFramePr>
            <xdr:cNvPr id="2" name="Clasificación de complejidad  de hospitalización ">
              <a:extLst>
                <a:ext uri="{FF2B5EF4-FFF2-40B4-BE49-F238E27FC236}">
                  <a16:creationId xmlns:a16="http://schemas.microsoft.com/office/drawing/2014/main" id="{D6813E24-51B6-44F5-A112-31C1A29C275E}"/>
                </a:ext>
              </a:extLst>
            </xdr:cNvPr>
            <xdr:cNvGraphicFramePr/>
          </xdr:nvGraphicFramePr>
          <xdr:xfrm>
            <a:off x="0" y="0"/>
            <a:ext cx="0" cy="0"/>
          </xdr:xfrm>
          <a:graphic>
            <a:graphicData uri="http://schemas.microsoft.com/office/drawing/2010/slicer">
              <sle:slicer xmlns:sle="http://schemas.microsoft.com/office/drawing/2010/slicer" name="Clasificación de complejidad  de hospitalización "/>
            </a:graphicData>
          </a:graphic>
        </xdr:graphicFrame>
      </mc:Choice>
      <mc:Fallback>
        <xdr:sp macro="" textlink="">
          <xdr:nvSpPr>
            <xdr:cNvPr id="0" name=""/>
            <xdr:cNvSpPr>
              <a:spLocks noTextEdit="1"/>
            </xdr:cNvSpPr>
          </xdr:nvSpPr>
          <xdr:spPr>
            <a:xfrm>
              <a:off x="4811244" y="9565341"/>
              <a:ext cx="3505201" cy="2524125"/>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7</xdr:col>
      <xdr:colOff>192180</xdr:colOff>
      <xdr:row>32</xdr:row>
      <xdr:rowOff>117103</xdr:rowOff>
    </xdr:from>
    <xdr:to>
      <xdr:col>9</xdr:col>
      <xdr:colOff>725580</xdr:colOff>
      <xdr:row>45</xdr:row>
      <xdr:rowOff>164728</xdr:rowOff>
    </xdr:to>
    <mc:AlternateContent xmlns:mc="http://schemas.openxmlformats.org/markup-compatibility/2006" xmlns:a14="http://schemas.microsoft.com/office/drawing/2010/main">
      <mc:Choice Requires="a14">
        <xdr:graphicFrame macro="">
          <xdr:nvGraphicFramePr>
            <xdr:cNvPr id="3" name="Clasificación de estancia">
              <a:extLst>
                <a:ext uri="{FF2B5EF4-FFF2-40B4-BE49-F238E27FC236}">
                  <a16:creationId xmlns:a16="http://schemas.microsoft.com/office/drawing/2014/main" id="{3FC80FB5-7445-42FD-99DB-4CAFE2EAD441}"/>
                </a:ext>
              </a:extLst>
            </xdr:cNvPr>
            <xdr:cNvGraphicFramePr/>
          </xdr:nvGraphicFramePr>
          <xdr:xfrm>
            <a:off x="0" y="0"/>
            <a:ext cx="0" cy="0"/>
          </xdr:xfrm>
          <a:graphic>
            <a:graphicData uri="http://schemas.microsoft.com/office/drawing/2010/slicer">
              <sle:slicer xmlns:sle="http://schemas.microsoft.com/office/drawing/2010/slicer" name="Clasificación de estancia"/>
            </a:graphicData>
          </a:graphic>
        </xdr:graphicFrame>
      </mc:Choice>
      <mc:Fallback xmlns="">
        <xdr:sp macro="" textlink="">
          <xdr:nvSpPr>
            <xdr:cNvPr id="0" name=""/>
            <xdr:cNvSpPr>
              <a:spLocks noTextEdit="1"/>
            </xdr:cNvSpPr>
          </xdr:nvSpPr>
          <xdr:spPr>
            <a:xfrm>
              <a:off x="9460005" y="7937128"/>
              <a:ext cx="2181225" cy="2524125"/>
            </a:xfrm>
            <a:prstGeom prst="rect">
              <a:avLst/>
            </a:prstGeom>
            <a:solidFill>
              <a:prstClr val="white"/>
            </a:solidFill>
            <a:ln w="1">
              <a:solidFill>
                <a:prstClr val="green"/>
              </a:solidFill>
            </a:ln>
          </xdr:spPr>
          <xdr:txBody>
            <a:bodyPr vertOverflow="clip" horzOverflow="clip"/>
            <a:lstStyle/>
            <a:p>
              <a:r>
                <a:rPr lang="es-CO"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6</xdr:col>
      <xdr:colOff>798417</xdr:colOff>
      <xdr:row>46</xdr:row>
      <xdr:rowOff>171449</xdr:rowOff>
    </xdr:from>
    <xdr:to>
      <xdr:col>12</xdr:col>
      <xdr:colOff>265018</xdr:colOff>
      <xdr:row>54</xdr:row>
      <xdr:rowOff>19049</xdr:rowOff>
    </xdr:to>
    <mc:AlternateContent xmlns:mc="http://schemas.openxmlformats.org/markup-compatibility/2006" xmlns:tsle="http://schemas.microsoft.com/office/drawing/2012/timeslicer">
      <mc:Choice Requires="tsle">
        <xdr:graphicFrame macro="">
          <xdr:nvGraphicFramePr>
            <xdr:cNvPr id="4" name="Fecha de egreso hospitalario">
              <a:extLst>
                <a:ext uri="{FF2B5EF4-FFF2-40B4-BE49-F238E27FC236}">
                  <a16:creationId xmlns:a16="http://schemas.microsoft.com/office/drawing/2014/main" id="{9E75A7AC-984E-42DE-ABDD-9759FE2767BD}"/>
                </a:ext>
              </a:extLst>
            </xdr:cNvPr>
            <xdr:cNvGraphicFramePr/>
          </xdr:nvGraphicFramePr>
          <xdr:xfrm>
            <a:off x="0" y="0"/>
            <a:ext cx="0" cy="0"/>
          </xdr:xfrm>
          <a:graphic>
            <a:graphicData uri="http://schemas.microsoft.com/office/drawing/2012/timeslicer">
              <tsle:timeslicer name="Fecha de egreso hospitalario"/>
            </a:graphicData>
          </a:graphic>
        </xdr:graphicFrame>
      </mc:Choice>
      <mc:Fallback xmlns="">
        <xdr:sp macro="" textlink="">
          <xdr:nvSpPr>
            <xdr:cNvPr id="0" name=""/>
            <xdr:cNvSpPr>
              <a:spLocks noTextEdit="1"/>
            </xdr:cNvSpPr>
          </xdr:nvSpPr>
          <xdr:spPr>
            <a:xfrm>
              <a:off x="9266142" y="10658474"/>
              <a:ext cx="5524501" cy="1371600"/>
            </a:xfrm>
            <a:prstGeom prst="rect">
              <a:avLst/>
            </a:prstGeom>
            <a:solidFill>
              <a:prstClr val="white"/>
            </a:solidFill>
            <a:ln w="1">
              <a:solidFill>
                <a:prstClr val="green"/>
              </a:solidFill>
            </a:ln>
          </xdr:spPr>
          <xdr:txBody>
            <a:bodyPr vertOverflow="clip" horzOverflow="clip"/>
            <a:lstStyle/>
            <a:p>
              <a:r>
                <a:rPr lang="es-CO" sz="1100"/>
                <a:t>Línea de tiempo: Funciona en Excel 2013 o superior. No mover ni cambiar el tamaño.</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pe Muñoz" refreshedDate="44178.537973611114" createdVersion="6" refreshedVersion="6" minRefreshableVersion="3" recordCount="54" xr:uid="{46ED68FA-FA09-4194-8B6C-22E7A74F3179}">
  <cacheSource type="worksheet">
    <worksheetSource ref="J1:J55" sheet="MorbilidadMaterna"/>
  </cacheSource>
  <cacheFields count="1">
    <cacheField name="Causa agrupada" numFmtId="0">
      <sharedItems count="4">
        <s v="Trastornos hipertensivos"/>
        <s v="Sepsis de origen no obstétrico"/>
        <s v="Complicaciones hemorrágicas"/>
        <s v="Sepsis de origen obstétric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pe Muñoz" refreshedDate="44200.628459143518" createdVersion="6" refreshedVersion="6" minRefreshableVersion="3" recordCount="54" xr:uid="{A578578D-C456-4AFC-B2D0-77F63E5494EA}">
  <cacheSource type="worksheet">
    <worksheetSource ref="A1:L55" sheet="MorbilidadMaterna"/>
  </cacheSource>
  <cacheFields count="11">
    <cacheField name="id" numFmtId="1">
      <sharedItems containsSemiMixedTypes="0" containsString="0" containsNumber="1" containsInteger="1" minValue="1" maxValue="54"/>
    </cacheField>
    <cacheField name="Fecha de egreso hospitalario" numFmtId="14">
      <sharedItems containsSemiMixedTypes="0" containsNonDate="0" containsDate="1" containsString="0" minDate="2016-01-02T00:00:00" maxDate="2016-03-11T00:00:00" count="13">
        <d v="2016-01-02T00:00:00"/>
        <d v="2016-01-07T00:00:00"/>
        <d v="2016-01-08T00:00:00"/>
        <d v="2016-01-06T00:00:00"/>
        <d v="2016-01-04T00:00:00"/>
        <d v="2016-01-13T00:00:00"/>
        <d v="2016-01-22T00:00:00"/>
        <d v="2016-01-18T00:00:00"/>
        <d v="2016-01-23T00:00:00"/>
        <d v="2016-01-20T00:00:00"/>
        <d v="2016-01-26T00:00:00"/>
        <d v="2016-03-10T00:00:00"/>
        <d v="2016-03-07T00:00:00"/>
      </sharedItems>
      <fieldGroup par="10" base="1">
        <rangePr groupBy="days" startDate="2016-01-02T00:00:00" endDate="2016-03-11T00:00:00"/>
        <groupItems count="368">
          <s v="&lt;2/01/2016"/>
          <s v="1-ene"/>
          <s v="2-ene"/>
          <s v="3-ene"/>
          <s v="4-ene"/>
          <s v="5-ene"/>
          <s v="6-ene"/>
          <s v="7-ene"/>
          <s v="8-ene"/>
          <s v="9-ene"/>
          <s v="10-ene"/>
          <s v="11-ene"/>
          <s v="12-ene"/>
          <s v="13-ene"/>
          <s v="14-ene"/>
          <s v="15-ene"/>
          <s v="16-ene"/>
          <s v="17-ene"/>
          <s v="18-ene"/>
          <s v="19-ene"/>
          <s v="20-ene"/>
          <s v="21-ene"/>
          <s v="22-ene"/>
          <s v="23-ene"/>
          <s v="24-ene"/>
          <s v="25-ene"/>
          <s v="26-ene"/>
          <s v="27-ene"/>
          <s v="28-ene"/>
          <s v="29-ene"/>
          <s v="30-ene"/>
          <s v="31-ene"/>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br"/>
          <s v="2-abr"/>
          <s v="3-abr"/>
          <s v="4-abr"/>
          <s v="5-abr"/>
          <s v="6-abr"/>
          <s v="7-abr"/>
          <s v="8-abr"/>
          <s v="9-abr"/>
          <s v="10-abr"/>
          <s v="11-abr"/>
          <s v="12-abr"/>
          <s v="13-abr"/>
          <s v="14-abr"/>
          <s v="15-abr"/>
          <s v="16-abr"/>
          <s v="17-abr"/>
          <s v="18-abr"/>
          <s v="19-abr"/>
          <s v="20-abr"/>
          <s v="21-abr"/>
          <s v="22-abr"/>
          <s v="23-abr"/>
          <s v="24-abr"/>
          <s v="25-abr"/>
          <s v="26-abr"/>
          <s v="27-abr"/>
          <s v="28-abr"/>
          <s v="29-abr"/>
          <s v="30-ab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go"/>
          <s v="2-ago"/>
          <s v="3-ago"/>
          <s v="4-ago"/>
          <s v="5-ago"/>
          <s v="6-ago"/>
          <s v="7-ago"/>
          <s v="8-ago"/>
          <s v="9-ago"/>
          <s v="10-ago"/>
          <s v="11-ago"/>
          <s v="12-ago"/>
          <s v="13-ago"/>
          <s v="14-ago"/>
          <s v="15-ago"/>
          <s v="16-ago"/>
          <s v="17-ago"/>
          <s v="18-ago"/>
          <s v="19-ago"/>
          <s v="20-ago"/>
          <s v="21-ago"/>
          <s v="22-ago"/>
          <s v="23-ago"/>
          <s v="24-ago"/>
          <s v="25-ago"/>
          <s v="26-ago"/>
          <s v="27-ago"/>
          <s v="28-ago"/>
          <s v="29-ago"/>
          <s v="30-ago"/>
          <s v="31-ago"/>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ic"/>
          <s v="2-dic"/>
          <s v="3-dic"/>
          <s v="4-dic"/>
          <s v="5-dic"/>
          <s v="6-dic"/>
          <s v="7-dic"/>
          <s v="8-dic"/>
          <s v="9-dic"/>
          <s v="10-dic"/>
          <s v="11-dic"/>
          <s v="12-dic"/>
          <s v="13-dic"/>
          <s v="14-dic"/>
          <s v="15-dic"/>
          <s v="16-dic"/>
          <s v="17-dic"/>
          <s v="18-dic"/>
          <s v="19-dic"/>
          <s v="20-dic"/>
          <s v="21-dic"/>
          <s v="22-dic"/>
          <s v="23-dic"/>
          <s v="24-dic"/>
          <s v="25-dic"/>
          <s v="26-dic"/>
          <s v="27-dic"/>
          <s v="28-dic"/>
          <s v="29-dic"/>
          <s v="30-dic"/>
          <s v="31-dic"/>
          <s v="&gt;11/03/2016"/>
        </groupItems>
      </fieldGroup>
    </cacheField>
    <cacheField name="Nombre completo" numFmtId="14">
      <sharedItems count="54">
        <s v="Anny Lorena Lezcano Parra"/>
        <s v="Cruz Islayd Alfaro Serna"/>
        <s v="Daniela  Zuluaga Robles"/>
        <s v="Liz Nayibe Rada Henao"/>
        <s v="Juliana  Murillo Rodriguez"/>
        <s v="Maritza Alejandra Chalarca Arias"/>
        <s v="Isabel Cristina Ibarra Monsalve"/>
        <s v="Carolina Maria Giraldo Giraldo"/>
        <s v="Eliana Patricia Torres Noreña"/>
        <s v="Luisa Fernanda David Gonzalez"/>
        <s v="Diana  Alvarez Zapata"/>
        <s v="Mahyvi Johanna Raga Rueda"/>
        <s v="Maria Catalina Arango "/>
        <s v="Yeni Banesa Diez Rodriguez"/>
        <s v="Beatriz Eugenia Palacios Pizarro"/>
        <s v="Yuliana  Vargas Ramos"/>
        <s v="Laura Marcela Metaute Ramirez"/>
        <s v="Natalia  Jimenez Alvarez"/>
        <s v="Lucidia Margarita Bolivar Valencia"/>
        <s v="Maria Sorely Osorio Ledesma"/>
        <s v="Yeimy Shirley Carvajal Salinas"/>
        <s v="Andrea  Pajon Herrera"/>
        <s v="Liz Argenis Sanchez Perez"/>
        <s v="Angela Patricia Naranjo Alvarez"/>
        <s v="Linda Vanessa Noreña Perez"/>
        <s v="Aury Estela Rodriguez Aristizabal"/>
        <s v="Maria Alejandra Coneo Ocampo"/>
        <s v="Silvia Johana Hurtado Paredes"/>
        <s v="Angelica Yoana Rodriguez Alzate"/>
        <s v="Maria Paula Yepes Quiñonez"/>
        <s v="Liliana Yaneth Saldarriaga Castañeda"/>
        <s v="Marilyn  Piedrahita Velez"/>
        <s v="Suany Janneth Ramirez Gonzalez"/>
        <s v="Yesica Paola Sanchez Betancur"/>
        <s v="Ebilin Tatiana Cossio Rendon"/>
        <s v="Katherine  Pastrana Henao"/>
        <s v="Yury Estefania Afanador Aguedelo"/>
        <s v="Isabel Cristina Aldana Garcia"/>
        <s v="Katerine  Zapata Bedoya"/>
        <s v="Veronica Leandra Vargas Zabala"/>
        <s v="Olga Lucia Salazar Muñoz"/>
        <s v="Francia Elena Arias Marquez"/>
        <s v="Luisa Fernanda Herrera Araque"/>
        <s v="Luz Adriana Dimas Hurtado"/>
        <s v="Ana Maria Martinez Lopez"/>
        <s v="Liney Ester Velez Barrios"/>
        <s v="Yeysy Andrea Gomez Castrillon"/>
        <s v="Laura Marcela Quirama Villegas"/>
        <s v="Ana Maria Restrepo Villada"/>
        <s v="Gloria Patricia Gutierrez Mejia"/>
        <s v="Sandra Milena Velasquez Echeverry"/>
        <s v="Mirta Janet Montoya Galvis"/>
        <s v="Dorany Maria Villa Puerta"/>
        <s v="Yuledis  Ciro Misas"/>
      </sharedItems>
    </cacheField>
    <cacheField name="Dìas de hospitalizaciòn" numFmtId="0">
      <sharedItems containsSemiMixedTypes="0" containsString="0" containsNumber="1" containsInteger="1" minValue="1" maxValue="24"/>
    </cacheField>
    <cacheField name="Tiempo de gestación" numFmtId="0">
      <sharedItems containsSemiMixedTypes="0" containsString="0" containsNumber="1" containsInteger="1" minValue="16" maxValue="39" count="12">
        <n v="37"/>
        <n v="38"/>
        <n v="31"/>
        <n v="22"/>
        <n v="39"/>
        <n v="16"/>
        <n v="32"/>
        <n v="18"/>
        <n v="29"/>
        <n v="25"/>
        <n v="24"/>
        <n v="36"/>
      </sharedItems>
    </cacheField>
    <cacheField name="Edad " numFmtId="1">
      <sharedItems containsSemiMixedTypes="0" containsString="0" containsNumber="1" containsInteger="1" minValue="14" maxValue="42"/>
    </cacheField>
    <cacheField name="Causa agrupada" numFmtId="0">
      <sharedItems count="4">
        <s v="Trastornos hipertensivos"/>
        <s v="Sepsis de origen no obstétrico"/>
        <s v="Complicaciones hemorrágicas"/>
        <s v="Sepsis de origen obstétrico"/>
      </sharedItems>
    </cacheField>
    <cacheField name="Clasificación de complejidad  de hospitalización " numFmtId="0">
      <sharedItems count="3">
        <s v="Riesgo muy elevado"/>
        <s v="Riesgo moderado"/>
        <s v="Riesgo alto"/>
      </sharedItems>
    </cacheField>
    <cacheField name="Clasificación de estancia" numFmtId="0">
      <sharedItems count="4">
        <s v="Estancia baja"/>
        <s v="No aplica"/>
        <s v="Estancia alta"/>
        <s v="Estancia media"/>
      </sharedItems>
    </cacheField>
    <cacheField name="Costo de la atención" numFmtId="0" formula=" IF('Dìas de hospitalizaciòn'&gt;5,'Dìas de hospitalizaciòn'*100000,'Dìas de hospitalizaciòn'*80000+10%)" databaseField="0"/>
    <cacheField name="Meses" numFmtId="0" databaseField="0">
      <fieldGroup base="1">
        <rangePr groupBy="months" startDate="2016-01-02T00:00:00" endDate="2016-03-11T00:00:00"/>
        <groupItems count="14">
          <s v="&lt;2/01/2016"/>
          <s v="ene"/>
          <s v="feb"/>
          <s v="mar"/>
          <s v="abr"/>
          <s v="may"/>
          <s v="jun"/>
          <s v="jul"/>
          <s v="ago"/>
          <s v="sep"/>
          <s v="oct"/>
          <s v="nov"/>
          <s v="dic"/>
          <s v="&gt;11/03/2016"/>
        </groupItems>
      </fieldGroup>
    </cacheField>
  </cacheFields>
  <extLst>
    <ext xmlns:x14="http://schemas.microsoft.com/office/spreadsheetml/2009/9/main" uri="{725AE2AE-9491-48be-B2B4-4EB974FC3084}">
      <x14:pivotCacheDefinition pivotCacheId="87612807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pe Muñoz" refreshedDate="44203.565958333333" createdVersion="6" refreshedVersion="6" minRefreshableVersion="3" recordCount="54" xr:uid="{0F846DE7-9EF2-4B6E-9E17-7B46E33A76EF}">
  <cacheSource type="worksheet">
    <worksheetSource ref="A1:N55" sheet="MorbilidadMaterna"/>
  </cacheSource>
  <cacheFields count="14">
    <cacheField name="id" numFmtId="1">
      <sharedItems containsSemiMixedTypes="0" containsString="0" containsNumber="1" containsInteger="1" minValue="1" maxValue="54"/>
    </cacheField>
    <cacheField name="Día egreso" numFmtId="1">
      <sharedItems containsSemiMixedTypes="0" containsString="0" containsNumber="1" containsInteger="1" minValue="2" maxValue="26" count="12">
        <n v="2"/>
        <n v="7"/>
        <n v="8"/>
        <n v="6"/>
        <n v="4"/>
        <n v="13"/>
        <n v="22"/>
        <n v="18"/>
        <n v="23"/>
        <n v="20"/>
        <n v="26"/>
        <n v="10"/>
      </sharedItems>
    </cacheField>
    <cacheField name="Mes egreso" numFmtId="1">
      <sharedItems containsSemiMixedTypes="0" containsString="0" containsNumber="1" containsInteger="1" minValue="1" maxValue="3" count="2">
        <n v="1"/>
        <n v="3"/>
      </sharedItems>
      <fieldGroup base="2">
        <rangePr autoEnd="0" startNum="1" endNum="12" groupInterval="3"/>
        <groupItems count="6">
          <s v="&lt;1"/>
          <s v="1-3"/>
          <s v="4-6"/>
          <s v="7-9"/>
          <s v="10-12"/>
          <s v="&gt;13"/>
        </groupItems>
      </fieldGroup>
    </cacheField>
    <cacheField name="Año egreso" numFmtId="1">
      <sharedItems containsSemiMixedTypes="0" containsString="0" containsNumber="1" containsInteger="1" minValue="2016" maxValue="2016"/>
    </cacheField>
    <cacheField name="Fecha de egreso hospitalario" numFmtId="14">
      <sharedItems containsSemiMixedTypes="0" containsNonDate="0" containsDate="1" containsString="0" minDate="2016-01-02T00:00:00" maxDate="2016-03-11T00:00:00"/>
    </cacheField>
    <cacheField name="Nombre completo" numFmtId="14">
      <sharedItems/>
    </cacheField>
    <cacheField name="Dìas de hospitalizaciòn" numFmtId="0">
      <sharedItems containsSemiMixedTypes="0" containsString="0" containsNumber="1" containsInteger="1" minValue="1" maxValue="24"/>
    </cacheField>
    <cacheField name="Tiempo de gestación" numFmtId="0">
      <sharedItems containsSemiMixedTypes="0" containsString="0" containsNumber="1" containsInteger="1" minValue="16" maxValue="39"/>
    </cacheField>
    <cacheField name="Edad " numFmtId="1">
      <sharedItems containsSemiMixedTypes="0" containsString="0" containsNumber="1" containsInteger="1" minValue="14" maxValue="42"/>
    </cacheField>
    <cacheField name="Causa agrupada" numFmtId="0">
      <sharedItems count="4">
        <s v="Trastornos hipertensivos"/>
        <s v="Sepsis de origen no obstétrico"/>
        <s v="Complicaciones hemorrágicas"/>
        <s v="Sepsis de origen obstétrico"/>
      </sharedItems>
    </cacheField>
    <cacheField name="Clasificación de complejidad  de hospitalización " numFmtId="0">
      <sharedItems/>
    </cacheField>
    <cacheField name="Clasificación de estancia" numFmtId="0">
      <sharedItems/>
    </cacheField>
    <cacheField name="Día" numFmtId="0">
      <sharedItems containsSemiMixedTypes="0" containsString="0" containsNumber="1" containsInteger="1" minValue="1" maxValue="30"/>
    </cacheField>
    <cacheField name="Fecha" numFmtId="1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r>
  <r>
    <x v="1"/>
  </r>
  <r>
    <x v="2"/>
  </r>
  <r>
    <x v="2"/>
  </r>
  <r>
    <x v="2"/>
  </r>
  <r>
    <x v="0"/>
  </r>
  <r>
    <x v="0"/>
  </r>
  <r>
    <x v="3"/>
  </r>
  <r>
    <x v="0"/>
  </r>
  <r>
    <x v="0"/>
  </r>
  <r>
    <x v="0"/>
  </r>
  <r>
    <x v="0"/>
  </r>
  <r>
    <x v="2"/>
  </r>
  <r>
    <x v="0"/>
  </r>
  <r>
    <x v="2"/>
  </r>
  <r>
    <x v="0"/>
  </r>
  <r>
    <x v="0"/>
  </r>
  <r>
    <x v="3"/>
  </r>
  <r>
    <x v="0"/>
  </r>
  <r>
    <x v="0"/>
  </r>
  <r>
    <x v="0"/>
  </r>
  <r>
    <x v="0"/>
  </r>
  <r>
    <x v="2"/>
  </r>
  <r>
    <x v="1"/>
  </r>
  <r>
    <x v="2"/>
  </r>
  <r>
    <x v="2"/>
  </r>
  <r>
    <x v="2"/>
  </r>
  <r>
    <x v="0"/>
  </r>
  <r>
    <x v="0"/>
  </r>
  <r>
    <x v="3"/>
  </r>
  <r>
    <x v="0"/>
  </r>
  <r>
    <x v="0"/>
  </r>
  <r>
    <x v="0"/>
  </r>
  <r>
    <x v="0"/>
  </r>
  <r>
    <x v="2"/>
  </r>
  <r>
    <x v="0"/>
  </r>
  <r>
    <x v="2"/>
  </r>
  <r>
    <x v="0"/>
  </r>
  <r>
    <x v="0"/>
  </r>
  <r>
    <x v="3"/>
  </r>
  <r>
    <x v="0"/>
  </r>
  <r>
    <x v="0"/>
  </r>
  <r>
    <x v="0"/>
  </r>
  <r>
    <x v="0"/>
  </r>
  <r>
    <x v="2"/>
  </r>
  <r>
    <x v="1"/>
  </r>
  <r>
    <x v="2"/>
  </r>
  <r>
    <x v="2"/>
  </r>
  <r>
    <x v="2"/>
  </r>
  <r>
    <x v="0"/>
  </r>
  <r>
    <x v="0"/>
  </r>
  <r>
    <x v="3"/>
  </r>
  <r>
    <x v="0"/>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n v="1"/>
    <x v="0"/>
    <x v="0"/>
    <n v="1"/>
    <x v="0"/>
    <n v="36"/>
    <x v="0"/>
    <x v="0"/>
    <x v="0"/>
  </r>
  <r>
    <n v="2"/>
    <x v="1"/>
    <x v="1"/>
    <n v="2"/>
    <x v="1"/>
    <n v="19"/>
    <x v="1"/>
    <x v="0"/>
    <x v="1"/>
  </r>
  <r>
    <n v="3"/>
    <x v="2"/>
    <x v="2"/>
    <n v="3"/>
    <x v="2"/>
    <n v="28"/>
    <x v="2"/>
    <x v="0"/>
    <x v="1"/>
  </r>
  <r>
    <n v="4"/>
    <x v="2"/>
    <x v="3"/>
    <n v="4"/>
    <x v="0"/>
    <n v="23"/>
    <x v="2"/>
    <x v="0"/>
    <x v="1"/>
  </r>
  <r>
    <n v="5"/>
    <x v="2"/>
    <x v="4"/>
    <n v="5"/>
    <x v="3"/>
    <n v="29"/>
    <x v="2"/>
    <x v="0"/>
    <x v="1"/>
  </r>
  <r>
    <n v="6"/>
    <x v="3"/>
    <x v="5"/>
    <n v="6"/>
    <x v="0"/>
    <n v="23"/>
    <x v="0"/>
    <x v="1"/>
    <x v="0"/>
  </r>
  <r>
    <n v="7"/>
    <x v="3"/>
    <x v="6"/>
    <n v="7"/>
    <x v="4"/>
    <n v="27"/>
    <x v="0"/>
    <x v="1"/>
    <x v="0"/>
  </r>
  <r>
    <n v="8"/>
    <x v="3"/>
    <x v="7"/>
    <n v="8"/>
    <x v="0"/>
    <n v="29"/>
    <x v="3"/>
    <x v="0"/>
    <x v="1"/>
  </r>
  <r>
    <n v="9"/>
    <x v="4"/>
    <x v="8"/>
    <n v="9"/>
    <x v="1"/>
    <n v="29"/>
    <x v="0"/>
    <x v="1"/>
    <x v="0"/>
  </r>
  <r>
    <n v="10"/>
    <x v="2"/>
    <x v="9"/>
    <n v="10"/>
    <x v="5"/>
    <n v="21"/>
    <x v="0"/>
    <x v="1"/>
    <x v="1"/>
  </r>
  <r>
    <n v="11"/>
    <x v="5"/>
    <x v="10"/>
    <n v="11"/>
    <x v="1"/>
    <n v="34"/>
    <x v="0"/>
    <x v="1"/>
    <x v="1"/>
  </r>
  <r>
    <n v="12"/>
    <x v="5"/>
    <x v="11"/>
    <n v="12"/>
    <x v="0"/>
    <n v="33"/>
    <x v="0"/>
    <x v="1"/>
    <x v="1"/>
  </r>
  <r>
    <n v="13"/>
    <x v="5"/>
    <x v="12"/>
    <n v="13"/>
    <x v="6"/>
    <n v="15"/>
    <x v="2"/>
    <x v="0"/>
    <x v="1"/>
  </r>
  <r>
    <n v="14"/>
    <x v="6"/>
    <x v="13"/>
    <n v="14"/>
    <x v="4"/>
    <n v="19"/>
    <x v="0"/>
    <x v="1"/>
    <x v="1"/>
  </r>
  <r>
    <n v="15"/>
    <x v="7"/>
    <x v="14"/>
    <n v="15"/>
    <x v="0"/>
    <n v="27"/>
    <x v="2"/>
    <x v="0"/>
    <x v="1"/>
  </r>
  <r>
    <n v="16"/>
    <x v="8"/>
    <x v="15"/>
    <n v="16"/>
    <x v="0"/>
    <n v="35"/>
    <x v="0"/>
    <x v="1"/>
    <x v="1"/>
  </r>
  <r>
    <n v="17"/>
    <x v="9"/>
    <x v="16"/>
    <n v="17"/>
    <x v="1"/>
    <n v="36"/>
    <x v="0"/>
    <x v="1"/>
    <x v="1"/>
  </r>
  <r>
    <n v="18"/>
    <x v="10"/>
    <x v="17"/>
    <n v="18"/>
    <x v="7"/>
    <n v="42"/>
    <x v="3"/>
    <x v="0"/>
    <x v="1"/>
  </r>
  <r>
    <n v="19"/>
    <x v="10"/>
    <x v="18"/>
    <n v="19"/>
    <x v="0"/>
    <n v="37"/>
    <x v="0"/>
    <x v="1"/>
    <x v="1"/>
  </r>
  <r>
    <n v="20"/>
    <x v="11"/>
    <x v="19"/>
    <n v="20"/>
    <x v="1"/>
    <n v="18"/>
    <x v="0"/>
    <x v="1"/>
    <x v="1"/>
  </r>
  <r>
    <n v="21"/>
    <x v="12"/>
    <x v="20"/>
    <n v="21"/>
    <x v="0"/>
    <n v="20"/>
    <x v="0"/>
    <x v="0"/>
    <x v="1"/>
  </r>
  <r>
    <n v="22"/>
    <x v="11"/>
    <x v="21"/>
    <n v="22"/>
    <x v="8"/>
    <n v="16"/>
    <x v="0"/>
    <x v="0"/>
    <x v="1"/>
  </r>
  <r>
    <n v="23"/>
    <x v="12"/>
    <x v="22"/>
    <n v="23"/>
    <x v="2"/>
    <n v="22"/>
    <x v="2"/>
    <x v="2"/>
    <x v="2"/>
  </r>
  <r>
    <n v="24"/>
    <x v="6"/>
    <x v="23"/>
    <n v="2"/>
    <x v="9"/>
    <n v="14"/>
    <x v="1"/>
    <x v="0"/>
    <x v="1"/>
  </r>
  <r>
    <n v="25"/>
    <x v="7"/>
    <x v="24"/>
    <n v="4"/>
    <x v="9"/>
    <n v="28"/>
    <x v="2"/>
    <x v="0"/>
    <x v="1"/>
  </r>
  <r>
    <n v="26"/>
    <x v="8"/>
    <x v="25"/>
    <n v="6"/>
    <x v="0"/>
    <n v="23"/>
    <x v="2"/>
    <x v="0"/>
    <x v="1"/>
  </r>
  <r>
    <n v="27"/>
    <x v="9"/>
    <x v="26"/>
    <n v="8"/>
    <x v="1"/>
    <n v="29"/>
    <x v="2"/>
    <x v="0"/>
    <x v="1"/>
  </r>
  <r>
    <n v="28"/>
    <x v="10"/>
    <x v="27"/>
    <n v="10"/>
    <x v="2"/>
    <n v="23"/>
    <x v="0"/>
    <x v="1"/>
    <x v="1"/>
  </r>
  <r>
    <n v="29"/>
    <x v="10"/>
    <x v="28"/>
    <n v="12"/>
    <x v="0"/>
    <n v="27"/>
    <x v="0"/>
    <x v="1"/>
    <x v="1"/>
  </r>
  <r>
    <n v="30"/>
    <x v="11"/>
    <x v="29"/>
    <n v="14"/>
    <x v="3"/>
    <n v="29"/>
    <x v="3"/>
    <x v="0"/>
    <x v="3"/>
  </r>
  <r>
    <n v="31"/>
    <x v="12"/>
    <x v="30"/>
    <n v="16"/>
    <x v="0"/>
    <n v="29"/>
    <x v="0"/>
    <x v="1"/>
    <x v="1"/>
  </r>
  <r>
    <n v="32"/>
    <x v="11"/>
    <x v="31"/>
    <n v="18"/>
    <x v="4"/>
    <n v="21"/>
    <x v="0"/>
    <x v="1"/>
    <x v="1"/>
  </r>
  <r>
    <n v="33"/>
    <x v="12"/>
    <x v="32"/>
    <n v="20"/>
    <x v="0"/>
    <n v="34"/>
    <x v="0"/>
    <x v="1"/>
    <x v="1"/>
  </r>
  <r>
    <n v="34"/>
    <x v="6"/>
    <x v="33"/>
    <n v="22"/>
    <x v="1"/>
    <n v="33"/>
    <x v="0"/>
    <x v="0"/>
    <x v="1"/>
  </r>
  <r>
    <n v="35"/>
    <x v="7"/>
    <x v="34"/>
    <n v="24"/>
    <x v="5"/>
    <n v="15"/>
    <x v="2"/>
    <x v="2"/>
    <x v="2"/>
  </r>
  <r>
    <n v="36"/>
    <x v="8"/>
    <x v="35"/>
    <n v="2"/>
    <x v="1"/>
    <n v="19"/>
    <x v="0"/>
    <x v="0"/>
    <x v="0"/>
  </r>
  <r>
    <n v="37"/>
    <x v="9"/>
    <x v="36"/>
    <n v="4"/>
    <x v="0"/>
    <n v="27"/>
    <x v="2"/>
    <x v="0"/>
    <x v="1"/>
  </r>
  <r>
    <n v="38"/>
    <x v="10"/>
    <x v="37"/>
    <n v="6"/>
    <x v="6"/>
    <n v="35"/>
    <x v="0"/>
    <x v="1"/>
    <x v="0"/>
  </r>
  <r>
    <n v="39"/>
    <x v="10"/>
    <x v="38"/>
    <n v="8"/>
    <x v="4"/>
    <n v="36"/>
    <x v="0"/>
    <x v="1"/>
    <x v="0"/>
  </r>
  <r>
    <n v="40"/>
    <x v="11"/>
    <x v="39"/>
    <n v="10"/>
    <x v="0"/>
    <n v="17"/>
    <x v="3"/>
    <x v="0"/>
    <x v="3"/>
  </r>
  <r>
    <n v="41"/>
    <x v="12"/>
    <x v="40"/>
    <n v="12"/>
    <x v="0"/>
    <n v="37"/>
    <x v="0"/>
    <x v="1"/>
    <x v="1"/>
  </r>
  <r>
    <n v="42"/>
    <x v="11"/>
    <x v="41"/>
    <n v="2"/>
    <x v="1"/>
    <n v="18"/>
    <x v="0"/>
    <x v="0"/>
    <x v="0"/>
  </r>
  <r>
    <n v="43"/>
    <x v="12"/>
    <x v="42"/>
    <n v="14"/>
    <x v="7"/>
    <n v="20"/>
    <x v="0"/>
    <x v="1"/>
    <x v="1"/>
  </r>
  <r>
    <n v="44"/>
    <x v="6"/>
    <x v="43"/>
    <n v="16"/>
    <x v="0"/>
    <n v="31"/>
    <x v="0"/>
    <x v="1"/>
    <x v="1"/>
  </r>
  <r>
    <n v="45"/>
    <x v="7"/>
    <x v="44"/>
    <n v="18"/>
    <x v="1"/>
    <n v="22"/>
    <x v="2"/>
    <x v="0"/>
    <x v="2"/>
  </r>
  <r>
    <n v="46"/>
    <x v="8"/>
    <x v="45"/>
    <n v="20"/>
    <x v="0"/>
    <n v="15"/>
    <x v="1"/>
    <x v="0"/>
    <x v="1"/>
  </r>
  <r>
    <n v="47"/>
    <x v="9"/>
    <x v="46"/>
    <n v="22"/>
    <x v="8"/>
    <n v="19"/>
    <x v="2"/>
    <x v="2"/>
    <x v="2"/>
  </r>
  <r>
    <n v="48"/>
    <x v="10"/>
    <x v="47"/>
    <n v="24"/>
    <x v="2"/>
    <n v="27"/>
    <x v="2"/>
    <x v="2"/>
    <x v="2"/>
  </r>
  <r>
    <n v="49"/>
    <x v="10"/>
    <x v="48"/>
    <n v="3"/>
    <x v="9"/>
    <n v="35"/>
    <x v="2"/>
    <x v="0"/>
    <x v="1"/>
  </r>
  <r>
    <n v="50"/>
    <x v="11"/>
    <x v="49"/>
    <n v="5"/>
    <x v="10"/>
    <n v="36"/>
    <x v="0"/>
    <x v="1"/>
    <x v="0"/>
  </r>
  <r>
    <n v="51"/>
    <x v="12"/>
    <x v="50"/>
    <n v="6"/>
    <x v="11"/>
    <n v="42"/>
    <x v="0"/>
    <x v="1"/>
    <x v="0"/>
  </r>
  <r>
    <n v="52"/>
    <x v="11"/>
    <x v="51"/>
    <n v="8"/>
    <x v="1"/>
    <n v="37"/>
    <x v="3"/>
    <x v="0"/>
    <x v="1"/>
  </r>
  <r>
    <n v="53"/>
    <x v="12"/>
    <x v="52"/>
    <n v="9"/>
    <x v="8"/>
    <n v="18"/>
    <x v="0"/>
    <x v="1"/>
    <x v="0"/>
  </r>
  <r>
    <n v="54"/>
    <x v="6"/>
    <x v="53"/>
    <n v="5"/>
    <x v="10"/>
    <n v="20"/>
    <x v="0"/>
    <x v="1"/>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n v="1"/>
    <x v="0"/>
    <x v="0"/>
    <n v="2016"/>
    <d v="2016-01-02T00:00:00"/>
    <s v="Anny Lorena Lezcano Parra"/>
    <n v="1"/>
    <n v="37"/>
    <n v="36"/>
    <x v="0"/>
    <s v="Riesgo muy elevado"/>
    <s v="Estancia baja"/>
    <n v="23"/>
    <s v="23/1/2016"/>
  </r>
  <r>
    <n v="2"/>
    <x v="1"/>
    <x v="0"/>
    <n v="2016"/>
    <d v="2016-01-07T00:00:00"/>
    <s v="Cruz Islayd Alfaro Serna"/>
    <n v="2"/>
    <n v="38"/>
    <n v="19"/>
    <x v="1"/>
    <s v="Riesgo muy elevado"/>
    <s v="No aplica"/>
    <n v="1"/>
    <s v="1/1/2016"/>
  </r>
  <r>
    <n v="3"/>
    <x v="2"/>
    <x v="0"/>
    <n v="2016"/>
    <d v="2016-01-08T00:00:00"/>
    <s v="Daniela  Zuluaga Robles"/>
    <n v="3"/>
    <n v="31"/>
    <n v="28"/>
    <x v="2"/>
    <s v="Riesgo muy elevado"/>
    <s v="No aplica"/>
    <n v="30"/>
    <s v="30/1/2016"/>
  </r>
  <r>
    <n v="4"/>
    <x v="2"/>
    <x v="0"/>
    <n v="2016"/>
    <d v="2016-01-08T00:00:00"/>
    <s v="Liz Nayibe Rada Henao"/>
    <n v="4"/>
    <n v="37"/>
    <n v="23"/>
    <x v="2"/>
    <s v="Riesgo muy elevado"/>
    <s v="No aplica"/>
    <n v="30"/>
    <s v="30/1/2016"/>
  </r>
  <r>
    <n v="5"/>
    <x v="2"/>
    <x v="0"/>
    <n v="2016"/>
    <d v="2016-01-08T00:00:00"/>
    <s v="Juliana  Murillo Rodriguez"/>
    <n v="5"/>
    <n v="22"/>
    <n v="29"/>
    <x v="2"/>
    <s v="Riesgo muy elevado"/>
    <s v="No aplica"/>
    <n v="14"/>
    <s v="14/1/2016"/>
  </r>
  <r>
    <n v="6"/>
    <x v="3"/>
    <x v="0"/>
    <n v="2016"/>
    <d v="2016-01-06T00:00:00"/>
    <s v="Maritza Alejandra Chalarca Arias"/>
    <n v="6"/>
    <n v="37"/>
    <n v="23"/>
    <x v="0"/>
    <s v="Riesgo moderado"/>
    <s v="Estancia baja"/>
    <n v="28"/>
    <s v="28/1/2016"/>
  </r>
  <r>
    <n v="7"/>
    <x v="3"/>
    <x v="0"/>
    <n v="2016"/>
    <d v="2016-01-06T00:00:00"/>
    <s v="Isabel Cristina Ibarra Monsalve"/>
    <n v="7"/>
    <n v="39"/>
    <n v="27"/>
    <x v="0"/>
    <s v="Riesgo moderado"/>
    <s v="Estancia baja"/>
    <n v="8"/>
    <s v="8/1/2016"/>
  </r>
  <r>
    <n v="8"/>
    <x v="3"/>
    <x v="0"/>
    <n v="2016"/>
    <d v="2016-01-06T00:00:00"/>
    <s v="Carolina Maria Giraldo Giraldo"/>
    <n v="8"/>
    <n v="37"/>
    <n v="29"/>
    <x v="3"/>
    <s v="Riesgo muy elevado"/>
    <s v="No aplica"/>
    <n v="28"/>
    <s v="28/1/2016"/>
  </r>
  <r>
    <n v="9"/>
    <x v="4"/>
    <x v="0"/>
    <n v="2016"/>
    <d v="2016-01-04T00:00:00"/>
    <s v="Eliana Patricia Torres Noreña"/>
    <n v="9"/>
    <n v="38"/>
    <n v="29"/>
    <x v="0"/>
    <s v="Riesgo moderado"/>
    <s v="Estancia baja"/>
    <n v="3"/>
    <s v="3/1/2016"/>
  </r>
  <r>
    <n v="10"/>
    <x v="2"/>
    <x v="0"/>
    <n v="2016"/>
    <d v="2016-01-08T00:00:00"/>
    <s v="Luisa Fernanda David Gonzalez"/>
    <n v="10"/>
    <n v="16"/>
    <n v="21"/>
    <x v="0"/>
    <s v="Riesgo moderado"/>
    <s v="No aplica"/>
    <n v="23"/>
    <s v="23/1/2016"/>
  </r>
  <r>
    <n v="11"/>
    <x v="5"/>
    <x v="0"/>
    <n v="2016"/>
    <d v="2016-01-13T00:00:00"/>
    <s v="Diana  Alvarez Zapata"/>
    <n v="11"/>
    <n v="38"/>
    <n v="34"/>
    <x v="0"/>
    <s v="Riesgo moderado"/>
    <s v="No aplica"/>
    <n v="26"/>
    <s v="26/1/2016"/>
  </r>
  <r>
    <n v="12"/>
    <x v="5"/>
    <x v="0"/>
    <n v="2016"/>
    <d v="2016-01-13T00:00:00"/>
    <s v="Mahyvi Johanna Raga Rueda"/>
    <n v="12"/>
    <n v="37"/>
    <n v="33"/>
    <x v="0"/>
    <s v="Riesgo moderado"/>
    <s v="No aplica"/>
    <n v="1"/>
    <s v="1/1/2016"/>
  </r>
  <r>
    <n v="13"/>
    <x v="5"/>
    <x v="0"/>
    <n v="2016"/>
    <d v="2016-01-13T00:00:00"/>
    <s v="Maria Catalina Arango "/>
    <n v="13"/>
    <n v="32"/>
    <n v="15"/>
    <x v="2"/>
    <s v="Riesgo muy elevado"/>
    <s v="No aplica"/>
    <n v="4"/>
    <s v="4/1/2016"/>
  </r>
  <r>
    <n v="14"/>
    <x v="6"/>
    <x v="0"/>
    <n v="2016"/>
    <d v="2016-01-22T00:00:00"/>
    <s v="Yeni Banesa Diez Rodriguez"/>
    <n v="14"/>
    <n v="39"/>
    <n v="19"/>
    <x v="0"/>
    <s v="Riesgo moderado"/>
    <s v="No aplica"/>
    <n v="11"/>
    <s v="11/1/2016"/>
  </r>
  <r>
    <n v="15"/>
    <x v="7"/>
    <x v="0"/>
    <n v="2016"/>
    <d v="2016-01-18T00:00:00"/>
    <s v="Beatriz Eugenia Palacios Pizarro"/>
    <n v="15"/>
    <n v="37"/>
    <n v="27"/>
    <x v="2"/>
    <s v="Riesgo muy elevado"/>
    <s v="No aplica"/>
    <n v="18"/>
    <s v="18/1/2016"/>
  </r>
  <r>
    <n v="16"/>
    <x v="8"/>
    <x v="0"/>
    <n v="2016"/>
    <d v="2016-01-23T00:00:00"/>
    <s v="Yuliana  Vargas Ramos"/>
    <n v="16"/>
    <n v="37"/>
    <n v="35"/>
    <x v="0"/>
    <s v="Riesgo moderado"/>
    <s v="No aplica"/>
    <n v="27"/>
    <s v="27/1/2016"/>
  </r>
  <r>
    <n v="17"/>
    <x v="9"/>
    <x v="0"/>
    <n v="2016"/>
    <d v="2016-01-20T00:00:00"/>
    <s v="Laura Marcela Metaute Ramirez"/>
    <n v="17"/>
    <n v="38"/>
    <n v="36"/>
    <x v="0"/>
    <s v="Riesgo moderado"/>
    <s v="No aplica"/>
    <n v="18"/>
    <s v="18/1/2016"/>
  </r>
  <r>
    <n v="18"/>
    <x v="10"/>
    <x v="0"/>
    <n v="2016"/>
    <d v="2016-01-26T00:00:00"/>
    <s v="Natalia  Jimenez Alvarez"/>
    <n v="18"/>
    <n v="18"/>
    <n v="42"/>
    <x v="3"/>
    <s v="Riesgo muy elevado"/>
    <s v="No aplica"/>
    <n v="23"/>
    <s v="23/1/2016"/>
  </r>
  <r>
    <n v="19"/>
    <x v="10"/>
    <x v="0"/>
    <n v="2016"/>
    <d v="2016-01-26T00:00:00"/>
    <s v="Lucidia Margarita Bolivar Valencia"/>
    <n v="19"/>
    <n v="37"/>
    <n v="37"/>
    <x v="0"/>
    <s v="Riesgo moderado"/>
    <s v="No aplica"/>
    <n v="7"/>
    <s v="7/1/2016"/>
  </r>
  <r>
    <n v="20"/>
    <x v="11"/>
    <x v="1"/>
    <n v="2016"/>
    <d v="2016-03-10T00:00:00"/>
    <s v="Maria Sorely Osorio Ledesma"/>
    <n v="20"/>
    <n v="38"/>
    <n v="18"/>
    <x v="0"/>
    <s v="Riesgo moderado"/>
    <s v="No aplica"/>
    <n v="29"/>
    <s v="29/1/2016"/>
  </r>
  <r>
    <n v="21"/>
    <x v="1"/>
    <x v="1"/>
    <n v="2016"/>
    <d v="2016-03-07T00:00:00"/>
    <s v="Yeimy Shirley Carvajal Salinas"/>
    <n v="21"/>
    <n v="37"/>
    <n v="20"/>
    <x v="0"/>
    <s v="Riesgo muy elevado"/>
    <s v="No aplica"/>
    <n v="22"/>
    <s v="22/1/2016"/>
  </r>
  <r>
    <n v="22"/>
    <x v="11"/>
    <x v="1"/>
    <n v="2016"/>
    <d v="2016-03-10T00:00:00"/>
    <s v="Andrea  Pajon Herrera"/>
    <n v="22"/>
    <n v="29"/>
    <n v="16"/>
    <x v="0"/>
    <s v="Riesgo muy elevado"/>
    <s v="No aplica"/>
    <n v="14"/>
    <s v="14/1/2016"/>
  </r>
  <r>
    <n v="23"/>
    <x v="1"/>
    <x v="1"/>
    <n v="2016"/>
    <d v="2016-03-07T00:00:00"/>
    <s v="Liz Argenis Sanchez Perez"/>
    <n v="23"/>
    <n v="31"/>
    <n v="22"/>
    <x v="2"/>
    <s v="Riesgo alto"/>
    <s v="Estancia alta"/>
    <n v="5"/>
    <s v="5/1/2016"/>
  </r>
  <r>
    <n v="24"/>
    <x v="6"/>
    <x v="0"/>
    <n v="2016"/>
    <d v="2016-01-22T00:00:00"/>
    <s v="Angela Patricia Naranjo Alvarez"/>
    <n v="2"/>
    <n v="25"/>
    <n v="14"/>
    <x v="1"/>
    <s v="Riesgo muy elevado"/>
    <s v="No aplica"/>
    <n v="12"/>
    <s v="12/1/2016"/>
  </r>
  <r>
    <n v="25"/>
    <x v="7"/>
    <x v="0"/>
    <n v="2016"/>
    <d v="2016-01-18T00:00:00"/>
    <s v="Linda Vanessa Noreña Perez"/>
    <n v="4"/>
    <n v="25"/>
    <n v="28"/>
    <x v="2"/>
    <s v="Riesgo muy elevado"/>
    <s v="No aplica"/>
    <n v="28"/>
    <s v="28/1/2016"/>
  </r>
  <r>
    <n v="26"/>
    <x v="8"/>
    <x v="0"/>
    <n v="2016"/>
    <d v="2016-01-23T00:00:00"/>
    <s v="Aury Estela Rodriguez Aristizabal"/>
    <n v="6"/>
    <n v="37"/>
    <n v="23"/>
    <x v="2"/>
    <s v="Riesgo muy elevado"/>
    <s v="No aplica"/>
    <n v="29"/>
    <s v="29/1/2016"/>
  </r>
  <r>
    <n v="27"/>
    <x v="9"/>
    <x v="0"/>
    <n v="2016"/>
    <d v="2016-01-20T00:00:00"/>
    <s v="Maria Alejandra Coneo Ocampo"/>
    <n v="8"/>
    <n v="38"/>
    <n v="29"/>
    <x v="2"/>
    <s v="Riesgo muy elevado"/>
    <s v="No aplica"/>
    <n v="7"/>
    <s v="7/1/2016"/>
  </r>
  <r>
    <n v="28"/>
    <x v="10"/>
    <x v="0"/>
    <n v="2016"/>
    <d v="2016-01-26T00:00:00"/>
    <s v="Silvia Johana Hurtado Paredes"/>
    <n v="10"/>
    <n v="31"/>
    <n v="23"/>
    <x v="0"/>
    <s v="Riesgo moderado"/>
    <s v="No aplica"/>
    <n v="9"/>
    <s v="9/1/2016"/>
  </r>
  <r>
    <n v="29"/>
    <x v="10"/>
    <x v="0"/>
    <n v="2016"/>
    <d v="2016-01-26T00:00:00"/>
    <s v="Angelica Yoana Rodriguez Alzate"/>
    <n v="12"/>
    <n v="37"/>
    <n v="27"/>
    <x v="0"/>
    <s v="Riesgo moderado"/>
    <s v="No aplica"/>
    <n v="8"/>
    <s v="8/1/2016"/>
  </r>
  <r>
    <n v="30"/>
    <x v="11"/>
    <x v="1"/>
    <n v="2016"/>
    <d v="2016-03-10T00:00:00"/>
    <s v="Maria Paula Yepes Quiñonez"/>
    <n v="14"/>
    <n v="22"/>
    <n v="29"/>
    <x v="3"/>
    <s v="Riesgo muy elevado"/>
    <s v="Estancia media"/>
    <n v="3"/>
    <s v="3/1/2016"/>
  </r>
  <r>
    <n v="31"/>
    <x v="1"/>
    <x v="1"/>
    <n v="2016"/>
    <d v="2016-03-07T00:00:00"/>
    <s v="Liliana Yaneth Saldarriaga Castañeda"/>
    <n v="16"/>
    <n v="37"/>
    <n v="29"/>
    <x v="0"/>
    <s v="Riesgo moderado"/>
    <s v="No aplica"/>
    <n v="13"/>
    <s v="13/1/2016"/>
  </r>
  <r>
    <n v="32"/>
    <x v="11"/>
    <x v="1"/>
    <n v="2016"/>
    <d v="2016-03-10T00:00:00"/>
    <s v="Marilyn  Piedrahita Velez"/>
    <n v="18"/>
    <n v="39"/>
    <n v="21"/>
    <x v="0"/>
    <s v="Riesgo moderado"/>
    <s v="No aplica"/>
    <n v="11"/>
    <s v="11/1/2016"/>
  </r>
  <r>
    <n v="33"/>
    <x v="1"/>
    <x v="1"/>
    <n v="2016"/>
    <d v="2016-03-07T00:00:00"/>
    <s v="Suany Janneth Ramirez Gonzalez"/>
    <n v="20"/>
    <n v="37"/>
    <n v="34"/>
    <x v="0"/>
    <s v="Riesgo moderado"/>
    <s v="No aplica"/>
    <n v="14"/>
    <s v="14/1/2016"/>
  </r>
  <r>
    <n v="34"/>
    <x v="6"/>
    <x v="0"/>
    <n v="2016"/>
    <d v="2016-01-22T00:00:00"/>
    <s v="Yesica Paola Sanchez Betancur"/>
    <n v="22"/>
    <n v="38"/>
    <n v="33"/>
    <x v="0"/>
    <s v="Riesgo muy elevado"/>
    <s v="No aplica"/>
    <n v="23"/>
    <s v="23/1/2016"/>
  </r>
  <r>
    <n v="35"/>
    <x v="7"/>
    <x v="0"/>
    <n v="2016"/>
    <d v="2016-01-18T00:00:00"/>
    <s v="Ebilin Tatiana Cossio Rendon"/>
    <n v="24"/>
    <n v="16"/>
    <n v="15"/>
    <x v="2"/>
    <s v="Riesgo alto"/>
    <s v="Estancia alta"/>
    <n v="1"/>
    <s v="1/1/2016"/>
  </r>
  <r>
    <n v="36"/>
    <x v="8"/>
    <x v="0"/>
    <n v="2016"/>
    <d v="2016-01-23T00:00:00"/>
    <s v="Katherine  Pastrana Henao"/>
    <n v="2"/>
    <n v="38"/>
    <n v="19"/>
    <x v="0"/>
    <s v="Riesgo muy elevado"/>
    <s v="Estancia baja"/>
    <n v="17"/>
    <s v="17/1/2016"/>
  </r>
  <r>
    <n v="37"/>
    <x v="9"/>
    <x v="0"/>
    <n v="2016"/>
    <d v="2016-01-20T00:00:00"/>
    <s v="Yury Estefania Afanador Aguedelo"/>
    <n v="4"/>
    <n v="37"/>
    <n v="27"/>
    <x v="2"/>
    <s v="Riesgo muy elevado"/>
    <s v="No aplica"/>
    <n v="17"/>
    <s v="17/1/2016"/>
  </r>
  <r>
    <n v="38"/>
    <x v="10"/>
    <x v="0"/>
    <n v="2016"/>
    <d v="2016-01-26T00:00:00"/>
    <s v="Isabel Cristina Aldana Garcia"/>
    <n v="6"/>
    <n v="32"/>
    <n v="35"/>
    <x v="0"/>
    <s v="Riesgo moderado"/>
    <s v="Estancia baja"/>
    <n v="9"/>
    <s v="9/1/2016"/>
  </r>
  <r>
    <n v="39"/>
    <x v="10"/>
    <x v="0"/>
    <n v="2016"/>
    <d v="2016-01-26T00:00:00"/>
    <s v="Katerine  Zapata Bedoya"/>
    <n v="8"/>
    <n v="39"/>
    <n v="36"/>
    <x v="0"/>
    <s v="Riesgo moderado"/>
    <s v="Estancia baja"/>
    <n v="10"/>
    <s v="10/1/2016"/>
  </r>
  <r>
    <n v="40"/>
    <x v="11"/>
    <x v="1"/>
    <n v="2016"/>
    <d v="2016-03-10T00:00:00"/>
    <s v="Veronica Leandra Vargas Zabala"/>
    <n v="10"/>
    <n v="37"/>
    <n v="17"/>
    <x v="3"/>
    <s v="Riesgo muy elevado"/>
    <s v="Estancia media"/>
    <n v="4"/>
    <s v="4/1/2016"/>
  </r>
  <r>
    <n v="41"/>
    <x v="1"/>
    <x v="1"/>
    <n v="2016"/>
    <d v="2016-03-07T00:00:00"/>
    <s v="Olga Lucia Salazar Muñoz"/>
    <n v="12"/>
    <n v="37"/>
    <n v="37"/>
    <x v="0"/>
    <s v="Riesgo moderado"/>
    <s v="No aplica"/>
    <n v="18"/>
    <s v="18/1/2016"/>
  </r>
  <r>
    <n v="42"/>
    <x v="11"/>
    <x v="1"/>
    <n v="2016"/>
    <d v="2016-03-10T00:00:00"/>
    <s v="Francia Elena Arias Marquez"/>
    <n v="2"/>
    <n v="38"/>
    <n v="18"/>
    <x v="0"/>
    <s v="Riesgo muy elevado"/>
    <s v="Estancia baja"/>
    <n v="16"/>
    <s v="16/1/2016"/>
  </r>
  <r>
    <n v="43"/>
    <x v="1"/>
    <x v="1"/>
    <n v="2016"/>
    <d v="2016-03-07T00:00:00"/>
    <s v="Luisa Fernanda Herrera Araque"/>
    <n v="14"/>
    <n v="18"/>
    <n v="20"/>
    <x v="0"/>
    <s v="Riesgo moderado"/>
    <s v="No aplica"/>
    <n v="8"/>
    <s v="8/1/2016"/>
  </r>
  <r>
    <n v="44"/>
    <x v="6"/>
    <x v="0"/>
    <n v="2016"/>
    <d v="2016-01-22T00:00:00"/>
    <s v="Luz Adriana Dimas Hurtado"/>
    <n v="16"/>
    <n v="37"/>
    <n v="31"/>
    <x v="0"/>
    <s v="Riesgo moderado"/>
    <s v="No aplica"/>
    <n v="26"/>
    <s v="26/1/2016"/>
  </r>
  <r>
    <n v="45"/>
    <x v="7"/>
    <x v="0"/>
    <n v="2016"/>
    <d v="2016-01-18T00:00:00"/>
    <s v="Ana Maria Martinez Lopez"/>
    <n v="18"/>
    <n v="38"/>
    <n v="22"/>
    <x v="2"/>
    <s v="Riesgo muy elevado"/>
    <s v="Estancia alta"/>
    <n v="5"/>
    <s v="5/1/2016"/>
  </r>
  <r>
    <n v="46"/>
    <x v="8"/>
    <x v="0"/>
    <n v="2016"/>
    <d v="2016-01-23T00:00:00"/>
    <s v="Liney Ester Velez Barrios"/>
    <n v="20"/>
    <n v="37"/>
    <n v="15"/>
    <x v="1"/>
    <s v="Riesgo muy elevado"/>
    <s v="No aplica"/>
    <n v="14"/>
    <s v="14/1/2016"/>
  </r>
  <r>
    <n v="47"/>
    <x v="9"/>
    <x v="0"/>
    <n v="2016"/>
    <d v="2016-01-20T00:00:00"/>
    <s v="Yeysy Andrea Gomez Castrillon"/>
    <n v="22"/>
    <n v="29"/>
    <n v="19"/>
    <x v="2"/>
    <s v="Riesgo alto"/>
    <s v="Estancia alta"/>
    <n v="3"/>
    <s v="3/1/2016"/>
  </r>
  <r>
    <n v="48"/>
    <x v="10"/>
    <x v="0"/>
    <n v="2016"/>
    <d v="2016-01-26T00:00:00"/>
    <s v="Laura Marcela Quirama Villegas"/>
    <n v="24"/>
    <n v="31"/>
    <n v="27"/>
    <x v="2"/>
    <s v="Riesgo alto"/>
    <s v="Estancia alta"/>
    <n v="27"/>
    <s v="27/1/2016"/>
  </r>
  <r>
    <n v="49"/>
    <x v="10"/>
    <x v="0"/>
    <n v="2016"/>
    <d v="2016-01-26T00:00:00"/>
    <s v="Ana Maria Restrepo Villada"/>
    <n v="3"/>
    <n v="25"/>
    <n v="35"/>
    <x v="2"/>
    <s v="Riesgo muy elevado"/>
    <s v="No aplica"/>
    <n v="29"/>
    <s v="29/1/2016"/>
  </r>
  <r>
    <n v="50"/>
    <x v="11"/>
    <x v="1"/>
    <n v="2016"/>
    <d v="2016-03-10T00:00:00"/>
    <s v="Gloria Patricia Gutierrez Mejia"/>
    <n v="5"/>
    <n v="24"/>
    <n v="36"/>
    <x v="0"/>
    <s v="Riesgo moderado"/>
    <s v="Estancia baja"/>
    <n v="25"/>
    <s v="25/1/2016"/>
  </r>
  <r>
    <n v="51"/>
    <x v="1"/>
    <x v="1"/>
    <n v="2016"/>
    <d v="2016-03-07T00:00:00"/>
    <s v="Sandra Milena Velasquez Echeverry"/>
    <n v="6"/>
    <n v="36"/>
    <n v="42"/>
    <x v="0"/>
    <s v="Riesgo moderado"/>
    <s v="Estancia baja"/>
    <n v="17"/>
    <s v="17/1/2016"/>
  </r>
  <r>
    <n v="52"/>
    <x v="11"/>
    <x v="1"/>
    <n v="2016"/>
    <d v="2016-03-10T00:00:00"/>
    <s v="Mirta Janet Montoya Galvis"/>
    <n v="8"/>
    <n v="38"/>
    <n v="37"/>
    <x v="3"/>
    <s v="Riesgo muy elevado"/>
    <s v="No aplica"/>
    <n v="14"/>
    <s v="14/1/2016"/>
  </r>
  <r>
    <n v="53"/>
    <x v="1"/>
    <x v="1"/>
    <n v="2016"/>
    <d v="2016-03-07T00:00:00"/>
    <s v="Dorany Maria Villa Puerta"/>
    <n v="9"/>
    <n v="29"/>
    <n v="18"/>
    <x v="0"/>
    <s v="Riesgo moderado"/>
    <s v="Estancia baja"/>
    <n v="20"/>
    <s v="20/1/2016"/>
  </r>
  <r>
    <n v="54"/>
    <x v="6"/>
    <x v="0"/>
    <n v="2016"/>
    <d v="2016-01-22T00:00:00"/>
    <s v="Yuledis  Ciro Misas"/>
    <n v="5"/>
    <n v="24"/>
    <n v="20"/>
    <x v="0"/>
    <s v="Riesgo moderado"/>
    <s v="Estancia baja"/>
    <n v="8"/>
    <s v="8/1/20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0B2A77-5F75-4D6C-9D36-A502D0A8D998}" name="TablaDinámica1"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3">
  <location ref="A1:B6" firstHeaderRow="1" firstDataRow="1" firstDataCol="1"/>
  <pivotFields count="1">
    <pivotField axis="axisRow" dataField="1" showAll="0">
      <items count="5">
        <item x="2"/>
        <item x="1"/>
        <item x="3"/>
        <item x="0"/>
        <item t="default"/>
      </items>
    </pivotField>
  </pivotFields>
  <rowFields count="1">
    <field x="0"/>
  </rowFields>
  <rowItems count="5">
    <i>
      <x/>
    </i>
    <i>
      <x v="1"/>
    </i>
    <i>
      <x v="2"/>
    </i>
    <i>
      <x v="3"/>
    </i>
    <i t="grand">
      <x/>
    </i>
  </rowItems>
  <colItems count="1">
    <i/>
  </colItems>
  <dataFields count="1">
    <dataField name="Cuenta de Causa agrupada"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2CE271-8374-4567-B03F-D3CB66269399}" name="TablaDinámica2" cacheId="3" applyNumberFormats="0" applyBorderFormats="0" applyFontFormats="0" applyPatternFormats="0" applyAlignmentFormats="0" applyWidthHeightFormats="1" dataCaption="Valores" updatedVersion="6" minRefreshableVersion="3" useAutoFormatting="1" itemPrintTitles="1" createdVersion="6" indent="0" showHeaders="0" outline="1" outlineData="1" multipleFieldFilters="0" rowHeaderCaption="Causa agrupada" colHeaderCaption="Clasificación del riesgo">
  <location ref="B19:J25" firstHeaderRow="0" firstDataRow="2" firstDataCol="1"/>
  <pivotFields count="11">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3">
        <item x="5"/>
        <item x="7"/>
        <item x="3"/>
        <item x="10"/>
        <item x="9"/>
        <item x="8"/>
        <item x="2"/>
        <item x="6"/>
        <item x="11"/>
        <item x="0"/>
        <item x="1"/>
        <item x="4"/>
        <item t="default"/>
      </items>
    </pivotField>
    <pivotField numFmtId="1" showAll="0"/>
    <pivotField axis="axisRow" dataField="1" showAll="0">
      <items count="5">
        <item x="2"/>
        <item x="1"/>
        <item x="3"/>
        <item x="0"/>
        <item t="default"/>
      </items>
    </pivotField>
    <pivotField axis="axisCol" showAll="0">
      <items count="4">
        <item x="2"/>
        <item x="1"/>
        <item x="0"/>
        <item t="default"/>
      </items>
    </pivotField>
    <pivotField showAll="0"/>
    <pivotField dataField="1" dragToRow="0" dragToCol="0" dragToPage="0" showAll="0" defaultSubtotal="0"/>
    <pivotField showAll="0">
      <items count="15">
        <item x="0"/>
        <item x="1"/>
        <item x="2"/>
        <item x="3"/>
        <item x="4"/>
        <item x="5"/>
        <item x="6"/>
        <item x="7"/>
        <item x="8"/>
        <item x="9"/>
        <item x="10"/>
        <item x="11"/>
        <item x="12"/>
        <item x="13"/>
        <item t="default"/>
      </items>
    </pivotField>
  </pivotFields>
  <rowFields count="1">
    <field x="6"/>
  </rowFields>
  <rowItems count="5">
    <i>
      <x/>
    </i>
    <i>
      <x v="1"/>
    </i>
    <i>
      <x v="2"/>
    </i>
    <i>
      <x v="3"/>
    </i>
    <i t="grand">
      <x/>
    </i>
  </rowItems>
  <colFields count="2">
    <field x="7"/>
    <field x="-2"/>
  </colFields>
  <colItems count="8">
    <i>
      <x/>
      <x/>
    </i>
    <i r="1" i="1">
      <x v="1"/>
    </i>
    <i>
      <x v="1"/>
      <x/>
    </i>
    <i r="1" i="1">
      <x v="1"/>
    </i>
    <i>
      <x v="2"/>
      <x/>
    </i>
    <i r="1" i="1">
      <x v="1"/>
    </i>
    <i t="grand">
      <x/>
    </i>
    <i t="grand" i="1">
      <x/>
    </i>
  </colItems>
  <dataFields count="2">
    <dataField name="Cuenta Causa agrupada" fld="6" subtotal="count" baseField="6" baseItem="0"/>
    <dataField name="Costo de  atención" fld="9" baseField="6" baseItem="2"/>
  </dataFields>
  <formats count="16">
    <format dxfId="15">
      <pivotArea type="topRight" dataOnly="0" labelOnly="1" outline="0" fieldPosition="0"/>
    </format>
    <format dxfId="14">
      <pivotArea dataOnly="0" labelOnly="1" outline="0" fieldPosition="0">
        <references count="2">
          <reference field="4294967294" count="1">
            <x v="0"/>
          </reference>
          <reference field="7" count="1" selected="0">
            <x v="1"/>
          </reference>
        </references>
      </pivotArea>
    </format>
    <format dxfId="13">
      <pivotArea dataOnly="0" labelOnly="1" fieldPosition="0">
        <references count="1">
          <reference field="7" count="1">
            <x v="1"/>
          </reference>
        </references>
      </pivotArea>
    </format>
    <format dxfId="12">
      <pivotArea field="7" type="button" dataOnly="0" labelOnly="1" outline="0" axis="axisCol" fieldPosition="0"/>
    </format>
    <format dxfId="11">
      <pivotArea dataOnly="0" labelOnly="1" fieldPosition="0">
        <references count="1">
          <reference field="7" count="1">
            <x v="0"/>
          </reference>
        </references>
      </pivotArea>
    </format>
    <format dxfId="10">
      <pivotArea dataOnly="0" labelOnly="1" outline="0" fieldPosition="0">
        <references count="2">
          <reference field="4294967294" count="1">
            <x v="0"/>
          </reference>
          <reference field="7" count="1" selected="0">
            <x v="0"/>
          </reference>
        </references>
      </pivotArea>
    </format>
    <format dxfId="9">
      <pivotArea dataOnly="0" labelOnly="1" outline="0" fieldPosition="0">
        <references count="2">
          <reference field="4294967294" count="1">
            <x v="0"/>
          </reference>
          <reference field="7" count="1" selected="0">
            <x v="2"/>
          </reference>
        </references>
      </pivotArea>
    </format>
    <format dxfId="8">
      <pivotArea dataOnly="0" labelOnly="1" outline="0" fieldPosition="0">
        <references count="2">
          <reference field="4294967294" count="1">
            <x v="1"/>
          </reference>
          <reference field="7" count="1" selected="0">
            <x v="0"/>
          </reference>
        </references>
      </pivotArea>
    </format>
    <format dxfId="7">
      <pivotArea dataOnly="0" labelOnly="1" outline="0" fieldPosition="0">
        <references count="2">
          <reference field="4294967294" count="1">
            <x v="1"/>
          </reference>
          <reference field="7" count="1" selected="0">
            <x v="1"/>
          </reference>
        </references>
      </pivotArea>
    </format>
    <format dxfId="6">
      <pivotArea dataOnly="0" labelOnly="1" outline="0" fieldPosition="0">
        <references count="2">
          <reference field="4294967294" count="1">
            <x v="1"/>
          </reference>
          <reference field="7" count="1" selected="0">
            <x v="2"/>
          </reference>
        </references>
      </pivotArea>
    </format>
    <format dxfId="5">
      <pivotArea outline="0" collapsedLevelsAreSubtotals="1" fieldPosition="0">
        <references count="2">
          <reference field="4294967294" count="1" selected="0">
            <x v="1"/>
          </reference>
          <reference field="7" count="1" selected="0">
            <x v="0"/>
          </reference>
        </references>
      </pivotArea>
    </format>
    <format dxfId="4">
      <pivotArea outline="0" collapsedLevelsAreSubtotals="1" fieldPosition="0">
        <references count="2">
          <reference field="4294967294" count="1" selected="0">
            <x v="1"/>
          </reference>
          <reference field="7" count="1" selected="0">
            <x v="1"/>
          </reference>
        </references>
      </pivotArea>
    </format>
    <format dxfId="3">
      <pivotArea outline="0" collapsedLevelsAreSubtotals="1" fieldPosition="0">
        <references count="2">
          <reference field="4294967294" count="1" selected="0">
            <x v="1"/>
          </reference>
          <reference field="7" count="1" selected="0">
            <x v="2"/>
          </reference>
        </references>
      </pivotArea>
    </format>
    <format dxfId="2">
      <pivotArea field="7" grandCol="1" outline="0" collapsedLevelsAreSubtotals="1" axis="axisCol" fieldPosition="0">
        <references count="1">
          <reference field="4294967294" count="1" selected="0">
            <x v="1"/>
          </reference>
        </references>
      </pivotArea>
    </format>
    <format dxfId="1">
      <pivotArea field="7" dataOnly="0" labelOnly="1" grandCol="1" outline="0" axis="axisCol" fieldPosition="0">
        <references count="1">
          <reference field="4294967294" count="1" selected="0">
            <x v="0"/>
          </reference>
        </references>
      </pivotArea>
    </format>
    <format dxfId="0">
      <pivotArea field="7" dataOnly="0" labelOnly="1" grandCol="1" outline="0" axis="axisCol"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FFBE99-0A3F-4061-B6F4-E25BC8255829}" name="TablaDinámica5" cacheId="3" applyNumberFormats="0" applyBorderFormats="0" applyFontFormats="0" applyPatternFormats="0" applyAlignmentFormats="0" applyWidthHeightFormats="1" dataCaption="Valores" updatedVersion="6" minRefreshableVersion="5" useAutoFormatting="1" itemPrintTitles="1" createdVersion="6" indent="0" showHeaders="0" outline="1" outlineData="1" multipleFieldFilters="0" rowHeaderCaption="Causa agrupada">
  <location ref="E34:F39" firstHeaderRow="1" firstDataRow="1" firstDataCol="1"/>
  <pivotFields count="11">
    <pivotField dataField="1"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3">
        <item x="5"/>
        <item x="7"/>
        <item x="3"/>
        <item x="10"/>
        <item x="9"/>
        <item x="8"/>
        <item x="2"/>
        <item x="6"/>
        <item x="11"/>
        <item x="0"/>
        <item x="1"/>
        <item x="4"/>
        <item t="default"/>
      </items>
    </pivotField>
    <pivotField numFmtId="1" showAll="0"/>
    <pivotField axis="axisRow" showAll="0">
      <items count="5">
        <item x="2"/>
        <item x="1"/>
        <item x="3"/>
        <item x="0"/>
        <item t="default"/>
      </items>
    </pivotField>
    <pivotField showAll="0">
      <items count="4">
        <item x="2"/>
        <item x="1"/>
        <item x="0"/>
        <item t="default"/>
      </items>
    </pivotField>
    <pivotField showAll="0">
      <items count="5">
        <item x="2"/>
        <item x="0"/>
        <item x="3"/>
        <item x="1"/>
        <item t="default"/>
      </items>
    </pivotField>
    <pivotField dragToRow="0" dragToCol="0" dragToPage="0" showAll="0" defaultSubtotal="0"/>
    <pivotField showAll="0" defaultSubtotal="0"/>
  </pivotFields>
  <rowFields count="1">
    <field x="6"/>
  </rowFields>
  <rowItems count="5">
    <i>
      <x/>
    </i>
    <i>
      <x v="1"/>
    </i>
    <i>
      <x v="2"/>
    </i>
    <i>
      <x v="3"/>
    </i>
    <i t="grand">
      <x/>
    </i>
  </rowItems>
  <colItems count="1">
    <i/>
  </colItems>
  <dataFields count="1">
    <dataField name="Total"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2D84DC-0840-43E7-909D-02AC790F0B68}" name="TablaDinámica3" cacheId="3" applyNumberFormats="0" applyBorderFormats="0" applyFontFormats="0" applyPatternFormats="0" applyAlignmentFormats="0" applyWidthHeightFormats="1" dataCaption="Valores" updatedVersion="6" minRefreshableVersion="3" useAutoFormatting="1" itemPrintTitles="1" createdVersion="6" indent="0" showHeaders="0" outline="1" outlineData="1" multipleFieldFilters="0" rowHeaderCaption="Clasificación de complejidad de hospitalización">
  <location ref="F10:H14" firstHeaderRow="0" firstDataRow="1" firstDataCol="1"/>
  <pivotFields count="11">
    <pivotField dataField="1"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3">
        <item x="5"/>
        <item x="7"/>
        <item x="3"/>
        <item x="10"/>
        <item x="9"/>
        <item x="8"/>
        <item x="2"/>
        <item x="6"/>
        <item x="11"/>
        <item x="0"/>
        <item x="1"/>
        <item x="4"/>
        <item t="default"/>
      </items>
    </pivotField>
    <pivotField numFmtId="1" showAll="0"/>
    <pivotField showAll="0">
      <items count="5">
        <item x="2"/>
        <item x="1"/>
        <item x="3"/>
        <item x="0"/>
        <item t="default"/>
      </items>
    </pivotField>
    <pivotField axis="axisRow" showAll="0">
      <items count="4">
        <item x="2"/>
        <item x="1"/>
        <item x="0"/>
        <item t="default"/>
      </items>
    </pivotField>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Fields count="1">
    <field x="-2"/>
  </colFields>
  <colItems count="2">
    <i>
      <x/>
    </i>
    <i i="1">
      <x v="1"/>
    </i>
  </colItems>
  <dataFields count="2">
    <dataField name="Cuenta de id" fld="0" subtotal="count" baseField="7" baseItem="0"/>
    <dataField name="Porcentaje" fld="0" subtotal="count" showDataAs="percentOfTotal" baseField="7" baseItem="0" numFmtId="10"/>
  </dataFields>
  <formats count="2">
    <format dxfId="17">
      <pivotArea field="7" type="button" dataOnly="0" labelOnly="1" outline="0" axis="axisRow" fieldPosition="0"/>
    </format>
    <format dxfId="16">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B8CDA6-BFBA-4EFD-92DE-8F63784571DE}" name="TablaDinámica1" cacheId="3" applyNumberFormats="0" applyBorderFormats="0" applyFontFormats="0" applyPatternFormats="0" applyAlignmentFormats="0" applyWidthHeightFormats="1" dataCaption="Valores" updatedVersion="6" minRefreshableVersion="3" useAutoFormatting="1" itemPrintTitles="1" createdVersion="6" indent="0" showHeaders="0" outline="1" outlineData="1" multipleFieldFilters="0" rowHeaderCaption="Causa agrupada">
  <location ref="B10:D15" firstHeaderRow="0" firstDataRow="1" firstDataCol="1"/>
  <pivotFields count="11">
    <pivotField numFmtI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13">
        <item x="5"/>
        <item x="7"/>
        <item x="3"/>
        <item x="10"/>
        <item x="9"/>
        <item x="8"/>
        <item x="2"/>
        <item x="6"/>
        <item x="11"/>
        <item x="0"/>
        <item x="1"/>
        <item x="4"/>
        <item t="default"/>
      </items>
    </pivotField>
    <pivotField numFmtId="1" showAll="0"/>
    <pivotField axis="axisRow" dataField="1" showAll="0" countASubtotal="1">
      <items count="5">
        <item x="2"/>
        <item x="1"/>
        <item x="3"/>
        <item x="0"/>
        <item t="countA"/>
      </items>
    </pivotField>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s>
  <rowFields count="1">
    <field x="6"/>
  </rowFields>
  <rowItems count="5">
    <i>
      <x/>
    </i>
    <i>
      <x v="1"/>
    </i>
    <i>
      <x v="2"/>
    </i>
    <i>
      <x v="3"/>
    </i>
    <i t="grand">
      <x/>
    </i>
  </rowItems>
  <colFields count="1">
    <field x="-2"/>
  </colFields>
  <colItems count="2">
    <i>
      <x/>
    </i>
    <i i="1">
      <x v="1"/>
    </i>
  </colItems>
  <dataFields count="2">
    <dataField name="No" fld="6" subtotal="count" baseField="0" baseItem="0"/>
    <dataField name="Porcentaje" fld="6" subtotal="count" baseField="6" baseItem="0" numFmtId="10">
      <extLst>
        <ext xmlns:x14="http://schemas.microsoft.com/office/spreadsheetml/2009/9/main" uri="{E15A36E0-9728-4e99-A89B-3F7291B0FE68}">
          <x14:dataField pivotShowAs="percentOfParentRow"/>
        </ext>
      </extLst>
    </dataField>
  </dataFields>
  <formats count="4">
    <format dxfId="21">
      <pivotArea collapsedLevelsAreSubtotals="1" fieldPosition="0">
        <references count="2">
          <reference field="4294967294" count="1" selected="0">
            <x v="1"/>
          </reference>
          <reference field="6" count="1">
            <x v="0"/>
          </reference>
        </references>
      </pivotArea>
    </format>
    <format dxfId="20">
      <pivotArea collapsedLevelsAreSubtotals="1" fieldPosition="0">
        <references count="2">
          <reference field="4294967294" count="1" selected="0">
            <x v="1"/>
          </reference>
          <reference field="6" count="1">
            <x v="1"/>
          </reference>
        </references>
      </pivotArea>
    </format>
    <format dxfId="19">
      <pivotArea collapsedLevelsAreSubtotals="1" fieldPosition="0">
        <references count="2">
          <reference field="4294967294" count="1" selected="0">
            <x v="1"/>
          </reference>
          <reference field="6" count="1">
            <x v="2"/>
          </reference>
        </references>
      </pivotArea>
    </format>
    <format dxfId="18">
      <pivotArea collapsedLevelsAreSubtotals="1" fieldPosition="0">
        <references count="2">
          <reference field="4294967294" count="1" selected="0">
            <x v="1"/>
          </reference>
          <reference field="6"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A87FD1-AE5D-4B27-BF84-A82A475350E5}" name="TablaDinámica6"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ausa agrupada">
  <location ref="B30:C39" firstHeaderRow="1" firstDataRow="1" firstDataCol="1"/>
  <pivotFields count="14">
    <pivotField dataField="1" numFmtId="1" showAll="0"/>
    <pivotField numFmtId="1" showAll="0">
      <items count="13">
        <item x="0"/>
        <item x="4"/>
        <item x="3"/>
        <item x="1"/>
        <item x="2"/>
        <item x="11"/>
        <item x="5"/>
        <item x="7"/>
        <item x="9"/>
        <item x="6"/>
        <item x="8"/>
        <item x="10"/>
        <item t="default"/>
      </items>
    </pivotField>
    <pivotField axis="axisRow" numFmtId="1" showAll="0">
      <items count="7">
        <item x="0"/>
        <item x="1"/>
        <item x="2"/>
        <item x="3"/>
        <item x="4"/>
        <item x="5"/>
        <item t="default"/>
      </items>
    </pivotField>
    <pivotField numFmtId="1" showAll="0"/>
    <pivotField numFmtId="14" showAll="0"/>
    <pivotField showAll="0"/>
    <pivotField showAll="0"/>
    <pivotField showAll="0"/>
    <pivotField numFmtId="1" showAll="0"/>
    <pivotField axis="axisRow" showAll="0">
      <items count="5">
        <item x="2"/>
        <item x="1"/>
        <item x="3"/>
        <item x="0"/>
        <item t="default"/>
      </items>
    </pivotField>
    <pivotField showAll="0"/>
    <pivotField showAll="0"/>
    <pivotField showAll="0"/>
    <pivotField showAll="0"/>
  </pivotFields>
  <rowFields count="2">
    <field x="9"/>
    <field x="2"/>
  </rowFields>
  <rowItems count="9">
    <i>
      <x/>
    </i>
    <i r="1">
      <x v="1"/>
    </i>
    <i>
      <x v="1"/>
    </i>
    <i r="1">
      <x v="1"/>
    </i>
    <i>
      <x v="2"/>
    </i>
    <i r="1">
      <x v="1"/>
    </i>
    <i>
      <x v="3"/>
    </i>
    <i r="1">
      <x v="1"/>
    </i>
    <i t="grand">
      <x/>
    </i>
  </rowItems>
  <colItems count="1">
    <i/>
  </colItems>
  <dataFields count="1">
    <dataField name="Cuenta de id" fld="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lasificación_de_complejidad__de_hospitalización" xr10:uid="{5B1BE3F6-7323-473A-AEC8-0A23CA247C8B}" sourceName="Clasificación de complejidad  de hospitalización ">
  <pivotTables>
    <pivotTable tabId="5" name="TablaDinámica5"/>
  </pivotTables>
  <data>
    <tabular pivotCacheId="87612807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lasificación_de_estancia" xr10:uid="{3A5938A5-A29E-49C8-9110-217C569FFC42}" sourceName="Clasificación de estancia">
  <pivotTables>
    <pivotTable tabId="5" name="TablaDinámica5"/>
  </pivotTables>
  <data>
    <tabular pivotCacheId="876128075">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ificación de complejidad  de hospitalización " xr10:uid="{0C12CA57-B860-4288-8147-74625C1F60AE}" cache="SegmentaciónDeDatos_Clasificación_de_complejidad__de_hospitalización" caption="Clasificación de complejidad  de hospitalización " rowHeight="241300"/>
  <slicer name="Clasificación de estancia" xr10:uid="{4C0C9442-7603-4736-B9F6-19D50229E659}" cache="SegmentaciónDeDatos_Clasificación_de_estancia" caption="Clasificación de estancia" rowHeight="241300"/>
</slicer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echa_de_egreso_hospitalario" xr10:uid="{9A5FFDCD-A74B-4CD2-9A9B-2BD0E0DE76D3}" sourceName="Fecha de egreso hospitalario">
  <pivotTables>
    <pivotTable tabId="5" name="TablaDinámica5"/>
  </pivotTables>
  <state minimalRefreshVersion="6" lastRefreshVersion="6" pivotCacheId="876128075" filterType="unknown">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 de egreso hospitalario" xr10:uid="{4E7B3467-58B2-4A0F-B519-A80A9E5ABBFA}" cache="NativeTimeline_Fecha_de_egreso_hospitalario" caption="Fecha de egreso hospitalario" level="2" selectionLevel="2" scrollPosition="2016-01-01T00:00:00"/>
</timeline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4.xml"/><Relationship Id="rId7"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2.bin"/><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
  <sheetViews>
    <sheetView workbookViewId="0">
      <selection activeCell="B3" sqref="B3:H3"/>
    </sheetView>
  </sheetViews>
  <sheetFormatPr baseColWidth="10" defaultRowHeight="15" x14ac:dyDescent="0.25"/>
  <sheetData>
    <row r="1" spans="1:16" ht="14.25" customHeight="1" x14ac:dyDescent="0.25">
      <c r="A1" s="54" t="s">
        <v>218</v>
      </c>
      <c r="B1" s="54"/>
      <c r="C1" s="54"/>
      <c r="D1" s="54"/>
      <c r="E1" s="54"/>
      <c r="F1" s="54"/>
      <c r="G1" s="54"/>
      <c r="H1" s="54"/>
      <c r="I1" s="54"/>
      <c r="J1" s="54"/>
      <c r="K1" s="54"/>
      <c r="L1" s="54"/>
      <c r="M1" s="54"/>
      <c r="N1" s="54"/>
      <c r="O1" s="54"/>
      <c r="P1" s="54"/>
    </row>
    <row r="2" spans="1:16" x14ac:dyDescent="0.25">
      <c r="A2" t="s">
        <v>221</v>
      </c>
    </row>
    <row r="3" spans="1:16" x14ac:dyDescent="0.25">
      <c r="A3" s="8" t="s">
        <v>4</v>
      </c>
      <c r="B3" s="55" t="s">
        <v>222</v>
      </c>
      <c r="C3" s="55"/>
      <c r="D3" s="55"/>
      <c r="E3" s="55"/>
      <c r="F3" s="55"/>
      <c r="G3" s="55"/>
      <c r="H3" s="55"/>
    </row>
  </sheetData>
  <mergeCells count="2">
    <mergeCell ref="A1:P1"/>
    <mergeCell ref="B3:H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4D835-30D8-4989-982C-69EA1BA70E32}">
  <dimension ref="A1:B6"/>
  <sheetViews>
    <sheetView workbookViewId="0">
      <selection activeCell="D12" sqref="D12"/>
    </sheetView>
  </sheetViews>
  <sheetFormatPr baseColWidth="10" defaultRowHeight="15" x14ac:dyDescent="0.25"/>
  <cols>
    <col min="1" max="1" width="28" bestFit="1" customWidth="1"/>
    <col min="2" max="2" width="24.42578125" bestFit="1" customWidth="1"/>
  </cols>
  <sheetData>
    <row r="1" spans="1:2" x14ac:dyDescent="0.25">
      <c r="A1" s="41" t="s">
        <v>241</v>
      </c>
      <c r="B1" t="s">
        <v>243</v>
      </c>
    </row>
    <row r="2" spans="1:2" x14ac:dyDescent="0.25">
      <c r="A2" s="4" t="s">
        <v>27</v>
      </c>
      <c r="B2" s="42">
        <v>15</v>
      </c>
    </row>
    <row r="3" spans="1:2" x14ac:dyDescent="0.25">
      <c r="A3" s="4" t="s">
        <v>26</v>
      </c>
      <c r="B3" s="42">
        <v>3</v>
      </c>
    </row>
    <row r="4" spans="1:2" x14ac:dyDescent="0.25">
      <c r="A4" s="4" t="s">
        <v>28</v>
      </c>
      <c r="B4" s="42">
        <v>5</v>
      </c>
    </row>
    <row r="5" spans="1:2" x14ac:dyDescent="0.25">
      <c r="A5" s="4" t="s">
        <v>25</v>
      </c>
      <c r="B5" s="42">
        <v>31</v>
      </c>
    </row>
    <row r="6" spans="1:2" x14ac:dyDescent="0.25">
      <c r="A6" s="4" t="s">
        <v>242</v>
      </c>
      <c r="B6" s="42">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55"/>
  <sheetViews>
    <sheetView workbookViewId="0">
      <selection activeCell="N2" sqref="N2"/>
    </sheetView>
  </sheetViews>
  <sheetFormatPr baseColWidth="10" defaultRowHeight="15" x14ac:dyDescent="0.25"/>
  <cols>
    <col min="5" max="5" width="11.42578125" style="16"/>
    <col min="6" max="6" width="34.7109375" style="16" customWidth="1"/>
    <col min="7" max="7" width="14.85546875" customWidth="1"/>
    <col min="10" max="10" width="27.7109375" customWidth="1"/>
    <col min="11" max="11" width="19.140625" style="3" customWidth="1"/>
    <col min="12" max="12" width="14.5703125" customWidth="1"/>
    <col min="14" max="14" width="34.140625" customWidth="1"/>
    <col min="15" max="15" width="17" customWidth="1"/>
    <col min="16" max="16" width="27.5703125" customWidth="1"/>
    <col min="19" max="19" width="19.140625" customWidth="1"/>
    <col min="20" max="20" width="19.42578125" customWidth="1"/>
    <col min="21" max="21" width="12.7109375" customWidth="1"/>
    <col min="22" max="24" width="17.28515625" customWidth="1"/>
    <col min="25" max="25" width="17.85546875" customWidth="1"/>
    <col min="27" max="27" width="11.42578125" customWidth="1"/>
    <col min="28" max="30" width="16.28515625" customWidth="1"/>
    <col min="31" max="31" width="28.85546875" customWidth="1"/>
    <col min="34" max="34" width="17.140625" customWidth="1"/>
    <col min="35" max="35" width="27.85546875" customWidth="1"/>
    <col min="36" max="36" width="25.85546875" customWidth="1"/>
    <col min="37" max="37" width="13" customWidth="1"/>
    <col min="38" max="38" width="28" customWidth="1"/>
  </cols>
  <sheetData>
    <row r="1" spans="1:38" ht="52.5" customHeight="1" x14ac:dyDescent="0.25">
      <c r="A1" s="20" t="s">
        <v>20</v>
      </c>
      <c r="B1" s="20" t="s">
        <v>252</v>
      </c>
      <c r="C1" s="20" t="s">
        <v>253</v>
      </c>
      <c r="D1" s="20" t="s">
        <v>254</v>
      </c>
      <c r="E1" s="21" t="s">
        <v>199</v>
      </c>
      <c r="F1" s="21" t="s">
        <v>223</v>
      </c>
      <c r="G1" s="21" t="s">
        <v>198</v>
      </c>
      <c r="H1" s="21" t="s">
        <v>23</v>
      </c>
      <c r="I1" s="21" t="s">
        <v>22</v>
      </c>
      <c r="J1" s="29" t="s">
        <v>21</v>
      </c>
      <c r="K1" s="33" t="s">
        <v>224</v>
      </c>
      <c r="L1" s="40" t="s">
        <v>239</v>
      </c>
      <c r="M1" s="40" t="s">
        <v>245</v>
      </c>
      <c r="N1" s="40" t="s">
        <v>246</v>
      </c>
      <c r="P1" s="21" t="s">
        <v>21</v>
      </c>
      <c r="Q1" s="21" t="s">
        <v>2</v>
      </c>
      <c r="R1" s="21" t="s">
        <v>225</v>
      </c>
      <c r="T1" s="21" t="s">
        <v>226</v>
      </c>
      <c r="V1" s="21" t="s">
        <v>229</v>
      </c>
      <c r="W1" s="21" t="s">
        <v>230</v>
      </c>
      <c r="X1" s="21" t="s">
        <v>231</v>
      </c>
      <c r="Y1" s="21" t="s">
        <v>232</v>
      </c>
      <c r="AB1" s="21" t="s">
        <v>229</v>
      </c>
      <c r="AC1" s="21" t="s">
        <v>230</v>
      </c>
      <c r="AD1" s="21" t="s">
        <v>231</v>
      </c>
      <c r="AE1" s="21" t="s">
        <v>233</v>
      </c>
      <c r="AG1" s="21" t="s">
        <v>238</v>
      </c>
      <c r="AH1" s="21" t="s">
        <v>199</v>
      </c>
      <c r="AI1" s="21" t="s">
        <v>234</v>
      </c>
      <c r="AJ1" s="21" t="s">
        <v>235</v>
      </c>
      <c r="AK1" s="21" t="s">
        <v>236</v>
      </c>
      <c r="AL1" s="21" t="s">
        <v>237</v>
      </c>
    </row>
    <row r="2" spans="1:38" ht="23.25" customHeight="1" x14ac:dyDescent="0.25">
      <c r="A2" s="31">
        <v>1</v>
      </c>
      <c r="B2" s="31">
        <f t="shared" ref="B2:B33" si="0">DAY(E2:E55)</f>
        <v>2</v>
      </c>
      <c r="C2" s="31">
        <f t="shared" ref="C2:C33" si="1">MONTH(E2:E55)</f>
        <v>1</v>
      </c>
      <c r="D2" s="31">
        <f t="shared" ref="D2:D33" si="2">YEAR(E2:E55)</f>
        <v>2016</v>
      </c>
      <c r="E2" s="27">
        <v>42371</v>
      </c>
      <c r="F2" s="27" t="str">
        <f>PROPER(CONCATENATE(Datos_MME!D2&amp;" "&amp;Datos_MME!E2&amp;" "&amp;Datos_MME!F2&amp;" "&amp;Datos_MME!G2))</f>
        <v>Anny Lorena Lezcano Parra</v>
      </c>
      <c r="G2" s="34">
        <v>1</v>
      </c>
      <c r="H2" s="19">
        <v>37</v>
      </c>
      <c r="I2" s="31">
        <v>36</v>
      </c>
      <c r="J2" s="30" t="s">
        <v>25</v>
      </c>
      <c r="K2" s="1" t="str">
        <f>IF(AND(G2&lt;5,J2="Sepsis de origen obstétrico"),"Riesgo bajo",IF(AND(G2&gt;=5,G2&lt;=20,J2="Trastornos hipertensivos"),"Riesgo moderado",IF(AND(G2&gt;21,J2="Complicaciones hemorrágicas"),"Riesgo alto","Riesgo muy elevado")))</f>
        <v>Riesgo muy elevado</v>
      </c>
      <c r="L2" s="1" t="str">
        <f>IF(AND(G2&lt;10,J2="Trastornos hipertensivos"),"Estancia baja",IF(AND(G2&gt;=10,G2&lt;=15,OR(J2="Sepsis de origen no obstétrico",J2="Sepsis de origen obstétrico")),"Estancia media",IF(AND(G2&gt;15,J2="Complicaciones hemorrágicas"),"Estancia alta","No aplica")))</f>
        <v>Estancia baja</v>
      </c>
      <c r="M2" s="1">
        <f ca="1">RANDBETWEEN(1,30)</f>
        <v>17</v>
      </c>
      <c r="N2" s="36" t="str">
        <f ca="1">CONCATENATE(M2,"/1/2016")</f>
        <v>17/1/2016</v>
      </c>
      <c r="P2" s="1" t="s">
        <v>27</v>
      </c>
      <c r="Q2" s="31">
        <f>COUNTIF(J2:J55,"Complicaciones hemorrágicas")</f>
        <v>15</v>
      </c>
      <c r="R2" s="32">
        <f>AVERAGEIF(J2:J55,"Complicaciones hemorrágicas",G2:G55)</f>
        <v>11.733333333333333</v>
      </c>
      <c r="T2" s="1" t="s">
        <v>227</v>
      </c>
      <c r="V2" s="1">
        <f>COUNT(A2:A55)</f>
        <v>54</v>
      </c>
      <c r="W2" s="32">
        <f>AVERAGE(I2:I55)</f>
        <v>26.555555555555557</v>
      </c>
      <c r="X2" s="32">
        <f>AVERAGE(H2:H55)</f>
        <v>33.074074074074076</v>
      </c>
      <c r="Y2" s="37" t="s">
        <v>214</v>
      </c>
      <c r="AB2" s="1">
        <f>COUNT(A2:A55)</f>
        <v>54</v>
      </c>
      <c r="AC2" s="32">
        <f>AVERAGE(I2:I55)</f>
        <v>26.555555555555557</v>
      </c>
      <c r="AD2" s="32">
        <f>AVERAGE(H2:H55)</f>
        <v>33.074074074074076</v>
      </c>
      <c r="AE2" s="1" t="s">
        <v>27</v>
      </c>
      <c r="AG2" s="35">
        <v>1</v>
      </c>
      <c r="AH2" s="36">
        <f>VLOOKUP(AG2,A2:E55,2,FALSE)</f>
        <v>2</v>
      </c>
      <c r="AI2" s="1">
        <f>VLOOKUP(AG2,A2:F55,3,FALSE)</f>
        <v>1</v>
      </c>
      <c r="AJ2" s="37" t="str">
        <f>VLOOKUP(AG2,A2:I55,6,FALSE)</f>
        <v>Anny Lorena Lezcano Parra</v>
      </c>
      <c r="AK2" s="37">
        <f>VLOOKUP(AG2,A2:H55,5,FALSE)</f>
        <v>42371</v>
      </c>
      <c r="AL2" s="1">
        <f>VLOOKUP(AG2,A2:J55,7,FALSE)</f>
        <v>1</v>
      </c>
    </row>
    <row r="3" spans="1:38" ht="23.25" customHeight="1" x14ac:dyDescent="0.25">
      <c r="A3" s="31">
        <v>2</v>
      </c>
      <c r="B3" s="31">
        <f t="shared" si="0"/>
        <v>7</v>
      </c>
      <c r="C3" s="31">
        <f t="shared" si="1"/>
        <v>1</v>
      </c>
      <c r="D3" s="31">
        <f t="shared" si="2"/>
        <v>2016</v>
      </c>
      <c r="E3" s="27">
        <v>42376</v>
      </c>
      <c r="F3" s="27" t="str">
        <f>PROPER(CONCATENATE(Datos_MME!D3&amp;" "&amp;Datos_MME!E3&amp;" "&amp;Datos_MME!F3&amp;" "&amp;Datos_MME!G3))</f>
        <v>Cruz Islayd Alfaro Serna</v>
      </c>
      <c r="G3" s="34">
        <v>2</v>
      </c>
      <c r="H3" s="19">
        <v>38</v>
      </c>
      <c r="I3" s="31">
        <v>19</v>
      </c>
      <c r="J3" s="30" t="s">
        <v>26</v>
      </c>
      <c r="K3" s="1" t="str">
        <f t="shared" ref="K3:K55" si="3">IF(AND(G3&lt;5,J3="Sepsis de origen obstétrico"),"Riesgo bajo",IF(AND(G3&gt;=5,G3&lt;=20,J3="Trastornos hipertensivos"),"Riesgo moderado",IF(AND(G3&gt;21,J3="Complicaciones hemorrágicas"),"Riesgo alto","Riesgo muy elevado")))</f>
        <v>Riesgo muy elevado</v>
      </c>
      <c r="L3" s="1" t="str">
        <f t="shared" ref="L3:L55" si="4">IF(AND(G3&lt;10,J3="Trastornos hipertensivos"),"Estancia baja",IF(AND(G3&gt;=10,G3&lt;=15,OR(J3="Sepsis de origen no obstétrico",J3="Sepsis de origen obstétrico")),"Estancia media",IF(AND(G3&gt;15,J3="Complicaciones hemorrágicas"),"Estancia alta","No aplica")))</f>
        <v>No aplica</v>
      </c>
      <c r="M3" s="1">
        <f t="shared" ref="M3:M55" ca="1" si="5">RANDBETWEEN(1,30)</f>
        <v>26</v>
      </c>
      <c r="N3" s="36" t="str">
        <f t="shared" ref="N3:N55" ca="1" si="6">CONCATENATE(M3,"/1/2016")</f>
        <v>26/1/2016</v>
      </c>
      <c r="P3" s="1" t="s">
        <v>26</v>
      </c>
      <c r="Q3" s="31">
        <f>COUNTIF(J2:J55,"Sepsis de origen no obstétrico")</f>
        <v>3</v>
      </c>
      <c r="R3" s="1">
        <f>AVERAGEIF(J2:J55,"Sepsis de origen no obstétrico",G2:G55)</f>
        <v>8</v>
      </c>
      <c r="T3" s="1" t="s">
        <v>214</v>
      </c>
    </row>
    <row r="4" spans="1:38" ht="23.25" customHeight="1" x14ac:dyDescent="0.25">
      <c r="A4" s="31">
        <v>3</v>
      </c>
      <c r="B4" s="31">
        <f t="shared" si="0"/>
        <v>8</v>
      </c>
      <c r="C4" s="31">
        <f t="shared" si="1"/>
        <v>1</v>
      </c>
      <c r="D4" s="31">
        <f t="shared" si="2"/>
        <v>2016</v>
      </c>
      <c r="E4" s="27">
        <v>42377</v>
      </c>
      <c r="F4" s="27" t="str">
        <f>PROPER(CONCATENATE(Datos_MME!D4&amp;" "&amp;Datos_MME!E4&amp;" "&amp;Datos_MME!F4&amp;" "&amp;Datos_MME!G4))</f>
        <v>Daniela  Zuluaga Robles</v>
      </c>
      <c r="G4" s="34">
        <v>3</v>
      </c>
      <c r="H4" s="19">
        <v>31</v>
      </c>
      <c r="I4" s="31">
        <v>28</v>
      </c>
      <c r="J4" s="30" t="s">
        <v>27</v>
      </c>
      <c r="K4" s="1" t="str">
        <f t="shared" si="3"/>
        <v>Riesgo muy elevado</v>
      </c>
      <c r="L4" s="1" t="str">
        <f t="shared" si="4"/>
        <v>No aplica</v>
      </c>
      <c r="M4" s="1">
        <f t="shared" ca="1" si="5"/>
        <v>5</v>
      </c>
      <c r="N4" s="36" t="str">
        <f t="shared" ca="1" si="6"/>
        <v>5/1/2016</v>
      </c>
      <c r="P4" s="1" t="s">
        <v>28</v>
      </c>
      <c r="Q4" s="31">
        <f>COUNTIF(J2:J55,"sepsis de origen obstétrico")</f>
        <v>5</v>
      </c>
      <c r="R4" s="32">
        <f>AVERAGEIF(J2:J55,"Sepsis de origen obstétrico",G2:G55)</f>
        <v>11.6</v>
      </c>
      <c r="T4" s="1" t="s">
        <v>228</v>
      </c>
    </row>
    <row r="5" spans="1:38" ht="23.25" customHeight="1" x14ac:dyDescent="0.25">
      <c r="A5" s="31">
        <v>4</v>
      </c>
      <c r="B5" s="31">
        <f t="shared" si="0"/>
        <v>8</v>
      </c>
      <c r="C5" s="31">
        <f t="shared" si="1"/>
        <v>1</v>
      </c>
      <c r="D5" s="31">
        <f t="shared" si="2"/>
        <v>2016</v>
      </c>
      <c r="E5" s="27">
        <v>42377</v>
      </c>
      <c r="F5" s="27" t="str">
        <f>PROPER(CONCATENATE(Datos_MME!D5&amp;" "&amp;Datos_MME!E5&amp;" "&amp;Datos_MME!F5&amp;" "&amp;Datos_MME!G5))</f>
        <v>Liz Nayibe Rada Henao</v>
      </c>
      <c r="G5" s="34">
        <v>4</v>
      </c>
      <c r="H5" s="19">
        <v>37</v>
      </c>
      <c r="I5" s="31">
        <v>23</v>
      </c>
      <c r="J5" s="30" t="s">
        <v>27</v>
      </c>
      <c r="K5" s="1" t="str">
        <f t="shared" si="3"/>
        <v>Riesgo muy elevado</v>
      </c>
      <c r="L5" s="1" t="str">
        <f t="shared" si="4"/>
        <v>No aplica</v>
      </c>
      <c r="M5" s="1">
        <f t="shared" ca="1" si="5"/>
        <v>5</v>
      </c>
      <c r="N5" s="36" t="str">
        <f t="shared" ca="1" si="6"/>
        <v>5/1/2016</v>
      </c>
      <c r="P5" s="1" t="s">
        <v>25</v>
      </c>
      <c r="Q5" s="31">
        <f>COUNTIF(J2:J55,"trastornos hipertensivos")</f>
        <v>31</v>
      </c>
      <c r="R5" s="32">
        <f>AVERAGEIF(J2:J55,"trastornos hipertensivos",G2:G55)</f>
        <v>11.870967741935484</v>
      </c>
      <c r="T5" s="1" t="s">
        <v>215</v>
      </c>
    </row>
    <row r="6" spans="1:38" ht="23.25" customHeight="1" x14ac:dyDescent="0.25">
      <c r="A6" s="31">
        <v>5</v>
      </c>
      <c r="B6" s="31">
        <f t="shared" si="0"/>
        <v>8</v>
      </c>
      <c r="C6" s="31">
        <f t="shared" si="1"/>
        <v>1</v>
      </c>
      <c r="D6" s="31">
        <f t="shared" si="2"/>
        <v>2016</v>
      </c>
      <c r="E6" s="27">
        <v>42377</v>
      </c>
      <c r="F6" s="27" t="str">
        <f>PROPER(CONCATENATE(Datos_MME!D6&amp;" "&amp;Datos_MME!E6&amp;" "&amp;Datos_MME!F6&amp;" "&amp;Datos_MME!G6))</f>
        <v>Juliana  Murillo Rodriguez</v>
      </c>
      <c r="G6" s="34">
        <v>5</v>
      </c>
      <c r="H6" s="19">
        <v>22</v>
      </c>
      <c r="I6" s="31">
        <v>29</v>
      </c>
      <c r="J6" s="30" t="s">
        <v>27</v>
      </c>
      <c r="K6" s="1" t="str">
        <f t="shared" si="3"/>
        <v>Riesgo muy elevado</v>
      </c>
      <c r="L6" s="1" t="str">
        <f t="shared" si="4"/>
        <v>No aplica</v>
      </c>
      <c r="M6" s="1">
        <f t="shared" ca="1" si="5"/>
        <v>28</v>
      </c>
      <c r="N6" s="36" t="str">
        <f t="shared" ca="1" si="6"/>
        <v>28/1/2016</v>
      </c>
    </row>
    <row r="7" spans="1:38" ht="23.25" customHeight="1" x14ac:dyDescent="0.25">
      <c r="A7" s="31">
        <v>6</v>
      </c>
      <c r="B7" s="31">
        <f t="shared" si="0"/>
        <v>6</v>
      </c>
      <c r="C7" s="31">
        <f t="shared" si="1"/>
        <v>1</v>
      </c>
      <c r="D7" s="31">
        <f t="shared" si="2"/>
        <v>2016</v>
      </c>
      <c r="E7" s="27">
        <v>42375</v>
      </c>
      <c r="F7" s="27" t="str">
        <f>PROPER(CONCATENATE(Datos_MME!D7&amp;" "&amp;Datos_MME!E7&amp;" "&amp;Datos_MME!F7&amp;" "&amp;Datos_MME!G7))</f>
        <v>Maritza Alejandra Chalarca Arias</v>
      </c>
      <c r="G7" s="34">
        <v>6</v>
      </c>
      <c r="H7" s="19">
        <v>37</v>
      </c>
      <c r="I7" s="31">
        <v>23</v>
      </c>
      <c r="J7" s="30" t="s">
        <v>25</v>
      </c>
      <c r="K7" s="1" t="str">
        <f t="shared" si="3"/>
        <v>Riesgo moderado</v>
      </c>
      <c r="L7" s="1" t="str">
        <f t="shared" si="4"/>
        <v>Estancia baja</v>
      </c>
      <c r="M7" s="1">
        <f t="shared" ca="1" si="5"/>
        <v>13</v>
      </c>
      <c r="N7" s="36" t="str">
        <f t="shared" ca="1" si="6"/>
        <v>13/1/2016</v>
      </c>
      <c r="O7" s="47"/>
      <c r="P7" s="56" t="s">
        <v>240</v>
      </c>
      <c r="Q7" s="56"/>
      <c r="R7" s="56"/>
      <c r="S7" s="56"/>
      <c r="T7" s="56"/>
      <c r="U7" s="56"/>
      <c r="V7" s="56"/>
      <c r="W7" s="47"/>
    </row>
    <row r="8" spans="1:38" ht="23.25" customHeight="1" x14ac:dyDescent="0.25">
      <c r="A8" s="31">
        <v>7</v>
      </c>
      <c r="B8" s="31">
        <f t="shared" si="0"/>
        <v>6</v>
      </c>
      <c r="C8" s="31">
        <f t="shared" si="1"/>
        <v>1</v>
      </c>
      <c r="D8" s="31">
        <f t="shared" si="2"/>
        <v>2016</v>
      </c>
      <c r="E8" s="27">
        <v>42375</v>
      </c>
      <c r="F8" s="27" t="str">
        <f>PROPER(CONCATENATE(Datos_MME!D8&amp;" "&amp;Datos_MME!E8&amp;" "&amp;Datos_MME!F8&amp;" "&amp;Datos_MME!G8))</f>
        <v>Isabel Cristina Ibarra Monsalve</v>
      </c>
      <c r="G8" s="34">
        <v>7</v>
      </c>
      <c r="H8" s="19">
        <v>39</v>
      </c>
      <c r="I8" s="31">
        <v>27</v>
      </c>
      <c r="J8" s="30" t="s">
        <v>25</v>
      </c>
      <c r="K8" s="1" t="str">
        <f t="shared" si="3"/>
        <v>Riesgo moderado</v>
      </c>
      <c r="L8" s="1" t="str">
        <f t="shared" si="4"/>
        <v>Estancia baja</v>
      </c>
      <c r="M8" s="1">
        <f t="shared" ca="1" si="5"/>
        <v>24</v>
      </c>
      <c r="N8" s="36" t="str">
        <f t="shared" ca="1" si="6"/>
        <v>24/1/2016</v>
      </c>
      <c r="O8" s="47"/>
      <c r="P8" s="56"/>
      <c r="Q8" s="56"/>
      <c r="R8" s="56"/>
      <c r="S8" s="56"/>
      <c r="T8" s="56"/>
      <c r="U8" s="56"/>
      <c r="V8" s="56"/>
      <c r="W8" s="47"/>
    </row>
    <row r="9" spans="1:38" ht="23.25" customHeight="1" x14ac:dyDescent="0.25">
      <c r="A9" s="31">
        <v>8</v>
      </c>
      <c r="B9" s="31">
        <f t="shared" si="0"/>
        <v>6</v>
      </c>
      <c r="C9" s="31">
        <f t="shared" si="1"/>
        <v>1</v>
      </c>
      <c r="D9" s="31">
        <f t="shared" si="2"/>
        <v>2016</v>
      </c>
      <c r="E9" s="27">
        <v>42375</v>
      </c>
      <c r="F9" s="27" t="str">
        <f>PROPER(CONCATENATE(Datos_MME!D9&amp;" "&amp;Datos_MME!E9&amp;" "&amp;Datos_MME!F9&amp;" "&amp;Datos_MME!G9))</f>
        <v>Carolina Maria Giraldo Giraldo</v>
      </c>
      <c r="G9" s="34">
        <v>8</v>
      </c>
      <c r="H9" s="19">
        <v>37</v>
      </c>
      <c r="I9" s="31">
        <v>29</v>
      </c>
      <c r="J9" s="30" t="s">
        <v>28</v>
      </c>
      <c r="K9" s="1" t="str">
        <f t="shared" si="3"/>
        <v>Riesgo muy elevado</v>
      </c>
      <c r="L9" s="1" t="str">
        <f t="shared" si="4"/>
        <v>No aplica</v>
      </c>
      <c r="M9" s="1">
        <f t="shared" ca="1" si="5"/>
        <v>15</v>
      </c>
      <c r="N9" s="36" t="str">
        <f t="shared" ca="1" si="6"/>
        <v>15/1/2016</v>
      </c>
      <c r="O9" s="47"/>
      <c r="P9" s="56"/>
      <c r="Q9" s="56"/>
      <c r="R9" s="56"/>
      <c r="S9" s="56"/>
      <c r="T9" s="56"/>
      <c r="U9" s="56"/>
      <c r="V9" s="56"/>
      <c r="W9" s="47"/>
    </row>
    <row r="10" spans="1:38" ht="23.25" customHeight="1" x14ac:dyDescent="0.25">
      <c r="A10" s="31">
        <v>9</v>
      </c>
      <c r="B10" s="31">
        <f t="shared" si="0"/>
        <v>4</v>
      </c>
      <c r="C10" s="31">
        <f t="shared" si="1"/>
        <v>1</v>
      </c>
      <c r="D10" s="31">
        <f t="shared" si="2"/>
        <v>2016</v>
      </c>
      <c r="E10" s="27">
        <v>42373</v>
      </c>
      <c r="F10" s="27" t="str">
        <f>PROPER(CONCATENATE(Datos_MME!D10&amp;" "&amp;Datos_MME!E10&amp;" "&amp;Datos_MME!F10&amp;" "&amp;Datos_MME!G10))</f>
        <v>Eliana Patricia Torres Noreña</v>
      </c>
      <c r="G10" s="34">
        <v>9</v>
      </c>
      <c r="H10" s="19">
        <v>38</v>
      </c>
      <c r="I10" s="31">
        <v>29</v>
      </c>
      <c r="J10" s="30" t="s">
        <v>25</v>
      </c>
      <c r="K10" s="1" t="str">
        <f t="shared" si="3"/>
        <v>Riesgo moderado</v>
      </c>
      <c r="L10" s="1" t="str">
        <f t="shared" si="4"/>
        <v>Estancia baja</v>
      </c>
      <c r="M10" s="1">
        <f t="shared" ca="1" si="5"/>
        <v>1</v>
      </c>
      <c r="N10" s="36" t="str">
        <f t="shared" ca="1" si="6"/>
        <v>1/1/2016</v>
      </c>
    </row>
    <row r="11" spans="1:38" ht="23.25" customHeight="1" x14ac:dyDescent="0.25">
      <c r="A11" s="31">
        <v>10</v>
      </c>
      <c r="B11" s="31">
        <f t="shared" si="0"/>
        <v>8</v>
      </c>
      <c r="C11" s="31">
        <f t="shared" si="1"/>
        <v>1</v>
      </c>
      <c r="D11" s="31">
        <f t="shared" si="2"/>
        <v>2016</v>
      </c>
      <c r="E11" s="27">
        <v>42377</v>
      </c>
      <c r="F11" s="27" t="str">
        <f>PROPER(CONCATENATE(Datos_MME!D11&amp;" "&amp;Datos_MME!E11&amp;" "&amp;Datos_MME!F11&amp;" "&amp;Datos_MME!G11))</f>
        <v>Luisa Fernanda David Gonzalez</v>
      </c>
      <c r="G11" s="34">
        <v>10</v>
      </c>
      <c r="H11" s="19">
        <v>16</v>
      </c>
      <c r="I11" s="31">
        <v>21</v>
      </c>
      <c r="J11" s="30" t="s">
        <v>25</v>
      </c>
      <c r="K11" s="1" t="str">
        <f t="shared" si="3"/>
        <v>Riesgo moderado</v>
      </c>
      <c r="L11" s="1" t="str">
        <f t="shared" si="4"/>
        <v>No aplica</v>
      </c>
      <c r="M11" s="1">
        <f t="shared" ca="1" si="5"/>
        <v>25</v>
      </c>
      <c r="N11" s="36" t="str">
        <f t="shared" ca="1" si="6"/>
        <v>25/1/2016</v>
      </c>
    </row>
    <row r="12" spans="1:38" ht="23.25" customHeight="1" x14ac:dyDescent="0.25">
      <c r="A12" s="31">
        <v>11</v>
      </c>
      <c r="B12" s="31">
        <f t="shared" si="0"/>
        <v>13</v>
      </c>
      <c r="C12" s="31">
        <f t="shared" si="1"/>
        <v>1</v>
      </c>
      <c r="D12" s="31">
        <f t="shared" si="2"/>
        <v>2016</v>
      </c>
      <c r="E12" s="27">
        <v>42382</v>
      </c>
      <c r="F12" s="27" t="str">
        <f>PROPER(CONCATENATE(Datos_MME!D12&amp;" "&amp;Datos_MME!E12&amp;" "&amp;Datos_MME!F12&amp;" "&amp;Datos_MME!G12))</f>
        <v>Diana  Alvarez Zapata</v>
      </c>
      <c r="G12" s="34">
        <v>11</v>
      </c>
      <c r="H12" s="19">
        <v>38</v>
      </c>
      <c r="I12" s="31">
        <v>34</v>
      </c>
      <c r="J12" s="30" t="s">
        <v>25</v>
      </c>
      <c r="K12" s="1" t="str">
        <f t="shared" si="3"/>
        <v>Riesgo moderado</v>
      </c>
      <c r="L12" s="1" t="str">
        <f t="shared" si="4"/>
        <v>No aplica</v>
      </c>
      <c r="M12" s="1">
        <f t="shared" ca="1" si="5"/>
        <v>7</v>
      </c>
      <c r="N12" s="36" t="str">
        <f t="shared" ca="1" si="6"/>
        <v>7/1/2016</v>
      </c>
    </row>
    <row r="13" spans="1:38" ht="23.25" customHeight="1" x14ac:dyDescent="0.25">
      <c r="A13" s="31">
        <v>12</v>
      </c>
      <c r="B13" s="31">
        <f t="shared" si="0"/>
        <v>13</v>
      </c>
      <c r="C13" s="31">
        <f t="shared" si="1"/>
        <v>1</v>
      </c>
      <c r="D13" s="31">
        <f t="shared" si="2"/>
        <v>2016</v>
      </c>
      <c r="E13" s="27">
        <v>42382</v>
      </c>
      <c r="F13" s="27" t="str">
        <f>PROPER(CONCATENATE(Datos_MME!D13&amp;" "&amp;Datos_MME!E13&amp;" "&amp;Datos_MME!F13&amp;" "&amp;Datos_MME!G13))</f>
        <v>Mahyvi Johanna Raga Rueda</v>
      </c>
      <c r="G13" s="34">
        <v>12</v>
      </c>
      <c r="H13" s="19">
        <v>37</v>
      </c>
      <c r="I13" s="31">
        <v>33</v>
      </c>
      <c r="J13" s="30" t="s">
        <v>25</v>
      </c>
      <c r="K13" s="1" t="str">
        <f t="shared" si="3"/>
        <v>Riesgo moderado</v>
      </c>
      <c r="L13" s="1" t="str">
        <f t="shared" si="4"/>
        <v>No aplica</v>
      </c>
      <c r="M13" s="1">
        <f t="shared" ca="1" si="5"/>
        <v>20</v>
      </c>
      <c r="N13" s="36" t="str">
        <f t="shared" ca="1" si="6"/>
        <v>20/1/2016</v>
      </c>
    </row>
    <row r="14" spans="1:38" ht="23.25" customHeight="1" x14ac:dyDescent="0.25">
      <c r="A14" s="31">
        <v>13</v>
      </c>
      <c r="B14" s="31">
        <f t="shared" si="0"/>
        <v>13</v>
      </c>
      <c r="C14" s="31">
        <f t="shared" si="1"/>
        <v>1</v>
      </c>
      <c r="D14" s="31">
        <f t="shared" si="2"/>
        <v>2016</v>
      </c>
      <c r="E14" s="27">
        <v>42382</v>
      </c>
      <c r="F14" s="27" t="str">
        <f>PROPER(CONCATENATE(Datos_MME!D14&amp;" "&amp;Datos_MME!E14&amp;" "&amp;Datos_MME!F14&amp;" "&amp;Datos_MME!G14))</f>
        <v xml:space="preserve">Maria Catalina Arango </v>
      </c>
      <c r="G14" s="34">
        <v>13</v>
      </c>
      <c r="H14" s="19">
        <v>32</v>
      </c>
      <c r="I14" s="31">
        <v>15</v>
      </c>
      <c r="J14" s="30" t="s">
        <v>27</v>
      </c>
      <c r="K14" s="1" t="str">
        <f t="shared" si="3"/>
        <v>Riesgo muy elevado</v>
      </c>
      <c r="L14" s="1" t="str">
        <f t="shared" si="4"/>
        <v>No aplica</v>
      </c>
      <c r="M14" s="1">
        <f t="shared" ca="1" si="5"/>
        <v>12</v>
      </c>
      <c r="N14" s="36" t="str">
        <f t="shared" ca="1" si="6"/>
        <v>12/1/2016</v>
      </c>
    </row>
    <row r="15" spans="1:38" ht="23.25" customHeight="1" x14ac:dyDescent="0.25">
      <c r="A15" s="31">
        <v>14</v>
      </c>
      <c r="B15" s="31">
        <f t="shared" si="0"/>
        <v>22</v>
      </c>
      <c r="C15" s="31">
        <f t="shared" si="1"/>
        <v>1</v>
      </c>
      <c r="D15" s="31">
        <f t="shared" si="2"/>
        <v>2016</v>
      </c>
      <c r="E15" s="27">
        <v>42391</v>
      </c>
      <c r="F15" s="27" t="str">
        <f>PROPER(CONCATENATE(Datos_MME!D15&amp;" "&amp;Datos_MME!E15&amp;" "&amp;Datos_MME!F15&amp;" "&amp;Datos_MME!G15))</f>
        <v>Yeni Banesa Diez Rodriguez</v>
      </c>
      <c r="G15" s="34">
        <v>14</v>
      </c>
      <c r="H15" s="19">
        <v>39</v>
      </c>
      <c r="I15" s="31">
        <v>19</v>
      </c>
      <c r="J15" s="30" t="s">
        <v>25</v>
      </c>
      <c r="K15" s="1" t="str">
        <f t="shared" si="3"/>
        <v>Riesgo moderado</v>
      </c>
      <c r="L15" s="1" t="str">
        <f t="shared" si="4"/>
        <v>No aplica</v>
      </c>
      <c r="M15" s="1">
        <f t="shared" ca="1" si="5"/>
        <v>13</v>
      </c>
      <c r="N15" s="36" t="str">
        <f t="shared" ca="1" si="6"/>
        <v>13/1/2016</v>
      </c>
    </row>
    <row r="16" spans="1:38" ht="23.25" customHeight="1" x14ac:dyDescent="0.25">
      <c r="A16" s="31">
        <v>15</v>
      </c>
      <c r="B16" s="31">
        <f t="shared" si="0"/>
        <v>18</v>
      </c>
      <c r="C16" s="31">
        <f t="shared" si="1"/>
        <v>1</v>
      </c>
      <c r="D16" s="31">
        <f t="shared" si="2"/>
        <v>2016</v>
      </c>
      <c r="E16" s="27">
        <v>42387</v>
      </c>
      <c r="F16" s="27" t="str">
        <f>PROPER(CONCATENATE(Datos_MME!D16&amp;" "&amp;Datos_MME!E16&amp;" "&amp;Datos_MME!F16&amp;" "&amp;Datos_MME!G16))</f>
        <v>Beatriz Eugenia Palacios Pizarro</v>
      </c>
      <c r="G16" s="34">
        <v>15</v>
      </c>
      <c r="H16" s="19">
        <v>37</v>
      </c>
      <c r="I16" s="31">
        <v>27</v>
      </c>
      <c r="J16" s="30" t="s">
        <v>27</v>
      </c>
      <c r="K16" s="1" t="str">
        <f t="shared" si="3"/>
        <v>Riesgo muy elevado</v>
      </c>
      <c r="L16" s="1" t="str">
        <f t="shared" si="4"/>
        <v>No aplica</v>
      </c>
      <c r="M16" s="1">
        <f t="shared" ca="1" si="5"/>
        <v>7</v>
      </c>
      <c r="N16" s="36" t="str">
        <f t="shared" ca="1" si="6"/>
        <v>7/1/2016</v>
      </c>
    </row>
    <row r="17" spans="1:14" ht="23.25" customHeight="1" x14ac:dyDescent="0.25">
      <c r="A17" s="31">
        <v>16</v>
      </c>
      <c r="B17" s="31">
        <f t="shared" si="0"/>
        <v>23</v>
      </c>
      <c r="C17" s="31">
        <f t="shared" si="1"/>
        <v>1</v>
      </c>
      <c r="D17" s="31">
        <f t="shared" si="2"/>
        <v>2016</v>
      </c>
      <c r="E17" s="27">
        <v>42392</v>
      </c>
      <c r="F17" s="27" t="str">
        <f>PROPER(CONCATENATE(Datos_MME!D17&amp;" "&amp;Datos_MME!E17&amp;" "&amp;Datos_MME!F17&amp;" "&amp;Datos_MME!G17))</f>
        <v>Yuliana  Vargas Ramos</v>
      </c>
      <c r="G17" s="34">
        <v>16</v>
      </c>
      <c r="H17" s="19">
        <v>37</v>
      </c>
      <c r="I17" s="31">
        <v>35</v>
      </c>
      <c r="J17" s="30" t="s">
        <v>25</v>
      </c>
      <c r="K17" s="1" t="str">
        <f t="shared" si="3"/>
        <v>Riesgo moderado</v>
      </c>
      <c r="L17" s="1" t="str">
        <f t="shared" si="4"/>
        <v>No aplica</v>
      </c>
      <c r="M17" s="1">
        <f t="shared" ca="1" si="5"/>
        <v>30</v>
      </c>
      <c r="N17" s="36" t="str">
        <f t="shared" ca="1" si="6"/>
        <v>30/1/2016</v>
      </c>
    </row>
    <row r="18" spans="1:14" ht="23.25" customHeight="1" x14ac:dyDescent="0.25">
      <c r="A18" s="31">
        <v>17</v>
      </c>
      <c r="B18" s="31">
        <f t="shared" si="0"/>
        <v>20</v>
      </c>
      <c r="C18" s="31">
        <f t="shared" si="1"/>
        <v>1</v>
      </c>
      <c r="D18" s="31">
        <f t="shared" si="2"/>
        <v>2016</v>
      </c>
      <c r="E18" s="27">
        <v>42389</v>
      </c>
      <c r="F18" s="27" t="str">
        <f>PROPER(CONCATENATE(Datos_MME!D18&amp;" "&amp;Datos_MME!E18&amp;" "&amp;Datos_MME!F18&amp;" "&amp;Datos_MME!G18))</f>
        <v>Laura Marcela Metaute Ramirez</v>
      </c>
      <c r="G18" s="34">
        <v>17</v>
      </c>
      <c r="H18" s="19">
        <v>38</v>
      </c>
      <c r="I18" s="31">
        <v>36</v>
      </c>
      <c r="J18" s="30" t="s">
        <v>25</v>
      </c>
      <c r="K18" s="1" t="str">
        <f t="shared" si="3"/>
        <v>Riesgo moderado</v>
      </c>
      <c r="L18" s="1" t="str">
        <f t="shared" si="4"/>
        <v>No aplica</v>
      </c>
      <c r="M18" s="1">
        <f t="shared" ca="1" si="5"/>
        <v>3</v>
      </c>
      <c r="N18" s="36" t="str">
        <f t="shared" ca="1" si="6"/>
        <v>3/1/2016</v>
      </c>
    </row>
    <row r="19" spans="1:14" ht="23.25" customHeight="1" x14ac:dyDescent="0.25">
      <c r="A19" s="31">
        <v>18</v>
      </c>
      <c r="B19" s="31">
        <f t="shared" si="0"/>
        <v>26</v>
      </c>
      <c r="C19" s="31">
        <f t="shared" si="1"/>
        <v>1</v>
      </c>
      <c r="D19" s="31">
        <f t="shared" si="2"/>
        <v>2016</v>
      </c>
      <c r="E19" s="27">
        <v>42395</v>
      </c>
      <c r="F19" s="27" t="str">
        <f>PROPER(CONCATENATE(Datos_MME!D19&amp;" "&amp;Datos_MME!E19&amp;" "&amp;Datos_MME!F19&amp;" "&amp;Datos_MME!G19))</f>
        <v>Natalia  Jimenez Alvarez</v>
      </c>
      <c r="G19" s="34">
        <v>18</v>
      </c>
      <c r="H19" s="19">
        <v>18</v>
      </c>
      <c r="I19" s="31">
        <v>42</v>
      </c>
      <c r="J19" s="30" t="s">
        <v>28</v>
      </c>
      <c r="K19" s="1" t="str">
        <f t="shared" si="3"/>
        <v>Riesgo muy elevado</v>
      </c>
      <c r="L19" s="1" t="str">
        <f t="shared" si="4"/>
        <v>No aplica</v>
      </c>
      <c r="M19" s="1">
        <f t="shared" ca="1" si="5"/>
        <v>12</v>
      </c>
      <c r="N19" s="36" t="str">
        <f t="shared" ca="1" si="6"/>
        <v>12/1/2016</v>
      </c>
    </row>
    <row r="20" spans="1:14" ht="23.25" customHeight="1" x14ac:dyDescent="0.25">
      <c r="A20" s="31">
        <v>19</v>
      </c>
      <c r="B20" s="31">
        <f t="shared" si="0"/>
        <v>26</v>
      </c>
      <c r="C20" s="31">
        <f t="shared" si="1"/>
        <v>1</v>
      </c>
      <c r="D20" s="31">
        <f t="shared" si="2"/>
        <v>2016</v>
      </c>
      <c r="E20" s="27">
        <v>42395</v>
      </c>
      <c r="F20" s="27" t="str">
        <f>PROPER(CONCATENATE(Datos_MME!D20&amp;" "&amp;Datos_MME!E20&amp;" "&amp;Datos_MME!F20&amp;" "&amp;Datos_MME!G20))</f>
        <v>Lucidia Margarita Bolivar Valencia</v>
      </c>
      <c r="G20" s="34">
        <v>19</v>
      </c>
      <c r="H20" s="19">
        <v>37</v>
      </c>
      <c r="I20" s="31">
        <v>37</v>
      </c>
      <c r="J20" s="30" t="s">
        <v>25</v>
      </c>
      <c r="K20" s="1" t="str">
        <f t="shared" si="3"/>
        <v>Riesgo moderado</v>
      </c>
      <c r="L20" s="1" t="str">
        <f t="shared" si="4"/>
        <v>No aplica</v>
      </c>
      <c r="M20" s="1">
        <f t="shared" ca="1" si="5"/>
        <v>21</v>
      </c>
      <c r="N20" s="36" t="str">
        <f t="shared" ca="1" si="6"/>
        <v>21/1/2016</v>
      </c>
    </row>
    <row r="21" spans="1:14" ht="23.25" customHeight="1" x14ac:dyDescent="0.25">
      <c r="A21" s="31">
        <v>20</v>
      </c>
      <c r="B21" s="31">
        <f t="shared" si="0"/>
        <v>10</v>
      </c>
      <c r="C21" s="31">
        <f t="shared" si="1"/>
        <v>3</v>
      </c>
      <c r="D21" s="31">
        <f t="shared" si="2"/>
        <v>2016</v>
      </c>
      <c r="E21" s="27">
        <v>42439</v>
      </c>
      <c r="F21" s="27" t="str">
        <f>PROPER(CONCATENATE(Datos_MME!D21&amp;" "&amp;Datos_MME!E21&amp;" "&amp;Datos_MME!F21&amp;" "&amp;Datos_MME!G21))</f>
        <v>Maria Sorely Osorio Ledesma</v>
      </c>
      <c r="G21" s="34">
        <v>20</v>
      </c>
      <c r="H21" s="19">
        <v>38</v>
      </c>
      <c r="I21" s="31">
        <v>18</v>
      </c>
      <c r="J21" s="30" t="s">
        <v>25</v>
      </c>
      <c r="K21" s="1" t="str">
        <f t="shared" si="3"/>
        <v>Riesgo moderado</v>
      </c>
      <c r="L21" s="1" t="str">
        <f t="shared" si="4"/>
        <v>No aplica</v>
      </c>
      <c r="M21" s="1">
        <f t="shared" ca="1" si="5"/>
        <v>22</v>
      </c>
      <c r="N21" s="36" t="str">
        <f t="shared" ca="1" si="6"/>
        <v>22/1/2016</v>
      </c>
    </row>
    <row r="22" spans="1:14" ht="23.25" customHeight="1" x14ac:dyDescent="0.25">
      <c r="A22" s="31">
        <v>21</v>
      </c>
      <c r="B22" s="31">
        <f t="shared" si="0"/>
        <v>7</v>
      </c>
      <c r="C22" s="31">
        <f t="shared" si="1"/>
        <v>3</v>
      </c>
      <c r="D22" s="31">
        <f t="shared" si="2"/>
        <v>2016</v>
      </c>
      <c r="E22" s="27">
        <v>42436</v>
      </c>
      <c r="F22" s="27" t="str">
        <f>PROPER(CONCATENATE(Datos_MME!D22&amp;" "&amp;Datos_MME!E22&amp;" "&amp;Datos_MME!F22&amp;" "&amp;Datos_MME!G22))</f>
        <v>Yeimy Shirley Carvajal Salinas</v>
      </c>
      <c r="G22" s="34">
        <v>21</v>
      </c>
      <c r="H22" s="19">
        <v>37</v>
      </c>
      <c r="I22" s="31">
        <v>20</v>
      </c>
      <c r="J22" s="30" t="s">
        <v>25</v>
      </c>
      <c r="K22" s="1" t="str">
        <f t="shared" si="3"/>
        <v>Riesgo muy elevado</v>
      </c>
      <c r="L22" s="1" t="str">
        <f t="shared" si="4"/>
        <v>No aplica</v>
      </c>
      <c r="M22" s="1">
        <f t="shared" ca="1" si="5"/>
        <v>26</v>
      </c>
      <c r="N22" s="36" t="str">
        <f t="shared" ca="1" si="6"/>
        <v>26/1/2016</v>
      </c>
    </row>
    <row r="23" spans="1:14" ht="23.25" customHeight="1" x14ac:dyDescent="0.25">
      <c r="A23" s="31">
        <v>22</v>
      </c>
      <c r="B23" s="31">
        <f t="shared" si="0"/>
        <v>10</v>
      </c>
      <c r="C23" s="31">
        <f t="shared" si="1"/>
        <v>3</v>
      </c>
      <c r="D23" s="31">
        <f t="shared" si="2"/>
        <v>2016</v>
      </c>
      <c r="E23" s="27">
        <v>42439</v>
      </c>
      <c r="F23" s="27" t="str">
        <f>PROPER(CONCATENATE(Datos_MME!D23&amp;" "&amp;Datos_MME!E23&amp;" "&amp;Datos_MME!F23&amp;" "&amp;Datos_MME!G23))</f>
        <v>Andrea  Pajon Herrera</v>
      </c>
      <c r="G23" s="34">
        <v>22</v>
      </c>
      <c r="H23" s="19">
        <v>29</v>
      </c>
      <c r="I23" s="31">
        <v>16</v>
      </c>
      <c r="J23" s="30" t="s">
        <v>25</v>
      </c>
      <c r="K23" s="1" t="str">
        <f t="shared" si="3"/>
        <v>Riesgo muy elevado</v>
      </c>
      <c r="L23" s="1" t="str">
        <f t="shared" si="4"/>
        <v>No aplica</v>
      </c>
      <c r="M23" s="1">
        <f t="shared" ca="1" si="5"/>
        <v>18</v>
      </c>
      <c r="N23" s="36" t="str">
        <f t="shared" ca="1" si="6"/>
        <v>18/1/2016</v>
      </c>
    </row>
    <row r="24" spans="1:14" ht="23.25" customHeight="1" x14ac:dyDescent="0.25">
      <c r="A24" s="31">
        <v>23</v>
      </c>
      <c r="B24" s="31">
        <f t="shared" si="0"/>
        <v>7</v>
      </c>
      <c r="C24" s="31">
        <f t="shared" si="1"/>
        <v>3</v>
      </c>
      <c r="D24" s="31">
        <f t="shared" si="2"/>
        <v>2016</v>
      </c>
      <c r="E24" s="27">
        <v>42436</v>
      </c>
      <c r="F24" s="27" t="str">
        <f>PROPER(CONCATENATE(Datos_MME!D24&amp;" "&amp;Datos_MME!E24&amp;" "&amp;Datos_MME!F24&amp;" "&amp;Datos_MME!G24))</f>
        <v>Liz Argenis Sanchez Perez</v>
      </c>
      <c r="G24" s="34">
        <v>23</v>
      </c>
      <c r="H24" s="19">
        <v>31</v>
      </c>
      <c r="I24" s="31">
        <v>22</v>
      </c>
      <c r="J24" s="30" t="s">
        <v>27</v>
      </c>
      <c r="K24" s="1" t="str">
        <f t="shared" si="3"/>
        <v>Riesgo alto</v>
      </c>
      <c r="L24" s="1" t="str">
        <f t="shared" si="4"/>
        <v>Estancia alta</v>
      </c>
      <c r="M24" s="1">
        <f t="shared" ca="1" si="5"/>
        <v>14</v>
      </c>
      <c r="N24" s="36" t="str">
        <f t="shared" ca="1" si="6"/>
        <v>14/1/2016</v>
      </c>
    </row>
    <row r="25" spans="1:14" ht="23.25" customHeight="1" x14ac:dyDescent="0.25">
      <c r="A25" s="31">
        <v>24</v>
      </c>
      <c r="B25" s="31">
        <f t="shared" si="0"/>
        <v>22</v>
      </c>
      <c r="C25" s="31">
        <f t="shared" si="1"/>
        <v>1</v>
      </c>
      <c r="D25" s="31">
        <f t="shared" si="2"/>
        <v>2016</v>
      </c>
      <c r="E25" s="28">
        <v>42391</v>
      </c>
      <c r="F25" s="27" t="str">
        <f>PROPER(CONCATENATE(Datos_MME!D25&amp;" "&amp;Datos_MME!E25&amp;" "&amp;Datos_MME!F25&amp;" "&amp;Datos_MME!G25))</f>
        <v>Angela Patricia Naranjo Alvarez</v>
      </c>
      <c r="G25" s="26">
        <v>2</v>
      </c>
      <c r="H25" s="26">
        <v>25</v>
      </c>
      <c r="I25" s="31">
        <v>14</v>
      </c>
      <c r="J25" s="30" t="s">
        <v>26</v>
      </c>
      <c r="K25" s="1" t="str">
        <f t="shared" si="3"/>
        <v>Riesgo muy elevado</v>
      </c>
      <c r="L25" s="1" t="str">
        <f t="shared" si="4"/>
        <v>No aplica</v>
      </c>
      <c r="M25" s="1">
        <f t="shared" ca="1" si="5"/>
        <v>8</v>
      </c>
      <c r="N25" s="36" t="str">
        <f t="shared" ca="1" si="6"/>
        <v>8/1/2016</v>
      </c>
    </row>
    <row r="26" spans="1:14" ht="23.25" customHeight="1" x14ac:dyDescent="0.25">
      <c r="A26" s="31">
        <v>25</v>
      </c>
      <c r="B26" s="31">
        <f t="shared" si="0"/>
        <v>18</v>
      </c>
      <c r="C26" s="31">
        <f t="shared" si="1"/>
        <v>1</v>
      </c>
      <c r="D26" s="31">
        <f t="shared" si="2"/>
        <v>2016</v>
      </c>
      <c r="E26" s="28">
        <v>42387</v>
      </c>
      <c r="F26" s="27" t="str">
        <f>PROPER(CONCATENATE(Datos_MME!D26&amp;" "&amp;Datos_MME!E26&amp;" "&amp;Datos_MME!F26&amp;" "&amp;Datos_MME!G26))</f>
        <v>Linda Vanessa Noreña Perez</v>
      </c>
      <c r="G26" s="26">
        <v>4</v>
      </c>
      <c r="H26" s="26">
        <v>25</v>
      </c>
      <c r="I26" s="31">
        <v>28</v>
      </c>
      <c r="J26" s="30" t="s">
        <v>27</v>
      </c>
      <c r="K26" s="1" t="str">
        <f t="shared" si="3"/>
        <v>Riesgo muy elevado</v>
      </c>
      <c r="L26" s="1" t="str">
        <f t="shared" si="4"/>
        <v>No aplica</v>
      </c>
      <c r="M26" s="1">
        <f t="shared" ca="1" si="5"/>
        <v>14</v>
      </c>
      <c r="N26" s="36" t="str">
        <f t="shared" ca="1" si="6"/>
        <v>14/1/2016</v>
      </c>
    </row>
    <row r="27" spans="1:14" ht="23.25" customHeight="1" x14ac:dyDescent="0.25">
      <c r="A27" s="31">
        <v>26</v>
      </c>
      <c r="B27" s="31">
        <f t="shared" si="0"/>
        <v>23</v>
      </c>
      <c r="C27" s="31">
        <f t="shared" si="1"/>
        <v>1</v>
      </c>
      <c r="D27" s="31">
        <f t="shared" si="2"/>
        <v>2016</v>
      </c>
      <c r="E27" s="27">
        <v>42392</v>
      </c>
      <c r="F27" s="27" t="str">
        <f>PROPER(CONCATENATE(Datos_MME!D27&amp;" "&amp;Datos_MME!E27&amp;" "&amp;Datos_MME!F27&amp;" "&amp;Datos_MME!G27))</f>
        <v>Aury Estela Rodriguez Aristizabal</v>
      </c>
      <c r="G27" s="19">
        <v>6</v>
      </c>
      <c r="H27" s="19">
        <v>37</v>
      </c>
      <c r="I27" s="31">
        <v>23</v>
      </c>
      <c r="J27" s="30" t="s">
        <v>27</v>
      </c>
      <c r="K27" s="1" t="str">
        <f t="shared" si="3"/>
        <v>Riesgo muy elevado</v>
      </c>
      <c r="L27" s="1" t="str">
        <f t="shared" si="4"/>
        <v>No aplica</v>
      </c>
      <c r="M27" s="1">
        <f t="shared" ca="1" si="5"/>
        <v>5</v>
      </c>
      <c r="N27" s="36" t="str">
        <f t="shared" ca="1" si="6"/>
        <v>5/1/2016</v>
      </c>
    </row>
    <row r="28" spans="1:14" ht="23.25" customHeight="1" x14ac:dyDescent="0.25">
      <c r="A28" s="31">
        <v>27</v>
      </c>
      <c r="B28" s="31">
        <f t="shared" si="0"/>
        <v>20</v>
      </c>
      <c r="C28" s="31">
        <f t="shared" si="1"/>
        <v>1</v>
      </c>
      <c r="D28" s="31">
        <f t="shared" si="2"/>
        <v>2016</v>
      </c>
      <c r="E28" s="27">
        <v>42389</v>
      </c>
      <c r="F28" s="27" t="str">
        <f>PROPER(CONCATENATE(Datos_MME!D28&amp;" "&amp;Datos_MME!E28&amp;" "&amp;Datos_MME!F28&amp;" "&amp;Datos_MME!G28))</f>
        <v>Maria Alejandra Coneo Ocampo</v>
      </c>
      <c r="G28" s="19">
        <v>8</v>
      </c>
      <c r="H28" s="19">
        <v>38</v>
      </c>
      <c r="I28" s="31">
        <v>29</v>
      </c>
      <c r="J28" s="30" t="s">
        <v>27</v>
      </c>
      <c r="K28" s="1" t="str">
        <f t="shared" si="3"/>
        <v>Riesgo muy elevado</v>
      </c>
      <c r="L28" s="1" t="str">
        <f t="shared" si="4"/>
        <v>No aplica</v>
      </c>
      <c r="M28" s="1">
        <f t="shared" ca="1" si="5"/>
        <v>11</v>
      </c>
      <c r="N28" s="36" t="str">
        <f t="shared" ca="1" si="6"/>
        <v>11/1/2016</v>
      </c>
    </row>
    <row r="29" spans="1:14" ht="23.25" customHeight="1" x14ac:dyDescent="0.25">
      <c r="A29" s="31">
        <v>28</v>
      </c>
      <c r="B29" s="31">
        <f t="shared" si="0"/>
        <v>26</v>
      </c>
      <c r="C29" s="31">
        <f t="shared" si="1"/>
        <v>1</v>
      </c>
      <c r="D29" s="31">
        <f t="shared" si="2"/>
        <v>2016</v>
      </c>
      <c r="E29" s="27">
        <v>42395</v>
      </c>
      <c r="F29" s="27" t="str">
        <f>PROPER(CONCATENATE(Datos_MME!D29&amp;" "&amp;Datos_MME!E29&amp;" "&amp;Datos_MME!F29&amp;" "&amp;Datos_MME!G29))</f>
        <v>Silvia Johana Hurtado Paredes</v>
      </c>
      <c r="G29" s="19">
        <v>10</v>
      </c>
      <c r="H29" s="19">
        <v>31</v>
      </c>
      <c r="I29" s="31">
        <v>23</v>
      </c>
      <c r="J29" s="30" t="s">
        <v>25</v>
      </c>
      <c r="K29" s="1" t="str">
        <f t="shared" si="3"/>
        <v>Riesgo moderado</v>
      </c>
      <c r="L29" s="1" t="str">
        <f t="shared" si="4"/>
        <v>No aplica</v>
      </c>
      <c r="M29" s="1">
        <f t="shared" ca="1" si="5"/>
        <v>1</v>
      </c>
      <c r="N29" s="36" t="str">
        <f t="shared" ca="1" si="6"/>
        <v>1/1/2016</v>
      </c>
    </row>
    <row r="30" spans="1:14" ht="23.25" customHeight="1" x14ac:dyDescent="0.25">
      <c r="A30" s="31">
        <v>29</v>
      </c>
      <c r="B30" s="31">
        <f t="shared" si="0"/>
        <v>26</v>
      </c>
      <c r="C30" s="31">
        <f t="shared" si="1"/>
        <v>1</v>
      </c>
      <c r="D30" s="31">
        <f t="shared" si="2"/>
        <v>2016</v>
      </c>
      <c r="E30" s="27">
        <v>42395</v>
      </c>
      <c r="F30" s="27" t="str">
        <f>PROPER(CONCATENATE(Datos_MME!D30&amp;" "&amp;Datos_MME!E30&amp;" "&amp;Datos_MME!F30&amp;" "&amp;Datos_MME!G30))</f>
        <v>Angelica Yoana Rodriguez Alzate</v>
      </c>
      <c r="G30" s="19">
        <v>12</v>
      </c>
      <c r="H30" s="19">
        <v>37</v>
      </c>
      <c r="I30" s="31">
        <v>27</v>
      </c>
      <c r="J30" s="30" t="s">
        <v>25</v>
      </c>
      <c r="K30" s="1" t="str">
        <f t="shared" si="3"/>
        <v>Riesgo moderado</v>
      </c>
      <c r="L30" s="1" t="str">
        <f t="shared" si="4"/>
        <v>No aplica</v>
      </c>
      <c r="M30" s="1">
        <f t="shared" ca="1" si="5"/>
        <v>6</v>
      </c>
      <c r="N30" s="36" t="str">
        <f t="shared" ca="1" si="6"/>
        <v>6/1/2016</v>
      </c>
    </row>
    <row r="31" spans="1:14" ht="23.25" customHeight="1" x14ac:dyDescent="0.25">
      <c r="A31" s="31">
        <v>30</v>
      </c>
      <c r="B31" s="31">
        <f t="shared" si="0"/>
        <v>10</v>
      </c>
      <c r="C31" s="31">
        <f t="shared" si="1"/>
        <v>3</v>
      </c>
      <c r="D31" s="31">
        <f t="shared" si="2"/>
        <v>2016</v>
      </c>
      <c r="E31" s="27">
        <v>42439</v>
      </c>
      <c r="F31" s="27" t="str">
        <f>PROPER(CONCATENATE(Datos_MME!D31&amp;" "&amp;Datos_MME!E31&amp;" "&amp;Datos_MME!F31&amp;" "&amp;Datos_MME!G31))</f>
        <v>Maria Paula Yepes Quiñonez</v>
      </c>
      <c r="G31" s="19">
        <v>14</v>
      </c>
      <c r="H31" s="19">
        <v>22</v>
      </c>
      <c r="I31" s="31">
        <v>29</v>
      </c>
      <c r="J31" s="30" t="s">
        <v>28</v>
      </c>
      <c r="K31" s="1" t="str">
        <f t="shared" si="3"/>
        <v>Riesgo muy elevado</v>
      </c>
      <c r="L31" s="1" t="str">
        <f t="shared" si="4"/>
        <v>Estancia media</v>
      </c>
      <c r="M31" s="1">
        <f t="shared" ca="1" si="5"/>
        <v>22</v>
      </c>
      <c r="N31" s="36" t="str">
        <f t="shared" ca="1" si="6"/>
        <v>22/1/2016</v>
      </c>
    </row>
    <row r="32" spans="1:14" ht="23.25" customHeight="1" x14ac:dyDescent="0.25">
      <c r="A32" s="31">
        <v>31</v>
      </c>
      <c r="B32" s="31">
        <f t="shared" si="0"/>
        <v>7</v>
      </c>
      <c r="C32" s="31">
        <f t="shared" si="1"/>
        <v>3</v>
      </c>
      <c r="D32" s="31">
        <f t="shared" si="2"/>
        <v>2016</v>
      </c>
      <c r="E32" s="27">
        <v>42436</v>
      </c>
      <c r="F32" s="27" t="str">
        <f>PROPER(CONCATENATE(Datos_MME!D32&amp;" "&amp;Datos_MME!E32&amp;" "&amp;Datos_MME!F32&amp;" "&amp;Datos_MME!G32))</f>
        <v>Liliana Yaneth Saldarriaga Castañeda</v>
      </c>
      <c r="G32" s="19">
        <v>16</v>
      </c>
      <c r="H32" s="19">
        <v>37</v>
      </c>
      <c r="I32" s="31">
        <v>29</v>
      </c>
      <c r="J32" s="30" t="s">
        <v>25</v>
      </c>
      <c r="K32" s="1" t="str">
        <f t="shared" si="3"/>
        <v>Riesgo moderado</v>
      </c>
      <c r="L32" s="1" t="str">
        <f t="shared" si="4"/>
        <v>No aplica</v>
      </c>
      <c r="M32" s="1">
        <f t="shared" ca="1" si="5"/>
        <v>14</v>
      </c>
      <c r="N32" s="36" t="str">
        <f t="shared" ca="1" si="6"/>
        <v>14/1/2016</v>
      </c>
    </row>
    <row r="33" spans="1:14" ht="23.25" customHeight="1" x14ac:dyDescent="0.25">
      <c r="A33" s="31">
        <v>32</v>
      </c>
      <c r="B33" s="31">
        <f t="shared" si="0"/>
        <v>10</v>
      </c>
      <c r="C33" s="31">
        <f t="shared" si="1"/>
        <v>3</v>
      </c>
      <c r="D33" s="31">
        <f t="shared" si="2"/>
        <v>2016</v>
      </c>
      <c r="E33" s="27">
        <v>42439</v>
      </c>
      <c r="F33" s="27" t="str">
        <f>PROPER(CONCATENATE(Datos_MME!D33&amp;" "&amp;Datos_MME!E33&amp;" "&amp;Datos_MME!F33&amp;" "&amp;Datos_MME!G33))</f>
        <v>Marilyn  Piedrahita Velez</v>
      </c>
      <c r="G33" s="19">
        <v>18</v>
      </c>
      <c r="H33" s="19">
        <v>39</v>
      </c>
      <c r="I33" s="31">
        <v>21</v>
      </c>
      <c r="J33" s="30" t="s">
        <v>25</v>
      </c>
      <c r="K33" s="1" t="str">
        <f t="shared" si="3"/>
        <v>Riesgo moderado</v>
      </c>
      <c r="L33" s="1" t="str">
        <f t="shared" si="4"/>
        <v>No aplica</v>
      </c>
      <c r="M33" s="1">
        <f t="shared" ca="1" si="5"/>
        <v>27</v>
      </c>
      <c r="N33" s="36" t="str">
        <f t="shared" ca="1" si="6"/>
        <v>27/1/2016</v>
      </c>
    </row>
    <row r="34" spans="1:14" ht="23.25" customHeight="1" x14ac:dyDescent="0.25">
      <c r="A34" s="31">
        <v>33</v>
      </c>
      <c r="B34" s="31">
        <f t="shared" ref="B34:B55" si="7">DAY(E34:E87)</f>
        <v>7</v>
      </c>
      <c r="C34" s="31">
        <f t="shared" ref="C34:C55" si="8">MONTH(E34:E87)</f>
        <v>3</v>
      </c>
      <c r="D34" s="31">
        <f t="shared" ref="D34:D55" si="9">YEAR(E34:E87)</f>
        <v>2016</v>
      </c>
      <c r="E34" s="27">
        <v>42436</v>
      </c>
      <c r="F34" s="27" t="str">
        <f>PROPER(CONCATENATE(Datos_MME!D34&amp;" "&amp;Datos_MME!E34&amp;" "&amp;Datos_MME!F34&amp;" "&amp;Datos_MME!G34))</f>
        <v>Suany Janneth Ramirez Gonzalez</v>
      </c>
      <c r="G34" s="19">
        <v>20</v>
      </c>
      <c r="H34" s="19">
        <v>37</v>
      </c>
      <c r="I34" s="31">
        <v>34</v>
      </c>
      <c r="J34" s="30" t="s">
        <v>25</v>
      </c>
      <c r="K34" s="1" t="str">
        <f t="shared" si="3"/>
        <v>Riesgo moderado</v>
      </c>
      <c r="L34" s="1" t="str">
        <f t="shared" si="4"/>
        <v>No aplica</v>
      </c>
      <c r="M34" s="1">
        <f t="shared" ca="1" si="5"/>
        <v>17</v>
      </c>
      <c r="N34" s="36" t="str">
        <f t="shared" ca="1" si="6"/>
        <v>17/1/2016</v>
      </c>
    </row>
    <row r="35" spans="1:14" ht="23.25" customHeight="1" x14ac:dyDescent="0.25">
      <c r="A35" s="31">
        <v>34</v>
      </c>
      <c r="B35" s="31">
        <f t="shared" si="7"/>
        <v>22</v>
      </c>
      <c r="C35" s="31">
        <f t="shared" si="8"/>
        <v>1</v>
      </c>
      <c r="D35" s="31">
        <f t="shared" si="9"/>
        <v>2016</v>
      </c>
      <c r="E35" s="27">
        <v>42391</v>
      </c>
      <c r="F35" s="27" t="str">
        <f>PROPER(CONCATENATE(Datos_MME!D35&amp;" "&amp;Datos_MME!E35&amp;" "&amp;Datos_MME!F35&amp;" "&amp;Datos_MME!G35))</f>
        <v>Yesica Paola Sanchez Betancur</v>
      </c>
      <c r="G35" s="19">
        <v>22</v>
      </c>
      <c r="H35" s="19">
        <v>38</v>
      </c>
      <c r="I35" s="31">
        <v>33</v>
      </c>
      <c r="J35" s="30" t="s">
        <v>25</v>
      </c>
      <c r="K35" s="1" t="str">
        <f t="shared" si="3"/>
        <v>Riesgo muy elevado</v>
      </c>
      <c r="L35" s="1" t="str">
        <f t="shared" si="4"/>
        <v>No aplica</v>
      </c>
      <c r="M35" s="1">
        <f t="shared" ca="1" si="5"/>
        <v>12</v>
      </c>
      <c r="N35" s="36" t="str">
        <f t="shared" ca="1" si="6"/>
        <v>12/1/2016</v>
      </c>
    </row>
    <row r="36" spans="1:14" ht="23.25" customHeight="1" x14ac:dyDescent="0.25">
      <c r="A36" s="31">
        <v>35</v>
      </c>
      <c r="B36" s="31">
        <f t="shared" si="7"/>
        <v>18</v>
      </c>
      <c r="C36" s="31">
        <f t="shared" si="8"/>
        <v>1</v>
      </c>
      <c r="D36" s="31">
        <f t="shared" si="9"/>
        <v>2016</v>
      </c>
      <c r="E36" s="27">
        <v>42387</v>
      </c>
      <c r="F36" s="27" t="str">
        <f>PROPER(CONCATENATE(Datos_MME!D36&amp;" "&amp;Datos_MME!E36&amp;" "&amp;Datos_MME!F36&amp;" "&amp;Datos_MME!G36))</f>
        <v>Ebilin Tatiana Cossio Rendon</v>
      </c>
      <c r="G36" s="19">
        <v>24</v>
      </c>
      <c r="H36" s="19">
        <v>16</v>
      </c>
      <c r="I36" s="31">
        <v>15</v>
      </c>
      <c r="J36" s="30" t="s">
        <v>27</v>
      </c>
      <c r="K36" s="1" t="str">
        <f t="shared" si="3"/>
        <v>Riesgo alto</v>
      </c>
      <c r="L36" s="1" t="str">
        <f t="shared" si="4"/>
        <v>Estancia alta</v>
      </c>
      <c r="M36" s="1">
        <f t="shared" ca="1" si="5"/>
        <v>25</v>
      </c>
      <c r="N36" s="36" t="str">
        <f t="shared" ca="1" si="6"/>
        <v>25/1/2016</v>
      </c>
    </row>
    <row r="37" spans="1:14" ht="23.25" customHeight="1" x14ac:dyDescent="0.25">
      <c r="A37" s="31">
        <v>36</v>
      </c>
      <c r="B37" s="31">
        <f t="shared" si="7"/>
        <v>23</v>
      </c>
      <c r="C37" s="31">
        <f t="shared" si="8"/>
        <v>1</v>
      </c>
      <c r="D37" s="31">
        <f t="shared" si="9"/>
        <v>2016</v>
      </c>
      <c r="E37" s="27">
        <v>42392</v>
      </c>
      <c r="F37" s="27" t="str">
        <f>PROPER(CONCATENATE(Datos_MME!D37&amp;" "&amp;Datos_MME!E37&amp;" "&amp;Datos_MME!F37&amp;" "&amp;Datos_MME!G37))</f>
        <v>Katherine  Pastrana Henao</v>
      </c>
      <c r="G37" s="19">
        <v>2</v>
      </c>
      <c r="H37" s="19">
        <v>38</v>
      </c>
      <c r="I37" s="31">
        <v>19</v>
      </c>
      <c r="J37" s="30" t="s">
        <v>25</v>
      </c>
      <c r="K37" s="1" t="str">
        <f t="shared" si="3"/>
        <v>Riesgo muy elevado</v>
      </c>
      <c r="L37" s="1" t="str">
        <f t="shared" si="4"/>
        <v>Estancia baja</v>
      </c>
      <c r="M37" s="1">
        <f t="shared" ca="1" si="5"/>
        <v>23</v>
      </c>
      <c r="N37" s="36" t="str">
        <f t="shared" ca="1" si="6"/>
        <v>23/1/2016</v>
      </c>
    </row>
    <row r="38" spans="1:14" ht="23.25" customHeight="1" x14ac:dyDescent="0.25">
      <c r="A38" s="31">
        <v>37</v>
      </c>
      <c r="B38" s="31">
        <f t="shared" si="7"/>
        <v>20</v>
      </c>
      <c r="C38" s="31">
        <f t="shared" si="8"/>
        <v>1</v>
      </c>
      <c r="D38" s="31">
        <f t="shared" si="9"/>
        <v>2016</v>
      </c>
      <c r="E38" s="27">
        <v>42389</v>
      </c>
      <c r="F38" s="27" t="str">
        <f>PROPER(CONCATENATE(Datos_MME!D38&amp;" "&amp;Datos_MME!E38&amp;" "&amp;Datos_MME!F38&amp;" "&amp;Datos_MME!G38))</f>
        <v>Yury Estefania Afanador Aguedelo</v>
      </c>
      <c r="G38" s="19">
        <v>4</v>
      </c>
      <c r="H38" s="19">
        <v>37</v>
      </c>
      <c r="I38" s="31">
        <v>27</v>
      </c>
      <c r="J38" s="30" t="s">
        <v>27</v>
      </c>
      <c r="K38" s="1" t="str">
        <f t="shared" si="3"/>
        <v>Riesgo muy elevado</v>
      </c>
      <c r="L38" s="1" t="str">
        <f t="shared" si="4"/>
        <v>No aplica</v>
      </c>
      <c r="M38" s="1">
        <f t="shared" ca="1" si="5"/>
        <v>29</v>
      </c>
      <c r="N38" s="36" t="str">
        <f t="shared" ca="1" si="6"/>
        <v>29/1/2016</v>
      </c>
    </row>
    <row r="39" spans="1:14" ht="23.25" customHeight="1" x14ac:dyDescent="0.25">
      <c r="A39" s="31">
        <v>38</v>
      </c>
      <c r="B39" s="31">
        <f t="shared" si="7"/>
        <v>26</v>
      </c>
      <c r="C39" s="31">
        <f t="shared" si="8"/>
        <v>1</v>
      </c>
      <c r="D39" s="31">
        <f t="shared" si="9"/>
        <v>2016</v>
      </c>
      <c r="E39" s="27">
        <v>42395</v>
      </c>
      <c r="F39" s="27" t="str">
        <f>PROPER(CONCATENATE(Datos_MME!D39&amp;" "&amp;Datos_MME!E39&amp;" "&amp;Datos_MME!F39&amp;" "&amp;Datos_MME!G39))</f>
        <v>Isabel Cristina Aldana Garcia</v>
      </c>
      <c r="G39" s="19">
        <v>6</v>
      </c>
      <c r="H39" s="19">
        <v>32</v>
      </c>
      <c r="I39" s="31">
        <v>35</v>
      </c>
      <c r="J39" s="30" t="s">
        <v>25</v>
      </c>
      <c r="K39" s="1" t="str">
        <f t="shared" si="3"/>
        <v>Riesgo moderado</v>
      </c>
      <c r="L39" s="1" t="str">
        <f t="shared" si="4"/>
        <v>Estancia baja</v>
      </c>
      <c r="M39" s="1">
        <f t="shared" ca="1" si="5"/>
        <v>22</v>
      </c>
      <c r="N39" s="36" t="str">
        <f t="shared" ca="1" si="6"/>
        <v>22/1/2016</v>
      </c>
    </row>
    <row r="40" spans="1:14" ht="23.25" customHeight="1" x14ac:dyDescent="0.25">
      <c r="A40" s="31">
        <v>39</v>
      </c>
      <c r="B40" s="31">
        <f t="shared" si="7"/>
        <v>26</v>
      </c>
      <c r="C40" s="31">
        <f t="shared" si="8"/>
        <v>1</v>
      </c>
      <c r="D40" s="31">
        <f t="shared" si="9"/>
        <v>2016</v>
      </c>
      <c r="E40" s="27">
        <v>42395</v>
      </c>
      <c r="F40" s="27" t="str">
        <f>PROPER(CONCATENATE(Datos_MME!D40&amp;" "&amp;Datos_MME!E40&amp;" "&amp;Datos_MME!F40&amp;" "&amp;Datos_MME!G40))</f>
        <v>Katerine  Zapata Bedoya</v>
      </c>
      <c r="G40" s="19">
        <v>8</v>
      </c>
      <c r="H40" s="19">
        <v>39</v>
      </c>
      <c r="I40" s="31">
        <v>36</v>
      </c>
      <c r="J40" s="30" t="s">
        <v>25</v>
      </c>
      <c r="K40" s="1" t="str">
        <f t="shared" si="3"/>
        <v>Riesgo moderado</v>
      </c>
      <c r="L40" s="1" t="str">
        <f t="shared" si="4"/>
        <v>Estancia baja</v>
      </c>
      <c r="M40" s="1">
        <f t="shared" ca="1" si="5"/>
        <v>24</v>
      </c>
      <c r="N40" s="36" t="str">
        <f t="shared" ca="1" si="6"/>
        <v>24/1/2016</v>
      </c>
    </row>
    <row r="41" spans="1:14" ht="23.25" customHeight="1" x14ac:dyDescent="0.25">
      <c r="A41" s="31">
        <v>40</v>
      </c>
      <c r="B41" s="31">
        <f t="shared" si="7"/>
        <v>10</v>
      </c>
      <c r="C41" s="31">
        <f t="shared" si="8"/>
        <v>3</v>
      </c>
      <c r="D41" s="31">
        <f t="shared" si="9"/>
        <v>2016</v>
      </c>
      <c r="E41" s="27">
        <v>42439</v>
      </c>
      <c r="F41" s="27" t="str">
        <f>PROPER(CONCATENATE(Datos_MME!D41&amp;" "&amp;Datos_MME!E41&amp;" "&amp;Datos_MME!F41&amp;" "&amp;Datos_MME!G41))</f>
        <v>Veronica Leandra Vargas Zabala</v>
      </c>
      <c r="G41" s="19">
        <v>10</v>
      </c>
      <c r="H41" s="19">
        <v>37</v>
      </c>
      <c r="I41" s="31">
        <v>17</v>
      </c>
      <c r="J41" s="30" t="s">
        <v>28</v>
      </c>
      <c r="K41" s="1" t="str">
        <f t="shared" si="3"/>
        <v>Riesgo muy elevado</v>
      </c>
      <c r="L41" s="1" t="str">
        <f t="shared" si="4"/>
        <v>Estancia media</v>
      </c>
      <c r="M41" s="1">
        <f t="shared" ca="1" si="5"/>
        <v>28</v>
      </c>
      <c r="N41" s="36" t="str">
        <f t="shared" ca="1" si="6"/>
        <v>28/1/2016</v>
      </c>
    </row>
    <row r="42" spans="1:14" ht="23.25" customHeight="1" x14ac:dyDescent="0.25">
      <c r="A42" s="31">
        <v>41</v>
      </c>
      <c r="B42" s="31">
        <f t="shared" si="7"/>
        <v>7</v>
      </c>
      <c r="C42" s="31">
        <f t="shared" si="8"/>
        <v>3</v>
      </c>
      <c r="D42" s="31">
        <f t="shared" si="9"/>
        <v>2016</v>
      </c>
      <c r="E42" s="27">
        <v>42436</v>
      </c>
      <c r="F42" s="27" t="str">
        <f>PROPER(CONCATENATE(Datos_MME!D42&amp;" "&amp;Datos_MME!E42&amp;" "&amp;Datos_MME!F42&amp;" "&amp;Datos_MME!G42))</f>
        <v>Olga Lucia Salazar Muñoz</v>
      </c>
      <c r="G42" s="19">
        <v>12</v>
      </c>
      <c r="H42" s="19">
        <v>37</v>
      </c>
      <c r="I42" s="31">
        <v>37</v>
      </c>
      <c r="J42" s="30" t="s">
        <v>25</v>
      </c>
      <c r="K42" s="1" t="str">
        <f t="shared" si="3"/>
        <v>Riesgo moderado</v>
      </c>
      <c r="L42" s="1" t="str">
        <f t="shared" si="4"/>
        <v>No aplica</v>
      </c>
      <c r="M42" s="1">
        <f t="shared" ca="1" si="5"/>
        <v>14</v>
      </c>
      <c r="N42" s="36" t="str">
        <f t="shared" ca="1" si="6"/>
        <v>14/1/2016</v>
      </c>
    </row>
    <row r="43" spans="1:14" ht="23.25" customHeight="1" x14ac:dyDescent="0.25">
      <c r="A43" s="31">
        <v>42</v>
      </c>
      <c r="B43" s="31">
        <f t="shared" si="7"/>
        <v>10</v>
      </c>
      <c r="C43" s="31">
        <f t="shared" si="8"/>
        <v>3</v>
      </c>
      <c r="D43" s="31">
        <f t="shared" si="9"/>
        <v>2016</v>
      </c>
      <c r="E43" s="27">
        <v>42439</v>
      </c>
      <c r="F43" s="27" t="str">
        <f>PROPER(CONCATENATE(Datos_MME!D43&amp;" "&amp;Datos_MME!E43&amp;" "&amp;Datos_MME!F43&amp;" "&amp;Datos_MME!G43))</f>
        <v>Francia Elena Arias Marquez</v>
      </c>
      <c r="G43" s="19">
        <v>2</v>
      </c>
      <c r="H43" s="19">
        <v>38</v>
      </c>
      <c r="I43" s="31">
        <v>18</v>
      </c>
      <c r="J43" s="30" t="s">
        <v>25</v>
      </c>
      <c r="K43" s="1" t="str">
        <f t="shared" si="3"/>
        <v>Riesgo muy elevado</v>
      </c>
      <c r="L43" s="1" t="str">
        <f t="shared" si="4"/>
        <v>Estancia baja</v>
      </c>
      <c r="M43" s="1">
        <f t="shared" ca="1" si="5"/>
        <v>15</v>
      </c>
      <c r="N43" s="36" t="str">
        <f t="shared" ca="1" si="6"/>
        <v>15/1/2016</v>
      </c>
    </row>
    <row r="44" spans="1:14" ht="23.25" customHeight="1" x14ac:dyDescent="0.25">
      <c r="A44" s="31">
        <v>43</v>
      </c>
      <c r="B44" s="31">
        <f t="shared" si="7"/>
        <v>7</v>
      </c>
      <c r="C44" s="31">
        <f t="shared" si="8"/>
        <v>3</v>
      </c>
      <c r="D44" s="31">
        <f t="shared" si="9"/>
        <v>2016</v>
      </c>
      <c r="E44" s="27">
        <v>42436</v>
      </c>
      <c r="F44" s="27" t="str">
        <f>PROPER(CONCATENATE(Datos_MME!D44&amp;" "&amp;Datos_MME!E44&amp;" "&amp;Datos_MME!F44&amp;" "&amp;Datos_MME!G44))</f>
        <v>Luisa Fernanda Herrera Araque</v>
      </c>
      <c r="G44" s="19">
        <v>14</v>
      </c>
      <c r="H44" s="19">
        <v>18</v>
      </c>
      <c r="I44" s="31">
        <v>20</v>
      </c>
      <c r="J44" s="30" t="s">
        <v>25</v>
      </c>
      <c r="K44" s="1" t="str">
        <f t="shared" si="3"/>
        <v>Riesgo moderado</v>
      </c>
      <c r="L44" s="1" t="str">
        <f t="shared" si="4"/>
        <v>No aplica</v>
      </c>
      <c r="M44" s="1">
        <f t="shared" ca="1" si="5"/>
        <v>1</v>
      </c>
      <c r="N44" s="36" t="str">
        <f t="shared" ca="1" si="6"/>
        <v>1/1/2016</v>
      </c>
    </row>
    <row r="45" spans="1:14" ht="23.25" customHeight="1" x14ac:dyDescent="0.25">
      <c r="A45" s="31">
        <v>44</v>
      </c>
      <c r="B45" s="31">
        <f t="shared" si="7"/>
        <v>22</v>
      </c>
      <c r="C45" s="31">
        <f t="shared" si="8"/>
        <v>1</v>
      </c>
      <c r="D45" s="31">
        <f t="shared" si="9"/>
        <v>2016</v>
      </c>
      <c r="E45" s="27">
        <v>42391</v>
      </c>
      <c r="F45" s="27" t="str">
        <f>PROPER(CONCATENATE(Datos_MME!D45&amp;" "&amp;Datos_MME!E45&amp;" "&amp;Datos_MME!F45&amp;" "&amp;Datos_MME!G45))</f>
        <v>Luz Adriana Dimas Hurtado</v>
      </c>
      <c r="G45" s="19">
        <v>16</v>
      </c>
      <c r="H45" s="19">
        <v>37</v>
      </c>
      <c r="I45" s="31">
        <v>31</v>
      </c>
      <c r="J45" s="30" t="s">
        <v>25</v>
      </c>
      <c r="K45" s="1" t="str">
        <f t="shared" si="3"/>
        <v>Riesgo moderado</v>
      </c>
      <c r="L45" s="1" t="str">
        <f t="shared" si="4"/>
        <v>No aplica</v>
      </c>
      <c r="M45" s="1">
        <f t="shared" ca="1" si="5"/>
        <v>5</v>
      </c>
      <c r="N45" s="36" t="str">
        <f t="shared" ca="1" si="6"/>
        <v>5/1/2016</v>
      </c>
    </row>
    <row r="46" spans="1:14" ht="23.25" customHeight="1" x14ac:dyDescent="0.25">
      <c r="A46" s="31">
        <v>45</v>
      </c>
      <c r="B46" s="31">
        <f t="shared" si="7"/>
        <v>18</v>
      </c>
      <c r="C46" s="31">
        <f t="shared" si="8"/>
        <v>1</v>
      </c>
      <c r="D46" s="31">
        <f t="shared" si="9"/>
        <v>2016</v>
      </c>
      <c r="E46" s="27">
        <v>42387</v>
      </c>
      <c r="F46" s="27" t="str">
        <f>PROPER(CONCATENATE(Datos_MME!D46&amp;" "&amp;Datos_MME!E46&amp;" "&amp;Datos_MME!F46&amp;" "&amp;Datos_MME!G46))</f>
        <v>Ana Maria Martinez Lopez</v>
      </c>
      <c r="G46" s="19">
        <v>18</v>
      </c>
      <c r="H46" s="19">
        <v>38</v>
      </c>
      <c r="I46" s="31">
        <v>22</v>
      </c>
      <c r="J46" s="30" t="s">
        <v>27</v>
      </c>
      <c r="K46" s="1" t="str">
        <f t="shared" si="3"/>
        <v>Riesgo muy elevado</v>
      </c>
      <c r="L46" s="1" t="str">
        <f t="shared" si="4"/>
        <v>Estancia alta</v>
      </c>
      <c r="M46" s="1">
        <f t="shared" ca="1" si="5"/>
        <v>1</v>
      </c>
      <c r="N46" s="36" t="str">
        <f t="shared" ca="1" si="6"/>
        <v>1/1/2016</v>
      </c>
    </row>
    <row r="47" spans="1:14" ht="23.25" customHeight="1" x14ac:dyDescent="0.25">
      <c r="A47" s="31">
        <v>46</v>
      </c>
      <c r="B47" s="31">
        <f t="shared" si="7"/>
        <v>23</v>
      </c>
      <c r="C47" s="31">
        <f t="shared" si="8"/>
        <v>1</v>
      </c>
      <c r="D47" s="31">
        <f t="shared" si="9"/>
        <v>2016</v>
      </c>
      <c r="E47" s="27">
        <v>42392</v>
      </c>
      <c r="F47" s="27" t="str">
        <f>PROPER(CONCATENATE(Datos_MME!D47&amp;" "&amp;Datos_MME!E47&amp;" "&amp;Datos_MME!F47&amp;" "&amp;Datos_MME!G47))</f>
        <v>Liney Ester Velez Barrios</v>
      </c>
      <c r="G47" s="19">
        <v>20</v>
      </c>
      <c r="H47" s="19">
        <v>37</v>
      </c>
      <c r="I47" s="31">
        <v>15</v>
      </c>
      <c r="J47" s="30" t="s">
        <v>26</v>
      </c>
      <c r="K47" s="1" t="str">
        <f t="shared" si="3"/>
        <v>Riesgo muy elevado</v>
      </c>
      <c r="L47" s="1" t="str">
        <f t="shared" si="4"/>
        <v>No aplica</v>
      </c>
      <c r="M47" s="1">
        <f t="shared" ca="1" si="5"/>
        <v>14</v>
      </c>
      <c r="N47" s="36" t="str">
        <f t="shared" ca="1" si="6"/>
        <v>14/1/2016</v>
      </c>
    </row>
    <row r="48" spans="1:14" ht="23.25" customHeight="1" x14ac:dyDescent="0.25">
      <c r="A48" s="31">
        <v>47</v>
      </c>
      <c r="B48" s="31">
        <f t="shared" si="7"/>
        <v>20</v>
      </c>
      <c r="C48" s="31">
        <f t="shared" si="8"/>
        <v>1</v>
      </c>
      <c r="D48" s="31">
        <f t="shared" si="9"/>
        <v>2016</v>
      </c>
      <c r="E48" s="27">
        <v>42389</v>
      </c>
      <c r="F48" s="27" t="str">
        <f>PROPER(CONCATENATE(Datos_MME!D48&amp;" "&amp;Datos_MME!E48&amp;" "&amp;Datos_MME!F48&amp;" "&amp;Datos_MME!G48))</f>
        <v>Yeysy Andrea Gomez Castrillon</v>
      </c>
      <c r="G48" s="19">
        <v>22</v>
      </c>
      <c r="H48" s="19">
        <v>29</v>
      </c>
      <c r="I48" s="31">
        <v>19</v>
      </c>
      <c r="J48" s="30" t="s">
        <v>27</v>
      </c>
      <c r="K48" s="1" t="str">
        <f t="shared" si="3"/>
        <v>Riesgo alto</v>
      </c>
      <c r="L48" s="1" t="str">
        <f t="shared" si="4"/>
        <v>Estancia alta</v>
      </c>
      <c r="M48" s="1">
        <f t="shared" ca="1" si="5"/>
        <v>30</v>
      </c>
      <c r="N48" s="36" t="str">
        <f t="shared" ca="1" si="6"/>
        <v>30/1/2016</v>
      </c>
    </row>
    <row r="49" spans="1:14" ht="23.25" customHeight="1" x14ac:dyDescent="0.25">
      <c r="A49" s="31">
        <v>48</v>
      </c>
      <c r="B49" s="31">
        <f t="shared" si="7"/>
        <v>26</v>
      </c>
      <c r="C49" s="31">
        <f t="shared" si="8"/>
        <v>1</v>
      </c>
      <c r="D49" s="31">
        <f t="shared" si="9"/>
        <v>2016</v>
      </c>
      <c r="E49" s="27">
        <v>42395</v>
      </c>
      <c r="F49" s="27" t="str">
        <f>PROPER(CONCATENATE(Datos_MME!D49&amp;" "&amp;Datos_MME!E49&amp;" "&amp;Datos_MME!F49&amp;" "&amp;Datos_MME!G49))</f>
        <v>Laura Marcela Quirama Villegas</v>
      </c>
      <c r="G49" s="19">
        <v>24</v>
      </c>
      <c r="H49" s="19">
        <v>31</v>
      </c>
      <c r="I49" s="31">
        <v>27</v>
      </c>
      <c r="J49" s="30" t="s">
        <v>27</v>
      </c>
      <c r="K49" s="1" t="str">
        <f t="shared" si="3"/>
        <v>Riesgo alto</v>
      </c>
      <c r="L49" s="1" t="str">
        <f t="shared" si="4"/>
        <v>Estancia alta</v>
      </c>
      <c r="M49" s="1">
        <f t="shared" ca="1" si="5"/>
        <v>23</v>
      </c>
      <c r="N49" s="36" t="str">
        <f t="shared" ca="1" si="6"/>
        <v>23/1/2016</v>
      </c>
    </row>
    <row r="50" spans="1:14" ht="23.25" customHeight="1" x14ac:dyDescent="0.25">
      <c r="A50" s="31">
        <v>49</v>
      </c>
      <c r="B50" s="31">
        <f t="shared" si="7"/>
        <v>26</v>
      </c>
      <c r="C50" s="31">
        <f t="shared" si="8"/>
        <v>1</v>
      </c>
      <c r="D50" s="31">
        <f t="shared" si="9"/>
        <v>2016</v>
      </c>
      <c r="E50" s="27">
        <v>42395</v>
      </c>
      <c r="F50" s="27" t="str">
        <f>PROPER(CONCATENATE(Datos_MME!D50&amp;" "&amp;Datos_MME!E50&amp;" "&amp;Datos_MME!F50&amp;" "&amp;Datos_MME!G50))</f>
        <v>Ana Maria Restrepo Villada</v>
      </c>
      <c r="G50" s="19">
        <v>3</v>
      </c>
      <c r="H50" s="19">
        <v>25</v>
      </c>
      <c r="I50" s="31">
        <v>35</v>
      </c>
      <c r="J50" s="30" t="s">
        <v>27</v>
      </c>
      <c r="K50" s="1" t="str">
        <f t="shared" si="3"/>
        <v>Riesgo muy elevado</v>
      </c>
      <c r="L50" s="1" t="str">
        <f t="shared" si="4"/>
        <v>No aplica</v>
      </c>
      <c r="M50" s="1">
        <f t="shared" ca="1" si="5"/>
        <v>2</v>
      </c>
      <c r="N50" s="36" t="str">
        <f t="shared" ca="1" si="6"/>
        <v>2/1/2016</v>
      </c>
    </row>
    <row r="51" spans="1:14" ht="23.25" customHeight="1" x14ac:dyDescent="0.25">
      <c r="A51" s="31">
        <v>50</v>
      </c>
      <c r="B51" s="31">
        <f t="shared" si="7"/>
        <v>10</v>
      </c>
      <c r="C51" s="31">
        <f t="shared" si="8"/>
        <v>3</v>
      </c>
      <c r="D51" s="31">
        <f t="shared" si="9"/>
        <v>2016</v>
      </c>
      <c r="E51" s="27">
        <v>42439</v>
      </c>
      <c r="F51" s="27" t="str">
        <f>PROPER(CONCATENATE(Datos_MME!D51&amp;" "&amp;Datos_MME!E51&amp;" "&amp;Datos_MME!F51&amp;" "&amp;Datos_MME!G51))</f>
        <v>Gloria Patricia Gutierrez Mejia</v>
      </c>
      <c r="G51" s="19">
        <v>5</v>
      </c>
      <c r="H51" s="19">
        <v>24</v>
      </c>
      <c r="I51" s="31">
        <v>36</v>
      </c>
      <c r="J51" s="30" t="s">
        <v>25</v>
      </c>
      <c r="K51" s="1" t="str">
        <f t="shared" si="3"/>
        <v>Riesgo moderado</v>
      </c>
      <c r="L51" s="1" t="str">
        <f t="shared" si="4"/>
        <v>Estancia baja</v>
      </c>
      <c r="M51" s="1">
        <f t="shared" ca="1" si="5"/>
        <v>18</v>
      </c>
      <c r="N51" s="36" t="str">
        <f t="shared" ca="1" si="6"/>
        <v>18/1/2016</v>
      </c>
    </row>
    <row r="52" spans="1:14" ht="23.25" customHeight="1" x14ac:dyDescent="0.25">
      <c r="A52" s="31">
        <v>51</v>
      </c>
      <c r="B52" s="31">
        <f t="shared" si="7"/>
        <v>7</v>
      </c>
      <c r="C52" s="31">
        <f t="shared" si="8"/>
        <v>3</v>
      </c>
      <c r="D52" s="31">
        <f t="shared" si="9"/>
        <v>2016</v>
      </c>
      <c r="E52" s="27">
        <v>42436</v>
      </c>
      <c r="F52" s="27" t="str">
        <f>PROPER(CONCATENATE(Datos_MME!D52&amp;" "&amp;Datos_MME!E52&amp;" "&amp;Datos_MME!F52&amp;" "&amp;Datos_MME!G52))</f>
        <v>Sandra Milena Velasquez Echeverry</v>
      </c>
      <c r="G52" s="19">
        <v>6</v>
      </c>
      <c r="H52" s="19">
        <v>36</v>
      </c>
      <c r="I52" s="31">
        <v>42</v>
      </c>
      <c r="J52" s="30" t="s">
        <v>25</v>
      </c>
      <c r="K52" s="1" t="str">
        <f t="shared" si="3"/>
        <v>Riesgo moderado</v>
      </c>
      <c r="L52" s="1" t="str">
        <f t="shared" si="4"/>
        <v>Estancia baja</v>
      </c>
      <c r="M52" s="1">
        <f t="shared" ca="1" si="5"/>
        <v>6</v>
      </c>
      <c r="N52" s="36" t="str">
        <f t="shared" ca="1" si="6"/>
        <v>6/1/2016</v>
      </c>
    </row>
    <row r="53" spans="1:14" ht="23.25" customHeight="1" x14ac:dyDescent="0.25">
      <c r="A53" s="31">
        <v>52</v>
      </c>
      <c r="B53" s="31">
        <f t="shared" si="7"/>
        <v>10</v>
      </c>
      <c r="C53" s="31">
        <f t="shared" si="8"/>
        <v>3</v>
      </c>
      <c r="D53" s="31">
        <f t="shared" si="9"/>
        <v>2016</v>
      </c>
      <c r="E53" s="27">
        <v>42439</v>
      </c>
      <c r="F53" s="27" t="str">
        <f>PROPER(CONCATENATE(Datos_MME!D53&amp;" "&amp;Datos_MME!E53&amp;" "&amp;Datos_MME!F53&amp;" "&amp;Datos_MME!G53))</f>
        <v>Mirta Janet Montoya Galvis</v>
      </c>
      <c r="G53" s="19">
        <v>8</v>
      </c>
      <c r="H53" s="19">
        <v>38</v>
      </c>
      <c r="I53" s="31">
        <v>37</v>
      </c>
      <c r="J53" s="30" t="s">
        <v>28</v>
      </c>
      <c r="K53" s="1" t="str">
        <f t="shared" si="3"/>
        <v>Riesgo muy elevado</v>
      </c>
      <c r="L53" s="1" t="str">
        <f t="shared" si="4"/>
        <v>No aplica</v>
      </c>
      <c r="M53" s="1">
        <f t="shared" ca="1" si="5"/>
        <v>21</v>
      </c>
      <c r="N53" s="36" t="str">
        <f t="shared" ca="1" si="6"/>
        <v>21/1/2016</v>
      </c>
    </row>
    <row r="54" spans="1:14" ht="23.25" customHeight="1" x14ac:dyDescent="0.25">
      <c r="A54" s="31">
        <v>53</v>
      </c>
      <c r="B54" s="31">
        <f t="shared" si="7"/>
        <v>7</v>
      </c>
      <c r="C54" s="31">
        <f t="shared" si="8"/>
        <v>3</v>
      </c>
      <c r="D54" s="31">
        <f t="shared" si="9"/>
        <v>2016</v>
      </c>
      <c r="E54" s="27">
        <v>42436</v>
      </c>
      <c r="F54" s="27" t="str">
        <f>PROPER(CONCATENATE(Datos_MME!D54&amp;" "&amp;Datos_MME!E54&amp;" "&amp;Datos_MME!F54&amp;" "&amp;Datos_MME!G54))</f>
        <v>Dorany Maria Villa Puerta</v>
      </c>
      <c r="G54" s="19">
        <v>9</v>
      </c>
      <c r="H54" s="19">
        <v>29</v>
      </c>
      <c r="I54" s="31">
        <v>18</v>
      </c>
      <c r="J54" s="30" t="s">
        <v>25</v>
      </c>
      <c r="K54" s="1" t="str">
        <f t="shared" si="3"/>
        <v>Riesgo moderado</v>
      </c>
      <c r="L54" s="1" t="str">
        <f t="shared" si="4"/>
        <v>Estancia baja</v>
      </c>
      <c r="M54" s="1">
        <f t="shared" ca="1" si="5"/>
        <v>28</v>
      </c>
      <c r="N54" s="36" t="str">
        <f t="shared" ca="1" si="6"/>
        <v>28/1/2016</v>
      </c>
    </row>
    <row r="55" spans="1:14" ht="23.25" customHeight="1" x14ac:dyDescent="0.25">
      <c r="A55" s="31">
        <v>54</v>
      </c>
      <c r="B55" s="31">
        <f t="shared" si="7"/>
        <v>22</v>
      </c>
      <c r="C55" s="31">
        <f t="shared" si="8"/>
        <v>1</v>
      </c>
      <c r="D55" s="31">
        <f t="shared" si="9"/>
        <v>2016</v>
      </c>
      <c r="E55" s="27">
        <v>42391</v>
      </c>
      <c r="F55" s="27" t="str">
        <f>PROPER(CONCATENATE(Datos_MME!D55&amp;" "&amp;Datos_MME!E55&amp;" "&amp;Datos_MME!F55&amp;" "&amp;Datos_MME!G55))</f>
        <v>Yuledis  Ciro Misas</v>
      </c>
      <c r="G55" s="19">
        <v>5</v>
      </c>
      <c r="H55" s="19">
        <v>24</v>
      </c>
      <c r="I55" s="31">
        <v>20</v>
      </c>
      <c r="J55" s="30" t="s">
        <v>25</v>
      </c>
      <c r="K55" s="1" t="str">
        <f t="shared" si="3"/>
        <v>Riesgo moderado</v>
      </c>
      <c r="L55" s="1" t="str">
        <f t="shared" si="4"/>
        <v>Estancia baja</v>
      </c>
      <c r="M55" s="1">
        <f t="shared" ca="1" si="5"/>
        <v>3</v>
      </c>
      <c r="N55" s="36" t="str">
        <f t="shared" ca="1" si="6"/>
        <v>3/1/2016</v>
      </c>
    </row>
  </sheetData>
  <mergeCells count="1">
    <mergeCell ref="P7:V9"/>
  </mergeCells>
  <dataValidations count="3">
    <dataValidation allowBlank="1" showInputMessage="1" showErrorMessage="1" promptTitle="Edad" prompt="Registre la edad en números enteros" sqref="I1" xr:uid="{00000000-0002-0000-0100-000000000000}"/>
    <dataValidation type="list" allowBlank="1" showInputMessage="1" showErrorMessage="1" sqref="Y2" xr:uid="{6C41D015-FB41-420C-9A01-967CFC3B697A}">
      <formula1>$T$2:$T$5</formula1>
    </dataValidation>
    <dataValidation type="list" allowBlank="1" showInputMessage="1" showErrorMessage="1" sqref="AE2" xr:uid="{6F9EE944-39F3-4863-B56F-26481B2CEFA3}">
      <formula1>$P$2:$P$5</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5"/>
  <sheetViews>
    <sheetView workbookViewId="0">
      <selection activeCell="D2" sqref="D2"/>
    </sheetView>
  </sheetViews>
  <sheetFormatPr baseColWidth="10" defaultRowHeight="15" x14ac:dyDescent="0.25"/>
  <cols>
    <col min="1" max="1" width="11.42578125" style="25"/>
    <col min="2" max="2" width="11.42578125" style="16"/>
    <col min="3" max="3" width="32.28515625" customWidth="1"/>
    <col min="4" max="4" width="12.7109375" customWidth="1"/>
    <col min="5" max="5" width="13.42578125" customWidth="1"/>
  </cols>
  <sheetData>
    <row r="1" spans="1:7" ht="66" customHeight="1" x14ac:dyDescent="0.25">
      <c r="A1" s="17" t="s">
        <v>20</v>
      </c>
      <c r="B1" s="17" t="s">
        <v>199</v>
      </c>
      <c r="C1" s="18" t="s">
        <v>29</v>
      </c>
      <c r="D1" s="18" t="s">
        <v>15</v>
      </c>
      <c r="E1" s="18" t="s">
        <v>16</v>
      </c>
      <c r="F1" s="18" t="s">
        <v>17</v>
      </c>
      <c r="G1" s="18" t="s">
        <v>18</v>
      </c>
    </row>
    <row r="2" spans="1:7" x14ac:dyDescent="0.25">
      <c r="A2" s="24">
        <v>1</v>
      </c>
      <c r="B2" s="27">
        <v>42371</v>
      </c>
      <c r="C2" s="22" t="s">
        <v>25</v>
      </c>
      <c r="D2" s="14" t="s">
        <v>30</v>
      </c>
      <c r="E2" s="14" t="s">
        <v>31</v>
      </c>
      <c r="F2" s="15" t="s">
        <v>193</v>
      </c>
      <c r="G2" s="14" t="s">
        <v>152</v>
      </c>
    </row>
    <row r="3" spans="1:7" x14ac:dyDescent="0.25">
      <c r="A3" s="24">
        <v>2</v>
      </c>
      <c r="B3" s="27">
        <v>42376</v>
      </c>
      <c r="C3" s="22" t="s">
        <v>26</v>
      </c>
      <c r="D3" s="14" t="s">
        <v>34</v>
      </c>
      <c r="E3" s="14" t="s">
        <v>35</v>
      </c>
      <c r="F3" s="15" t="s">
        <v>32</v>
      </c>
      <c r="G3" s="14" t="s">
        <v>156</v>
      </c>
    </row>
    <row r="4" spans="1:7" x14ac:dyDescent="0.25">
      <c r="A4" s="24">
        <v>3</v>
      </c>
      <c r="B4" s="27">
        <v>42377</v>
      </c>
      <c r="C4" s="22" t="s">
        <v>27</v>
      </c>
      <c r="D4" s="14" t="s">
        <v>38</v>
      </c>
      <c r="E4" s="14" t="s">
        <v>19</v>
      </c>
      <c r="F4" s="15" t="s">
        <v>36</v>
      </c>
      <c r="G4" s="14" t="s">
        <v>33</v>
      </c>
    </row>
    <row r="5" spans="1:7" x14ac:dyDescent="0.25">
      <c r="A5" s="24">
        <v>4</v>
      </c>
      <c r="B5" s="27">
        <v>42377</v>
      </c>
      <c r="C5" s="22" t="s">
        <v>27</v>
      </c>
      <c r="D5" s="14" t="s">
        <v>41</v>
      </c>
      <c r="E5" s="14" t="s">
        <v>42</v>
      </c>
      <c r="F5" s="15" t="s">
        <v>39</v>
      </c>
      <c r="G5" s="14" t="s">
        <v>37</v>
      </c>
    </row>
    <row r="6" spans="1:7" ht="25.5" x14ac:dyDescent="0.25">
      <c r="A6" s="24">
        <v>5</v>
      </c>
      <c r="B6" s="27">
        <v>42377</v>
      </c>
      <c r="C6" s="22" t="s">
        <v>27</v>
      </c>
      <c r="D6" s="14" t="s">
        <v>45</v>
      </c>
      <c r="E6" s="14" t="s">
        <v>19</v>
      </c>
      <c r="F6" s="15" t="s">
        <v>43</v>
      </c>
      <c r="G6" s="14" t="s">
        <v>40</v>
      </c>
    </row>
    <row r="7" spans="1:7" ht="25.5" x14ac:dyDescent="0.25">
      <c r="A7" s="24">
        <v>6</v>
      </c>
      <c r="B7" s="27">
        <v>42375</v>
      </c>
      <c r="C7" s="22" t="s">
        <v>25</v>
      </c>
      <c r="D7" s="14" t="s">
        <v>48</v>
      </c>
      <c r="E7" s="14" t="s">
        <v>49</v>
      </c>
      <c r="F7" s="15" t="s">
        <v>46</v>
      </c>
      <c r="G7" s="14" t="s">
        <v>44</v>
      </c>
    </row>
    <row r="8" spans="1:7" x14ac:dyDescent="0.25">
      <c r="A8" s="24">
        <v>7</v>
      </c>
      <c r="B8" s="27">
        <v>42375</v>
      </c>
      <c r="C8" s="22" t="s">
        <v>25</v>
      </c>
      <c r="D8" s="14" t="s">
        <v>52</v>
      </c>
      <c r="E8" s="14" t="s">
        <v>53</v>
      </c>
      <c r="F8" s="15" t="s">
        <v>50</v>
      </c>
      <c r="G8" s="14" t="s">
        <v>47</v>
      </c>
    </row>
    <row r="9" spans="1:7" x14ac:dyDescent="0.25">
      <c r="A9" s="24">
        <v>8</v>
      </c>
      <c r="B9" s="27">
        <v>42375</v>
      </c>
      <c r="C9" s="22" t="s">
        <v>28</v>
      </c>
      <c r="D9" s="14" t="s">
        <v>55</v>
      </c>
      <c r="E9" s="14" t="s">
        <v>56</v>
      </c>
      <c r="F9" s="15" t="s">
        <v>51</v>
      </c>
      <c r="G9" s="14" t="s">
        <v>51</v>
      </c>
    </row>
    <row r="10" spans="1:7" x14ac:dyDescent="0.25">
      <c r="A10" s="24">
        <v>9</v>
      </c>
      <c r="B10" s="27">
        <v>42373</v>
      </c>
      <c r="C10" s="22" t="s">
        <v>25</v>
      </c>
      <c r="D10" s="14" t="s">
        <v>59</v>
      </c>
      <c r="E10" s="14" t="s">
        <v>60</v>
      </c>
      <c r="F10" s="15" t="s">
        <v>57</v>
      </c>
      <c r="G10" s="14" t="s">
        <v>54</v>
      </c>
    </row>
    <row r="11" spans="1:7" x14ac:dyDescent="0.25">
      <c r="A11" s="24">
        <v>10</v>
      </c>
      <c r="B11" s="27">
        <v>42377</v>
      </c>
      <c r="C11" s="22" t="s">
        <v>25</v>
      </c>
      <c r="D11" s="14" t="s">
        <v>63</v>
      </c>
      <c r="E11" s="14" t="s">
        <v>64</v>
      </c>
      <c r="F11" s="15" t="s">
        <v>61</v>
      </c>
      <c r="G11" s="14" t="s">
        <v>58</v>
      </c>
    </row>
    <row r="12" spans="1:7" x14ac:dyDescent="0.25">
      <c r="A12" s="24">
        <v>11</v>
      </c>
      <c r="B12" s="27">
        <v>42382</v>
      </c>
      <c r="C12" s="22" t="s">
        <v>25</v>
      </c>
      <c r="D12" s="14" t="s">
        <v>67</v>
      </c>
      <c r="E12" s="14" t="s">
        <v>19</v>
      </c>
      <c r="F12" s="15" t="s">
        <v>65</v>
      </c>
      <c r="G12" s="14" t="s">
        <v>62</v>
      </c>
    </row>
    <row r="13" spans="1:7" x14ac:dyDescent="0.25">
      <c r="A13" s="24">
        <v>12</v>
      </c>
      <c r="B13" s="27">
        <v>42382</v>
      </c>
      <c r="C13" s="22" t="s">
        <v>25</v>
      </c>
      <c r="D13" s="14" t="s">
        <v>69</v>
      </c>
      <c r="E13" s="14" t="s">
        <v>70</v>
      </c>
      <c r="F13" s="15" t="s">
        <v>68</v>
      </c>
      <c r="G13" s="14" t="s">
        <v>66</v>
      </c>
    </row>
    <row r="14" spans="1:7" x14ac:dyDescent="0.25">
      <c r="A14" s="24">
        <v>13</v>
      </c>
      <c r="B14" s="27">
        <v>42382</v>
      </c>
      <c r="C14" s="22" t="s">
        <v>27</v>
      </c>
      <c r="D14" s="14" t="s">
        <v>56</v>
      </c>
      <c r="E14" s="14" t="s">
        <v>72</v>
      </c>
      <c r="F14" s="15" t="s">
        <v>71</v>
      </c>
      <c r="G14" s="14" t="s">
        <v>19</v>
      </c>
    </row>
    <row r="15" spans="1:7" ht="25.5" x14ac:dyDescent="0.25">
      <c r="A15" s="24">
        <v>14</v>
      </c>
      <c r="B15" s="27">
        <v>42391</v>
      </c>
      <c r="C15" s="22" t="s">
        <v>25</v>
      </c>
      <c r="D15" s="14" t="s">
        <v>75</v>
      </c>
      <c r="E15" s="14" t="s">
        <v>76</v>
      </c>
      <c r="F15" s="15" t="s">
        <v>73</v>
      </c>
      <c r="G15" s="14" t="s">
        <v>40</v>
      </c>
    </row>
    <row r="16" spans="1:7" x14ac:dyDescent="0.25">
      <c r="A16" s="24">
        <v>15</v>
      </c>
      <c r="B16" s="27">
        <v>42387</v>
      </c>
      <c r="C16" s="22" t="s">
        <v>27</v>
      </c>
      <c r="D16" s="14" t="s">
        <v>79</v>
      </c>
      <c r="E16" s="14" t="s">
        <v>80</v>
      </c>
      <c r="F16" s="15" t="s">
        <v>77</v>
      </c>
      <c r="G16" s="14" t="s">
        <v>74</v>
      </c>
    </row>
    <row r="17" spans="1:7" x14ac:dyDescent="0.25">
      <c r="A17" s="24">
        <v>16</v>
      </c>
      <c r="B17" s="27">
        <v>42392</v>
      </c>
      <c r="C17" s="22" t="s">
        <v>25</v>
      </c>
      <c r="D17" s="14" t="s">
        <v>83</v>
      </c>
      <c r="E17" s="14" t="s">
        <v>19</v>
      </c>
      <c r="F17" s="15" t="s">
        <v>81</v>
      </c>
      <c r="G17" s="14" t="s">
        <v>78</v>
      </c>
    </row>
    <row r="18" spans="1:7" x14ac:dyDescent="0.25">
      <c r="A18" s="24">
        <v>17</v>
      </c>
      <c r="B18" s="27">
        <v>42389</v>
      </c>
      <c r="C18" s="22" t="s">
        <v>25</v>
      </c>
      <c r="D18" s="14" t="s">
        <v>85</v>
      </c>
      <c r="E18" s="14" t="s">
        <v>86</v>
      </c>
      <c r="F18" s="15" t="s">
        <v>84</v>
      </c>
      <c r="G18" s="14" t="s">
        <v>82</v>
      </c>
    </row>
    <row r="19" spans="1:7" x14ac:dyDescent="0.25">
      <c r="A19" s="24">
        <v>18</v>
      </c>
      <c r="B19" s="27">
        <v>42395</v>
      </c>
      <c r="C19" s="22" t="s">
        <v>28</v>
      </c>
      <c r="D19" s="14" t="s">
        <v>89</v>
      </c>
      <c r="E19" s="14" t="s">
        <v>19</v>
      </c>
      <c r="F19" s="15" t="s">
        <v>87</v>
      </c>
      <c r="G19" s="14" t="s">
        <v>65</v>
      </c>
    </row>
    <row r="20" spans="1:7" x14ac:dyDescent="0.25">
      <c r="A20" s="24">
        <v>19</v>
      </c>
      <c r="B20" s="27">
        <v>42395</v>
      </c>
      <c r="C20" s="22" t="s">
        <v>25</v>
      </c>
      <c r="D20" s="14" t="s">
        <v>92</v>
      </c>
      <c r="E20" s="14" t="s">
        <v>93</v>
      </c>
      <c r="F20" s="15" t="s">
        <v>90</v>
      </c>
      <c r="G20" s="14" t="s">
        <v>88</v>
      </c>
    </row>
    <row r="21" spans="1:7" x14ac:dyDescent="0.25">
      <c r="A21" s="24">
        <v>20</v>
      </c>
      <c r="B21" s="27">
        <v>42439</v>
      </c>
      <c r="C21" s="22" t="s">
        <v>25</v>
      </c>
      <c r="D21" s="14" t="s">
        <v>56</v>
      </c>
      <c r="E21" s="14" t="s">
        <v>96</v>
      </c>
      <c r="F21" s="15" t="s">
        <v>94</v>
      </c>
      <c r="G21" s="14" t="s">
        <v>91</v>
      </c>
    </row>
    <row r="22" spans="1:7" x14ac:dyDescent="0.25">
      <c r="A22" s="24">
        <v>21</v>
      </c>
      <c r="B22" s="27">
        <v>42436</v>
      </c>
      <c r="C22" s="22" t="s">
        <v>25</v>
      </c>
      <c r="D22" s="14" t="s">
        <v>99</v>
      </c>
      <c r="E22" s="14" t="s">
        <v>100</v>
      </c>
      <c r="F22" s="15" t="s">
        <v>97</v>
      </c>
      <c r="G22" s="14" t="s">
        <v>95</v>
      </c>
    </row>
    <row r="23" spans="1:7" x14ac:dyDescent="0.25">
      <c r="A23" s="24">
        <v>22</v>
      </c>
      <c r="B23" s="27">
        <v>42439</v>
      </c>
      <c r="C23" s="22" t="s">
        <v>25</v>
      </c>
      <c r="D23" s="14" t="s">
        <v>103</v>
      </c>
      <c r="E23" s="14" t="s">
        <v>19</v>
      </c>
      <c r="F23" s="15" t="s">
        <v>101</v>
      </c>
      <c r="G23" s="14" t="s">
        <v>98</v>
      </c>
    </row>
    <row r="24" spans="1:7" x14ac:dyDescent="0.25">
      <c r="A24" s="24">
        <v>23</v>
      </c>
      <c r="B24" s="27">
        <v>42436</v>
      </c>
      <c r="C24" s="22" t="s">
        <v>27</v>
      </c>
      <c r="D24" s="14" t="s">
        <v>41</v>
      </c>
      <c r="E24" s="14" t="s">
        <v>105</v>
      </c>
      <c r="F24" s="15" t="s">
        <v>104</v>
      </c>
      <c r="G24" s="14" t="s">
        <v>102</v>
      </c>
    </row>
    <row r="25" spans="1:7" x14ac:dyDescent="0.25">
      <c r="A25" s="24">
        <v>24</v>
      </c>
      <c r="B25" s="28">
        <v>42391</v>
      </c>
      <c r="C25" s="22" t="s">
        <v>26</v>
      </c>
      <c r="D25" s="14" t="s">
        <v>107</v>
      </c>
      <c r="E25" s="14" t="s">
        <v>60</v>
      </c>
      <c r="F25" s="15" t="s">
        <v>106</v>
      </c>
      <c r="G25" s="14" t="s">
        <v>65</v>
      </c>
    </row>
    <row r="26" spans="1:7" x14ac:dyDescent="0.25">
      <c r="A26" s="24">
        <v>25</v>
      </c>
      <c r="B26" s="28">
        <v>42387</v>
      </c>
      <c r="C26" s="22" t="s">
        <v>27</v>
      </c>
      <c r="D26" s="14" t="s">
        <v>109</v>
      </c>
      <c r="E26" s="14" t="s">
        <v>110</v>
      </c>
      <c r="F26" s="15" t="s">
        <v>54</v>
      </c>
      <c r="G26" s="14" t="s">
        <v>102</v>
      </c>
    </row>
    <row r="27" spans="1:7" ht="25.5" x14ac:dyDescent="0.25">
      <c r="A27" s="24">
        <v>26</v>
      </c>
      <c r="B27" s="27">
        <v>42392</v>
      </c>
      <c r="C27" s="22" t="s">
        <v>27</v>
      </c>
      <c r="D27" s="14" t="s">
        <v>112</v>
      </c>
      <c r="E27" s="14" t="s">
        <v>113</v>
      </c>
      <c r="F27" s="15" t="s">
        <v>40</v>
      </c>
      <c r="G27" s="14" t="s">
        <v>108</v>
      </c>
    </row>
    <row r="28" spans="1:7" x14ac:dyDescent="0.25">
      <c r="A28" s="24">
        <v>27</v>
      </c>
      <c r="B28" s="27">
        <v>42389</v>
      </c>
      <c r="C28" s="22" t="s">
        <v>27</v>
      </c>
      <c r="D28" s="14" t="s">
        <v>56</v>
      </c>
      <c r="E28" s="14" t="s">
        <v>49</v>
      </c>
      <c r="F28" s="15" t="s">
        <v>114</v>
      </c>
      <c r="G28" s="14" t="s">
        <v>111</v>
      </c>
    </row>
    <row r="29" spans="1:7" x14ac:dyDescent="0.25">
      <c r="A29" s="24">
        <v>28</v>
      </c>
      <c r="B29" s="27">
        <v>42395</v>
      </c>
      <c r="C29" s="22" t="s">
        <v>25</v>
      </c>
      <c r="D29" s="14" t="s">
        <v>118</v>
      </c>
      <c r="E29" s="14" t="s">
        <v>119</v>
      </c>
      <c r="F29" s="15" t="s">
        <v>116</v>
      </c>
      <c r="G29" s="14" t="s">
        <v>115</v>
      </c>
    </row>
    <row r="30" spans="1:7" ht="25.5" x14ac:dyDescent="0.25">
      <c r="A30" s="24">
        <v>29</v>
      </c>
      <c r="B30" s="27">
        <v>42395</v>
      </c>
      <c r="C30" s="22" t="s">
        <v>25</v>
      </c>
      <c r="D30" s="14" t="s">
        <v>121</v>
      </c>
      <c r="E30" s="14" t="s">
        <v>122</v>
      </c>
      <c r="F30" s="15" t="s">
        <v>40</v>
      </c>
      <c r="G30" s="14" t="s">
        <v>117</v>
      </c>
    </row>
    <row r="31" spans="1:7" x14ac:dyDescent="0.25">
      <c r="A31" s="24">
        <v>30</v>
      </c>
      <c r="B31" s="27">
        <v>42439</v>
      </c>
      <c r="C31" s="22" t="s">
        <v>28</v>
      </c>
      <c r="D31" s="14" t="s">
        <v>56</v>
      </c>
      <c r="E31" s="14" t="s">
        <v>125</v>
      </c>
      <c r="F31" s="15" t="s">
        <v>123</v>
      </c>
      <c r="G31" s="14" t="s">
        <v>120</v>
      </c>
    </row>
    <row r="32" spans="1:7" ht="25.5" x14ac:dyDescent="0.25">
      <c r="A32" s="24">
        <v>31</v>
      </c>
      <c r="B32" s="27">
        <v>42436</v>
      </c>
      <c r="C32" s="22" t="s">
        <v>25</v>
      </c>
      <c r="D32" s="14" t="s">
        <v>128</v>
      </c>
      <c r="E32" s="14" t="s">
        <v>129</v>
      </c>
      <c r="F32" s="15" t="s">
        <v>126</v>
      </c>
      <c r="G32" s="14" t="s">
        <v>124</v>
      </c>
    </row>
    <row r="33" spans="1:7" ht="25.5" x14ac:dyDescent="0.25">
      <c r="A33" s="24">
        <v>32</v>
      </c>
      <c r="B33" s="27">
        <v>42439</v>
      </c>
      <c r="C33" s="22" t="s">
        <v>25</v>
      </c>
      <c r="D33" s="14" t="s">
        <v>131</v>
      </c>
      <c r="E33" s="14" t="s">
        <v>19</v>
      </c>
      <c r="F33" s="15" t="s">
        <v>130</v>
      </c>
      <c r="G33" s="14" t="s">
        <v>127</v>
      </c>
    </row>
    <row r="34" spans="1:7" x14ac:dyDescent="0.25">
      <c r="A34" s="24">
        <v>33</v>
      </c>
      <c r="B34" s="27">
        <v>42436</v>
      </c>
      <c r="C34" s="22" t="s">
        <v>25</v>
      </c>
      <c r="D34" s="14" t="s">
        <v>133</v>
      </c>
      <c r="E34" s="14" t="s">
        <v>134</v>
      </c>
      <c r="F34" s="15" t="s">
        <v>82</v>
      </c>
      <c r="G34" s="14" t="s">
        <v>58</v>
      </c>
    </row>
    <row r="35" spans="1:7" x14ac:dyDescent="0.25">
      <c r="A35" s="24">
        <v>34</v>
      </c>
      <c r="B35" s="27">
        <v>42391</v>
      </c>
      <c r="C35" s="22" t="s">
        <v>25</v>
      </c>
      <c r="D35" s="14" t="s">
        <v>136</v>
      </c>
      <c r="E35" s="14" t="s">
        <v>137</v>
      </c>
      <c r="F35" s="15" t="s">
        <v>104</v>
      </c>
      <c r="G35" s="14" t="s">
        <v>132</v>
      </c>
    </row>
    <row r="36" spans="1:7" x14ac:dyDescent="0.25">
      <c r="A36" s="24">
        <v>35</v>
      </c>
      <c r="B36" s="27">
        <v>42387</v>
      </c>
      <c r="C36" s="22" t="s">
        <v>27</v>
      </c>
      <c r="D36" s="14" t="s">
        <v>139</v>
      </c>
      <c r="E36" s="14" t="s">
        <v>140</v>
      </c>
      <c r="F36" s="15" t="s">
        <v>138</v>
      </c>
      <c r="G36" s="14" t="s">
        <v>135</v>
      </c>
    </row>
    <row r="37" spans="1:7" x14ac:dyDescent="0.25">
      <c r="A37" s="24">
        <v>36</v>
      </c>
      <c r="B37" s="27">
        <v>42392</v>
      </c>
      <c r="C37" s="22" t="s">
        <v>25</v>
      </c>
      <c r="D37" s="14" t="s">
        <v>143</v>
      </c>
      <c r="E37" s="14" t="s">
        <v>19</v>
      </c>
      <c r="F37" s="15" t="s">
        <v>141</v>
      </c>
      <c r="G37" s="14" t="s">
        <v>37</v>
      </c>
    </row>
    <row r="38" spans="1:7" x14ac:dyDescent="0.25">
      <c r="A38" s="24">
        <v>37</v>
      </c>
      <c r="B38" s="27">
        <v>42389</v>
      </c>
      <c r="C38" s="22" t="s">
        <v>27</v>
      </c>
      <c r="D38" s="14" t="s">
        <v>146</v>
      </c>
      <c r="E38" s="14" t="s">
        <v>147</v>
      </c>
      <c r="F38" s="15" t="s">
        <v>144</v>
      </c>
      <c r="G38" s="14" t="s">
        <v>142</v>
      </c>
    </row>
    <row r="39" spans="1:7" x14ac:dyDescent="0.25">
      <c r="A39" s="24">
        <v>38</v>
      </c>
      <c r="B39" s="27">
        <v>42395</v>
      </c>
      <c r="C39" s="22" t="s">
        <v>25</v>
      </c>
      <c r="D39" s="14" t="s">
        <v>52</v>
      </c>
      <c r="E39" s="14" t="s">
        <v>53</v>
      </c>
      <c r="F39" s="15" t="s">
        <v>148</v>
      </c>
      <c r="G39" s="14" t="s">
        <v>145</v>
      </c>
    </row>
    <row r="40" spans="1:7" x14ac:dyDescent="0.25">
      <c r="A40" s="24">
        <v>39</v>
      </c>
      <c r="B40" s="27">
        <v>42395</v>
      </c>
      <c r="C40" s="22" t="s">
        <v>25</v>
      </c>
      <c r="D40" s="14" t="s">
        <v>151</v>
      </c>
      <c r="E40" s="14" t="s">
        <v>19</v>
      </c>
      <c r="F40" s="15" t="s">
        <v>62</v>
      </c>
      <c r="G40" s="14" t="s">
        <v>149</v>
      </c>
    </row>
    <row r="41" spans="1:7" x14ac:dyDescent="0.25">
      <c r="A41" s="24">
        <v>40</v>
      </c>
      <c r="B41" s="27">
        <v>42439</v>
      </c>
      <c r="C41" s="22" t="s">
        <v>28</v>
      </c>
      <c r="D41" s="14" t="s">
        <v>153</v>
      </c>
      <c r="E41" s="14" t="s">
        <v>154</v>
      </c>
      <c r="F41" s="15" t="s">
        <v>81</v>
      </c>
      <c r="G41" s="14" t="s">
        <v>150</v>
      </c>
    </row>
    <row r="42" spans="1:7" x14ac:dyDescent="0.25">
      <c r="A42" s="24">
        <v>41</v>
      </c>
      <c r="B42" s="27">
        <v>42436</v>
      </c>
      <c r="C42" s="22" t="s">
        <v>25</v>
      </c>
      <c r="D42" s="14" t="s">
        <v>157</v>
      </c>
      <c r="E42" s="14" t="s">
        <v>158</v>
      </c>
      <c r="F42" s="15" t="s">
        <v>155</v>
      </c>
      <c r="G42" s="14" t="s">
        <v>159</v>
      </c>
    </row>
    <row r="43" spans="1:7" x14ac:dyDescent="0.25">
      <c r="A43" s="24">
        <v>42</v>
      </c>
      <c r="B43" s="27">
        <v>42439</v>
      </c>
      <c r="C43" s="22" t="s">
        <v>25</v>
      </c>
      <c r="D43" s="14" t="s">
        <v>160</v>
      </c>
      <c r="E43" s="14" t="s">
        <v>161</v>
      </c>
      <c r="F43" s="15" t="s">
        <v>44</v>
      </c>
      <c r="G43" s="14" t="s">
        <v>162</v>
      </c>
    </row>
    <row r="44" spans="1:7" x14ac:dyDescent="0.25">
      <c r="A44" s="24">
        <v>43</v>
      </c>
      <c r="B44" s="27">
        <v>42436</v>
      </c>
      <c r="C44" s="22" t="s">
        <v>25</v>
      </c>
      <c r="D44" s="14" t="s">
        <v>63</v>
      </c>
      <c r="E44" s="14" t="s">
        <v>64</v>
      </c>
      <c r="F44" s="15" t="s">
        <v>98</v>
      </c>
      <c r="G44" s="14" t="s">
        <v>164</v>
      </c>
    </row>
    <row r="45" spans="1:7" x14ac:dyDescent="0.25">
      <c r="A45" s="24">
        <v>44</v>
      </c>
      <c r="B45" s="27">
        <v>42391</v>
      </c>
      <c r="C45" s="22" t="s">
        <v>25</v>
      </c>
      <c r="D45" s="14" t="s">
        <v>165</v>
      </c>
      <c r="E45" s="14" t="s">
        <v>166</v>
      </c>
      <c r="F45" s="15" t="s">
        <v>163</v>
      </c>
      <c r="G45" s="14" t="s">
        <v>116</v>
      </c>
    </row>
    <row r="46" spans="1:7" x14ac:dyDescent="0.25">
      <c r="A46" s="24">
        <v>45</v>
      </c>
      <c r="B46" s="27">
        <v>42387</v>
      </c>
      <c r="C46" s="22" t="s">
        <v>27</v>
      </c>
      <c r="D46" s="14" t="s">
        <v>168</v>
      </c>
      <c r="E46" s="14" t="s">
        <v>56</v>
      </c>
      <c r="F46" s="15" t="s">
        <v>167</v>
      </c>
      <c r="G46" s="14" t="s">
        <v>169</v>
      </c>
    </row>
    <row r="47" spans="1:7" x14ac:dyDescent="0.25">
      <c r="A47" s="24">
        <v>46</v>
      </c>
      <c r="B47" s="27">
        <v>42392</v>
      </c>
      <c r="C47" s="22" t="s">
        <v>26</v>
      </c>
      <c r="D47" s="14" t="s">
        <v>170</v>
      </c>
      <c r="E47" s="14" t="s">
        <v>171</v>
      </c>
      <c r="F47" s="15" t="s">
        <v>127</v>
      </c>
      <c r="G47" s="14" t="s">
        <v>173</v>
      </c>
    </row>
    <row r="48" spans="1:7" ht="25.5" x14ac:dyDescent="0.25">
      <c r="A48" s="24">
        <v>47</v>
      </c>
      <c r="B48" s="27">
        <v>42389</v>
      </c>
      <c r="C48" s="22" t="s">
        <v>27</v>
      </c>
      <c r="D48" s="14" t="s">
        <v>174</v>
      </c>
      <c r="E48" s="14" t="s">
        <v>103</v>
      </c>
      <c r="F48" s="15" t="s">
        <v>172</v>
      </c>
      <c r="G48" s="14" t="s">
        <v>176</v>
      </c>
    </row>
    <row r="49" spans="1:7" x14ac:dyDescent="0.25">
      <c r="A49" s="24">
        <v>48</v>
      </c>
      <c r="B49" s="27">
        <v>42395</v>
      </c>
      <c r="C49" s="22" t="s">
        <v>27</v>
      </c>
      <c r="D49" s="14" t="s">
        <v>85</v>
      </c>
      <c r="E49" s="14" t="s">
        <v>86</v>
      </c>
      <c r="F49" s="15" t="s">
        <v>175</v>
      </c>
      <c r="G49" s="14" t="s">
        <v>178</v>
      </c>
    </row>
    <row r="50" spans="1:7" x14ac:dyDescent="0.25">
      <c r="A50" s="24">
        <v>49</v>
      </c>
      <c r="B50" s="28">
        <v>42395</v>
      </c>
      <c r="C50" s="22" t="s">
        <v>27</v>
      </c>
      <c r="D50" s="14" t="s">
        <v>168</v>
      </c>
      <c r="E50" s="14" t="s">
        <v>56</v>
      </c>
      <c r="F50" s="15" t="s">
        <v>177</v>
      </c>
      <c r="G50" s="14" t="s">
        <v>180</v>
      </c>
    </row>
    <row r="51" spans="1:7" x14ac:dyDescent="0.25">
      <c r="A51" s="24">
        <v>50</v>
      </c>
      <c r="B51" s="28">
        <v>42439</v>
      </c>
      <c r="C51" s="22" t="s">
        <v>25</v>
      </c>
      <c r="D51" s="14" t="s">
        <v>181</v>
      </c>
      <c r="E51" s="14" t="s">
        <v>60</v>
      </c>
      <c r="F51" s="15" t="s">
        <v>179</v>
      </c>
      <c r="G51" s="14" t="s">
        <v>183</v>
      </c>
    </row>
    <row r="52" spans="1:7" ht="25.5" x14ac:dyDescent="0.25">
      <c r="A52" s="24">
        <v>51</v>
      </c>
      <c r="B52" s="28">
        <v>42436</v>
      </c>
      <c r="C52" s="22" t="s">
        <v>25</v>
      </c>
      <c r="D52" s="14" t="s">
        <v>184</v>
      </c>
      <c r="E52" s="14" t="s">
        <v>185</v>
      </c>
      <c r="F52" s="15" t="s">
        <v>182</v>
      </c>
      <c r="G52" s="14" t="s">
        <v>187</v>
      </c>
    </row>
    <row r="53" spans="1:7" x14ac:dyDescent="0.25">
      <c r="A53" s="24">
        <v>52</v>
      </c>
      <c r="B53" s="28">
        <v>42439</v>
      </c>
      <c r="C53" s="22" t="s">
        <v>28</v>
      </c>
      <c r="D53" s="14" t="s">
        <v>188</v>
      </c>
      <c r="E53" s="14" t="s">
        <v>189</v>
      </c>
      <c r="F53" s="15" t="s">
        <v>186</v>
      </c>
      <c r="G53" s="14" t="s">
        <v>191</v>
      </c>
    </row>
    <row r="54" spans="1:7" x14ac:dyDescent="0.25">
      <c r="A54" s="24">
        <v>53</v>
      </c>
      <c r="B54" s="28">
        <v>42436</v>
      </c>
      <c r="C54" s="22" t="s">
        <v>25</v>
      </c>
      <c r="D54" s="14" t="s">
        <v>192</v>
      </c>
      <c r="E54" s="14" t="s">
        <v>56</v>
      </c>
      <c r="F54" s="15" t="s">
        <v>190</v>
      </c>
      <c r="G54" s="14" t="s">
        <v>194</v>
      </c>
    </row>
    <row r="55" spans="1:7" x14ac:dyDescent="0.25">
      <c r="A55" s="24">
        <v>54</v>
      </c>
      <c r="B55" s="28">
        <v>42391</v>
      </c>
      <c r="C55" s="22" t="s">
        <v>25</v>
      </c>
      <c r="D55" s="14" t="s">
        <v>195</v>
      </c>
      <c r="E55" s="14" t="s">
        <v>19</v>
      </c>
      <c r="F55" s="15" t="s">
        <v>196</v>
      </c>
      <c r="G55" s="14" t="s">
        <v>197</v>
      </c>
    </row>
  </sheetData>
  <autoFilter ref="A1:C55" xr:uid="{00000000-0009-0000-0000-000002000000}"/>
  <sortState xmlns:xlrd2="http://schemas.microsoft.com/office/spreadsheetml/2017/richdata2" ref="A2:A22">
    <sortCondition descending="1" ref="A22"/>
  </sortState>
  <dataValidations count="4">
    <dataValidation allowBlank="1" showInputMessage="1" showErrorMessage="1" promptTitle="Primer nombre" prompt="Registre el primer nombre" sqref="D1" xr:uid="{00000000-0002-0000-0200-000000000000}"/>
    <dataValidation allowBlank="1" showInputMessage="1" showErrorMessage="1" promptTitle="Segundo nombre" prompt="Registre el segundo nombre" sqref="E1" xr:uid="{00000000-0002-0000-0200-000001000000}"/>
    <dataValidation allowBlank="1" showInputMessage="1" showErrorMessage="1" promptTitle="Primer apellido" prompt="Registre el primer apellido" sqref="F1" xr:uid="{00000000-0002-0000-0200-000002000000}"/>
    <dataValidation allowBlank="1" showInputMessage="1" showErrorMessage="1" promptTitle="Segundo apellido" prompt="Registre el segundo apellido" sqref="G1" xr:uid="{00000000-0002-0000-0200-000003000000}"/>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61"/>
  <sheetViews>
    <sheetView topLeftCell="A7" zoomScale="81" zoomScaleNormal="81" workbookViewId="0">
      <selection activeCell="J29" sqref="J29"/>
    </sheetView>
  </sheetViews>
  <sheetFormatPr baseColWidth="10" defaultRowHeight="15" x14ac:dyDescent="0.25"/>
  <cols>
    <col min="2" max="2" width="28.28515625" customWidth="1"/>
    <col min="5" max="5" width="12.42578125" bestFit="1" customWidth="1"/>
    <col min="6" max="6" width="12.28515625" customWidth="1"/>
    <col min="7" max="7" width="22.5703125" customWidth="1"/>
  </cols>
  <sheetData>
    <row r="1" spans="1:22" ht="26.25" x14ac:dyDescent="0.4">
      <c r="A1" s="63" t="s">
        <v>0</v>
      </c>
      <c r="B1" s="63"/>
      <c r="C1" s="63"/>
      <c r="D1" s="63"/>
      <c r="E1" s="63"/>
      <c r="F1" s="63"/>
      <c r="G1" s="63"/>
      <c r="H1" s="63"/>
      <c r="I1" s="63"/>
      <c r="J1" s="63"/>
      <c r="K1" s="63"/>
      <c r="L1" s="63"/>
      <c r="M1" s="63"/>
    </row>
    <row r="3" spans="1:22" x14ac:dyDescent="0.25">
      <c r="A3" t="s">
        <v>201</v>
      </c>
    </row>
    <row r="5" spans="1:22" x14ac:dyDescent="0.25">
      <c r="A5" t="s">
        <v>1</v>
      </c>
    </row>
    <row r="6" spans="1:22" ht="9" customHeight="1" x14ac:dyDescent="0.25"/>
    <row r="7" spans="1:22" x14ac:dyDescent="0.25">
      <c r="A7" t="s">
        <v>200</v>
      </c>
    </row>
    <row r="8" spans="1:22" ht="9" customHeight="1" x14ac:dyDescent="0.25"/>
    <row r="9" spans="1:22" ht="15" customHeight="1" x14ac:dyDescent="0.25">
      <c r="A9" s="65" t="s">
        <v>202</v>
      </c>
      <c r="B9" s="65"/>
      <c r="C9" s="65"/>
      <c r="D9" s="65"/>
      <c r="E9" s="65"/>
      <c r="F9" s="65"/>
      <c r="G9" s="65"/>
      <c r="H9" s="65"/>
      <c r="I9" s="65"/>
      <c r="J9" s="65"/>
      <c r="K9" s="65"/>
      <c r="L9" s="65"/>
      <c r="M9" s="65"/>
      <c r="N9" s="65"/>
      <c r="O9" s="65"/>
      <c r="P9" s="65"/>
    </row>
    <row r="11" spans="1:22" x14ac:dyDescent="0.25">
      <c r="A11" s="2" t="s">
        <v>203</v>
      </c>
    </row>
    <row r="12" spans="1:22" x14ac:dyDescent="0.25">
      <c r="A12" s="2" t="s">
        <v>204</v>
      </c>
    </row>
    <row r="13" spans="1:22" x14ac:dyDescent="0.25">
      <c r="A13" s="2" t="s">
        <v>205</v>
      </c>
    </row>
    <row r="14" spans="1:22" x14ac:dyDescent="0.25">
      <c r="A14" s="2" t="s">
        <v>206</v>
      </c>
    </row>
    <row r="15" spans="1:22" x14ac:dyDescent="0.25">
      <c r="A15" s="2"/>
    </row>
    <row r="16" spans="1:22" ht="32.25" customHeight="1" x14ac:dyDescent="0.25">
      <c r="A16" s="64" t="s">
        <v>207</v>
      </c>
      <c r="B16" s="64"/>
      <c r="C16" s="64"/>
      <c r="D16" s="64"/>
      <c r="E16" s="64"/>
      <c r="F16" s="64"/>
      <c r="G16" s="64"/>
      <c r="H16" s="64"/>
      <c r="I16" s="64"/>
      <c r="J16" s="64"/>
      <c r="K16" s="64"/>
      <c r="L16" s="64"/>
      <c r="M16" s="64"/>
      <c r="N16" s="64"/>
      <c r="O16" s="64"/>
      <c r="P16" s="64"/>
      <c r="Q16" s="64"/>
      <c r="R16" s="64"/>
      <c r="S16" s="64"/>
      <c r="T16" s="64"/>
      <c r="U16" s="64"/>
      <c r="V16" s="64"/>
    </row>
    <row r="18" spans="1:13" x14ac:dyDescent="0.25">
      <c r="A18" t="s">
        <v>208</v>
      </c>
    </row>
    <row r="20" spans="1:13" x14ac:dyDescent="0.25">
      <c r="A20" t="s">
        <v>209</v>
      </c>
      <c r="G20" s="3"/>
      <c r="H20" s="3"/>
      <c r="I20" s="3"/>
    </row>
    <row r="21" spans="1:13" x14ac:dyDescent="0.25">
      <c r="G21" s="3"/>
      <c r="H21" s="3"/>
      <c r="I21" s="3"/>
    </row>
    <row r="22" spans="1:13" x14ac:dyDescent="0.25">
      <c r="A22" t="s">
        <v>210</v>
      </c>
      <c r="G22" s="3"/>
      <c r="H22" s="3"/>
      <c r="I22" s="3"/>
    </row>
    <row r="23" spans="1:13" x14ac:dyDescent="0.25">
      <c r="G23" s="3"/>
      <c r="H23" s="3"/>
      <c r="I23" s="3"/>
    </row>
    <row r="24" spans="1:13" x14ac:dyDescent="0.25">
      <c r="A24" s="4" t="s">
        <v>211</v>
      </c>
      <c r="G24" s="3"/>
      <c r="H24" s="3"/>
      <c r="I24" s="3"/>
    </row>
    <row r="25" spans="1:13" x14ac:dyDescent="0.25">
      <c r="G25" s="3"/>
      <c r="H25" s="3"/>
      <c r="I25" s="3"/>
    </row>
    <row r="26" spans="1:13" x14ac:dyDescent="0.25">
      <c r="B26" s="57" t="s">
        <v>24</v>
      </c>
      <c r="C26" s="60" t="s">
        <v>212</v>
      </c>
      <c r="D26" s="62"/>
      <c r="E26" s="62"/>
      <c r="F26" s="62"/>
      <c r="G26" s="62"/>
      <c r="H26" s="62"/>
      <c r="I26" s="62"/>
      <c r="J26" s="61"/>
      <c r="K26" s="57" t="s">
        <v>2</v>
      </c>
      <c r="L26" s="3"/>
      <c r="M26" s="3"/>
    </row>
    <row r="27" spans="1:13" x14ac:dyDescent="0.25">
      <c r="B27" s="58"/>
      <c r="C27" s="60" t="s">
        <v>213</v>
      </c>
      <c r="D27" s="61"/>
      <c r="E27" s="60" t="s">
        <v>214</v>
      </c>
      <c r="F27" s="61"/>
      <c r="G27" s="60" t="s">
        <v>228</v>
      </c>
      <c r="H27" s="61"/>
      <c r="I27" s="60" t="s">
        <v>215</v>
      </c>
      <c r="J27" s="61"/>
      <c r="K27" s="58"/>
    </row>
    <row r="28" spans="1:13" x14ac:dyDescent="0.25">
      <c r="B28" s="59"/>
      <c r="C28" s="7" t="s">
        <v>8</v>
      </c>
      <c r="D28" s="7" t="s">
        <v>3</v>
      </c>
      <c r="E28" s="7" t="s">
        <v>8</v>
      </c>
      <c r="F28" s="7" t="s">
        <v>3</v>
      </c>
      <c r="G28" s="7" t="s">
        <v>8</v>
      </c>
      <c r="H28" s="7" t="s">
        <v>3</v>
      </c>
      <c r="I28" s="7" t="s">
        <v>8</v>
      </c>
      <c r="J28" s="7" t="s">
        <v>3</v>
      </c>
      <c r="K28" s="59"/>
    </row>
    <row r="29" spans="1:13" x14ac:dyDescent="0.25">
      <c r="B29" s="23" t="s">
        <v>25</v>
      </c>
      <c r="C29" s="31">
        <f>COUNTIFS(MorbilidadMaterna!$J$2:$J$55,"Trastornos hipertensivos",MorbilidadMaterna!$K$2:$K$55,"Riesgo bajo")</f>
        <v>0</v>
      </c>
      <c r="D29" s="43" t="e">
        <f>C29/$C$33</f>
        <v>#DIV/0!</v>
      </c>
      <c r="E29" s="31">
        <f>COUNTIFS(MorbilidadMaterna!$J$2:$J$55,"Trastornos hipertensivos",MorbilidadMaterna!$K$2:$K$55,"Riesgo moderado")</f>
        <v>25</v>
      </c>
      <c r="F29" s="43">
        <f>E29/$E$33</f>
        <v>1</v>
      </c>
      <c r="G29" s="31">
        <f>COUNTIFS(MorbilidadMaterna!$J$2:$J$55,"Trastornos hipertensivos",MorbilidadMaterna!$K$2:$K$55,"Riesgo alto")</f>
        <v>0</v>
      </c>
      <c r="H29" s="43">
        <f>G29/$G$33</f>
        <v>0</v>
      </c>
      <c r="I29" s="31">
        <f>COUNTIFS(MorbilidadMaterna!$J$2:$J$55,"Trastornos hipertensivos",MorbilidadMaterna!$K$2:$K$55,"Riesgo muy elevado")</f>
        <v>6</v>
      </c>
      <c r="J29" s="43">
        <f>I29/$I$33</f>
        <v>0.24</v>
      </c>
      <c r="K29" s="31">
        <f>SUM(C29,E29,G29,I29)</f>
        <v>31</v>
      </c>
    </row>
    <row r="30" spans="1:13" x14ac:dyDescent="0.25">
      <c r="B30" s="23" t="s">
        <v>26</v>
      </c>
      <c r="C30" s="31">
        <f>COUNTIFS(MorbilidadMaterna!$J$3:$J$56,"Sepsis de origen no obstétrico",MorbilidadMaterna!$K$3:$K$56,"Riesgo bajo")</f>
        <v>0</v>
      </c>
      <c r="D30" s="43" t="e">
        <f t="shared" ref="D30:D32" si="0">C30/$C$33</f>
        <v>#DIV/0!</v>
      </c>
      <c r="E30" s="31">
        <f>COUNTIFS(MorbilidadMaterna!$J$3:$J$56,"Sepsis de origen no obstétrico",MorbilidadMaterna!$K$3:$K$56,"Riesgo moderado")</f>
        <v>0</v>
      </c>
      <c r="F30" s="43">
        <f t="shared" ref="F30:F32" si="1">E30/$E$33</f>
        <v>0</v>
      </c>
      <c r="G30" s="31">
        <f>COUNTIFS(MorbilidadMaterna!$J$3:$J$56,"Sepsis de origen no obstétrico",MorbilidadMaterna!$K$3:$K$56,"Riesgo alto")</f>
        <v>0</v>
      </c>
      <c r="H30" s="43">
        <f t="shared" ref="H30:H32" si="2">G30/$G$33</f>
        <v>0</v>
      </c>
      <c r="I30" s="31">
        <f>COUNTIFS(MorbilidadMaterna!$J$3:$J$56,"Sepsis de origen no obstétrico",MorbilidadMaterna!$K$3:$K$56,"Riesgo muy elevado")</f>
        <v>3</v>
      </c>
      <c r="J30" s="43">
        <f t="shared" ref="J30:J32" si="3">I30/$I$33</f>
        <v>0.12</v>
      </c>
      <c r="K30" s="31">
        <f>SUM(C30,E30,G30,I30)</f>
        <v>3</v>
      </c>
    </row>
    <row r="31" spans="1:13" x14ac:dyDescent="0.25">
      <c r="B31" s="23" t="s">
        <v>27</v>
      </c>
      <c r="C31" s="31">
        <f>COUNTIFS(MorbilidadMaterna!$J$4:$J$57,"Complicaciones hemorrágicas",MorbilidadMaterna!$K$4:$K$57,"Riesgo bajo")</f>
        <v>0</v>
      </c>
      <c r="D31" s="43" t="e">
        <f t="shared" si="0"/>
        <v>#DIV/0!</v>
      </c>
      <c r="E31" s="31">
        <f>COUNTIFS(MorbilidadMaterna!$J$4:$J$57,"Complicaciones hemorrágicas",MorbilidadMaterna!$K$4:$K$57,"Riesgo moderado")</f>
        <v>0</v>
      </c>
      <c r="F31" s="43">
        <f t="shared" si="1"/>
        <v>0</v>
      </c>
      <c r="G31" s="31">
        <f>COUNTIFS(MorbilidadMaterna!$J$4:$J$57,"Complicaciones hemorrágicas",MorbilidadMaterna!$K$4:$K$57,"Riesgo alto")</f>
        <v>4</v>
      </c>
      <c r="H31" s="43">
        <f t="shared" si="2"/>
        <v>1</v>
      </c>
      <c r="I31" s="31">
        <f>COUNTIFS(MorbilidadMaterna!$J$4:$J$57,"Complicaciones hemorrágicas",MorbilidadMaterna!$K$4:$K$57,"Riesgo muy elevado")</f>
        <v>11</v>
      </c>
      <c r="J31" s="43">
        <f t="shared" si="3"/>
        <v>0.44</v>
      </c>
      <c r="K31" s="31">
        <f>SUM(C31,E31,G31,I31)</f>
        <v>15</v>
      </c>
    </row>
    <row r="32" spans="1:13" x14ac:dyDescent="0.25">
      <c r="B32" s="23" t="s">
        <v>28</v>
      </c>
      <c r="C32" s="31">
        <f>COUNTIFS(MorbilidadMaterna!$J$5:$J$58,"Sepsis de origen obstétrico",MorbilidadMaterna!$K$5:$K$58,"Riesgo bajo")</f>
        <v>0</v>
      </c>
      <c r="D32" s="43" t="e">
        <f t="shared" si="0"/>
        <v>#DIV/0!</v>
      </c>
      <c r="E32" s="31">
        <f>COUNTIFS(MorbilidadMaterna!$J$5:$J$58,"Sepsis de origen obstétrico",MorbilidadMaterna!$K$5:$K$58,"Riesgo moderado")</f>
        <v>0</v>
      </c>
      <c r="F32" s="43">
        <f t="shared" si="1"/>
        <v>0</v>
      </c>
      <c r="G32" s="31">
        <f>COUNTIFS(MorbilidadMaterna!$J$5:$J$58,"Sepsis de origen obstétrico",MorbilidadMaterna!$K$5:$K$58,"Riesgo alto")</f>
        <v>0</v>
      </c>
      <c r="H32" s="43">
        <f t="shared" si="2"/>
        <v>0</v>
      </c>
      <c r="I32" s="31">
        <f>COUNTIFS(MorbilidadMaterna!$J$5:$J$58,"Sepsis de origen obstétrico",MorbilidadMaterna!$K$5:$K$58,"Riesgo muy elevado")</f>
        <v>5</v>
      </c>
      <c r="J32" s="43">
        <f t="shared" si="3"/>
        <v>0.2</v>
      </c>
      <c r="K32" s="31">
        <f>SUM(C32,E32,G32,I32)</f>
        <v>5</v>
      </c>
    </row>
    <row r="33" spans="1:11" ht="17.25" customHeight="1" x14ac:dyDescent="0.25">
      <c r="B33" s="5" t="s">
        <v>2</v>
      </c>
      <c r="C33" s="38">
        <f>SUM(C29:C32)</f>
        <v>0</v>
      </c>
      <c r="D33" s="38"/>
      <c r="E33" s="38">
        <f>SUM(E29:E32)</f>
        <v>25</v>
      </c>
      <c r="F33" s="38"/>
      <c r="G33" s="38">
        <f>SUM(G29:G32)</f>
        <v>4</v>
      </c>
      <c r="H33" s="38"/>
      <c r="I33" s="38">
        <f>SUM(I29:I32)</f>
        <v>25</v>
      </c>
      <c r="J33" s="38"/>
      <c r="K33" s="38">
        <f>SUM(K29:K32)</f>
        <v>54</v>
      </c>
    </row>
    <row r="35" spans="1:11" x14ac:dyDescent="0.25">
      <c r="B35" s="57" t="s">
        <v>24</v>
      </c>
      <c r="C35" s="60" t="s">
        <v>212</v>
      </c>
      <c r="D35" s="62"/>
      <c r="E35" s="62"/>
      <c r="F35" s="62"/>
      <c r="G35" s="62"/>
      <c r="H35" s="62"/>
      <c r="I35" s="62"/>
      <c r="J35" s="61"/>
      <c r="K35" s="57" t="s">
        <v>2</v>
      </c>
    </row>
    <row r="36" spans="1:11" x14ac:dyDescent="0.25">
      <c r="B36" s="58"/>
      <c r="C36" s="60" t="s">
        <v>213</v>
      </c>
      <c r="D36" s="61"/>
      <c r="E36" s="60" t="s">
        <v>214</v>
      </c>
      <c r="F36" s="61"/>
      <c r="G36" s="60" t="s">
        <v>228</v>
      </c>
      <c r="H36" s="61"/>
      <c r="I36" s="60" t="s">
        <v>215</v>
      </c>
      <c r="J36" s="61"/>
      <c r="K36" s="58"/>
    </row>
    <row r="37" spans="1:11" x14ac:dyDescent="0.25">
      <c r="B37" s="59"/>
      <c r="C37" s="7" t="s">
        <v>8</v>
      </c>
      <c r="D37" s="7" t="s">
        <v>3</v>
      </c>
      <c r="E37" s="7" t="s">
        <v>8</v>
      </c>
      <c r="F37" s="7" t="s">
        <v>3</v>
      </c>
      <c r="G37" s="7" t="s">
        <v>8</v>
      </c>
      <c r="H37" s="7" t="s">
        <v>3</v>
      </c>
      <c r="I37" s="7" t="s">
        <v>8</v>
      </c>
      <c r="J37" s="7" t="s">
        <v>3</v>
      </c>
      <c r="K37" s="59"/>
    </row>
    <row r="38" spans="1:11" x14ac:dyDescent="0.25">
      <c r="B38" s="23" t="s">
        <v>25</v>
      </c>
      <c r="C38" s="31" t="e">
        <f>AVERAGEIFS(MorbilidadMaterna!$H$2:$H$55,MorbilidadMaterna!$J$2:$J$55,"Trastornos hipertensivos",MorbilidadMaterna!$K$2:$K$55,"Riesgo bajo")</f>
        <v>#DIV/0!</v>
      </c>
      <c r="D38" s="31" t="e">
        <f>C38/$C$42</f>
        <v>#DIV/0!</v>
      </c>
      <c r="E38" s="31">
        <f>AVERAGEIFS(MorbilidadMaterna!$H$2:$H$55,MorbilidadMaterna!$J$2:$J$55,"Trastornos hipertensivos",MorbilidadMaterna!$K$2:$K$55,"Riesgo moderado")</f>
        <v>34.04</v>
      </c>
      <c r="F38" s="43">
        <f>E38/$E$42</f>
        <v>1</v>
      </c>
      <c r="G38" s="31" t="e">
        <f>AVERAGEIFS(MorbilidadMaterna!$H$2:$H$55,MorbilidadMaterna!$J$2:$J$55,"Trastornos hipertensivos",MorbilidadMaterna!$K$2:$K$55,"Riesgo alto")</f>
        <v>#DIV/0!</v>
      </c>
      <c r="H38" s="31" t="e">
        <f>G38/$G$42</f>
        <v>#DIV/0!</v>
      </c>
      <c r="I38" s="31">
        <f>AVERAGEIFS(MorbilidadMaterna!$H$2:$H$55,MorbilidadMaterna!$J$2:$J$55,"Trastornos hipertensivos",MorbilidadMaterna!$K$2:$K$55,"Riesgo muy elevado")</f>
        <v>36.166666666666664</v>
      </c>
      <c r="J38" s="43">
        <f>I38/$I$42</f>
        <v>0.36238044633368754</v>
      </c>
      <c r="K38" s="31">
        <f>SUM(E38,I38)</f>
        <v>70.206666666666663</v>
      </c>
    </row>
    <row r="39" spans="1:11" x14ac:dyDescent="0.25">
      <c r="B39" s="23" t="s">
        <v>26</v>
      </c>
      <c r="C39" s="31" t="e">
        <f>AVERAGEIFS(MorbilidadMaterna!$H$3:$H$56,MorbilidadMaterna!$J$3:$J$56,"Sepsis de origen no ostétrico",MorbilidadMaterna!$K$3:$K$56,"Riesgo bajo")</f>
        <v>#DIV/0!</v>
      </c>
      <c r="D39" s="31" t="e">
        <f t="shared" ref="D39:D41" si="4">C39/$C$42</f>
        <v>#DIV/0!</v>
      </c>
      <c r="E39" s="31" t="e">
        <f>AVERAGEIFS(MorbilidadMaterna!$H$3:$H$56,MorbilidadMaterna!$J$3:$J$56,"Sepsis de origen no ostétrico",MorbilidadMaterna!$K$3:$K$56,"Riesgo moderado")</f>
        <v>#DIV/0!</v>
      </c>
      <c r="F39" s="31" t="e">
        <f t="shared" ref="F39:F41" si="5">E39/$E$42</f>
        <v>#DIV/0!</v>
      </c>
      <c r="G39" s="31" t="e">
        <f>AVERAGEIFS(MorbilidadMaterna!$H$3:$H$56,MorbilidadMaterna!$J$3:$J$56,"Sepsis de origen no ostétrico",MorbilidadMaterna!$K$3:$K$56,"Riesgo alto")</f>
        <v>#DIV/0!</v>
      </c>
      <c r="H39" s="31" t="e">
        <f t="shared" ref="H39:H40" si="6">G39/$G$42</f>
        <v>#DIV/0!</v>
      </c>
      <c r="I39" s="31" t="e">
        <f>AVERAGEIFS(MorbilidadMaterna!$H$3:$H$56,MorbilidadMaterna!$J$3:$J$56,"Sepsis de origen no ostétrico",MorbilidadMaterna!$K$3:$K$56,"Riesgo muy elevado")</f>
        <v>#DIV/0!</v>
      </c>
      <c r="J39" s="43" t="e">
        <f t="shared" ref="J39:J41" si="7">I39/$I$42</f>
        <v>#DIV/0!</v>
      </c>
      <c r="K39" s="1">
        <v>0</v>
      </c>
    </row>
    <row r="40" spans="1:11" x14ac:dyDescent="0.25">
      <c r="B40" s="23" t="s">
        <v>27</v>
      </c>
      <c r="C40" s="31" t="e">
        <f>AVERAGEIFS(MorbilidadMaterna!$H$4:$H$57,MorbilidadMaterna!$J$4:$J$57,"Complicaciones hemorrágicas",MorbilidadMaterna!$K$4:$K$57,"Riesgo bajo")</f>
        <v>#DIV/0!</v>
      </c>
      <c r="D40" s="31" t="e">
        <f t="shared" si="4"/>
        <v>#DIV/0!</v>
      </c>
      <c r="E40" s="31" t="e">
        <f>AVERAGEIFS(MorbilidadMaterna!$H$4:$H$57,MorbilidadMaterna!$J$4:$J$57,"Complicaciones hemorrágicas",MorbilidadMaterna!$K$4:$K$57,"Riesgo moderado")</f>
        <v>#DIV/0!</v>
      </c>
      <c r="F40" s="31" t="e">
        <f t="shared" si="5"/>
        <v>#DIV/0!</v>
      </c>
      <c r="G40" s="31">
        <f>AVERAGEIFS(MorbilidadMaterna!$H$4:$H$57,MorbilidadMaterna!$J$4:$J$57,"Complicaciones hemorrágicas",MorbilidadMaterna!$K$4:$K$57,"Riesgo alto")</f>
        <v>26.75</v>
      </c>
      <c r="H40" s="43">
        <f t="shared" si="6"/>
        <v>1</v>
      </c>
      <c r="I40" s="31">
        <f>AVERAGEIFS(MorbilidadMaterna!$H$4:$H$57,MorbilidadMaterna!$J$4:$J$57,"Complicaciones hemorrágicas",MorbilidadMaterna!$K$4:$K$57,"Riesgo muy elevado")</f>
        <v>32.636363636363633</v>
      </c>
      <c r="J40" s="43">
        <f t="shared" si="7"/>
        <v>0.32700774252315162</v>
      </c>
      <c r="K40" s="31">
        <f>SUM(G40,I40)</f>
        <v>59.386363636363633</v>
      </c>
    </row>
    <row r="41" spans="1:11" x14ac:dyDescent="0.25">
      <c r="B41" s="23" t="s">
        <v>28</v>
      </c>
      <c r="C41" s="31" t="e">
        <f>AVERAGEIFS(MorbilidadMaterna!$H$5:$H$58,MorbilidadMaterna!$J$5:$J$58,"Sepsis de origen no obstétrico",MorbilidadMaterna!$K$5:$K$58,"Riesgo bajo")</f>
        <v>#DIV/0!</v>
      </c>
      <c r="D41" s="31" t="e">
        <f t="shared" si="4"/>
        <v>#DIV/0!</v>
      </c>
      <c r="E41" s="31" t="e">
        <f>AVERAGEIFS(MorbilidadMaterna!$H$5:$H$58,MorbilidadMaterna!$J$5:$J$58,"Sepsis de origen no obstétrico",MorbilidadMaterna!$K$5:$K$58,"Riesgo moderado")</f>
        <v>#DIV/0!</v>
      </c>
      <c r="F41" s="31" t="e">
        <f t="shared" si="5"/>
        <v>#DIV/0!</v>
      </c>
      <c r="G41" s="31" t="e">
        <f>AVERAGEIFS(MorbilidadMaterna!$H$5:$H$58,MorbilidadMaterna!$J$5:$J$58,"Sepsis de origen no obstétrico",MorbilidadMaterna!$K$5:$K$58,"Riesgo alto")</f>
        <v>#DIV/0!</v>
      </c>
      <c r="H41" s="31" t="e">
        <f>G41/$G$42</f>
        <v>#DIV/0!</v>
      </c>
      <c r="I41" s="31">
        <f>AVERAGEIFS(MorbilidadMaterna!$H$5:$H$58,MorbilidadMaterna!$J$5:$J$58,"Sepsis de origen no obstétrico",MorbilidadMaterna!$K$5:$K$58,"Riesgo muy elevado")</f>
        <v>31</v>
      </c>
      <c r="J41" s="43">
        <f t="shared" si="7"/>
        <v>0.31061181114316078</v>
      </c>
      <c r="K41" s="31">
        <f>SUM(I41)</f>
        <v>31</v>
      </c>
    </row>
    <row r="42" spans="1:11" x14ac:dyDescent="0.25">
      <c r="B42" s="5" t="s">
        <v>2</v>
      </c>
      <c r="C42" s="38" t="e">
        <f>SUM(C38:C41)</f>
        <v>#DIV/0!</v>
      </c>
      <c r="D42" s="6"/>
      <c r="E42" s="38">
        <f>SUM(E38)</f>
        <v>34.04</v>
      </c>
      <c r="F42" s="6"/>
      <c r="G42" s="38">
        <f>SUM(G40)</f>
        <v>26.75</v>
      </c>
      <c r="H42" s="6"/>
      <c r="I42" s="38">
        <f>SUM(I38,I40,I41)</f>
        <v>99.803030303030297</v>
      </c>
      <c r="J42" s="6"/>
      <c r="K42" s="38">
        <f>SUM(K38:K41)</f>
        <v>160.5930303030303</v>
      </c>
    </row>
    <row r="44" spans="1:11" x14ac:dyDescent="0.25">
      <c r="A44" s="4" t="s">
        <v>9</v>
      </c>
    </row>
    <row r="46" spans="1:11" x14ac:dyDescent="0.25">
      <c r="A46" s="9" t="s">
        <v>220</v>
      </c>
    </row>
    <row r="48" spans="1:11" ht="69" customHeight="1" x14ac:dyDescent="0.25">
      <c r="F48" s="10" t="s">
        <v>10</v>
      </c>
      <c r="G48" s="1"/>
    </row>
    <row r="49" spans="1:7" x14ac:dyDescent="0.25">
      <c r="E49">
        <v>10261302</v>
      </c>
      <c r="F49" s="1" t="str">
        <f>RIGHT(E49,1)</f>
        <v>2</v>
      </c>
      <c r="G49" s="32">
        <f t="shared" ref="G49:G58" si="8">F49^2/(F49+1)^2</f>
        <v>0.44444444444444442</v>
      </c>
    </row>
    <row r="50" spans="1:7" x14ac:dyDescent="0.25">
      <c r="E50">
        <v>12345</v>
      </c>
      <c r="F50" s="1" t="str">
        <f t="shared" ref="F50:F58" si="9">RIGHT(E50,1)</f>
        <v>5</v>
      </c>
      <c r="G50" s="32">
        <f t="shared" si="8"/>
        <v>0.69444444444444442</v>
      </c>
    </row>
    <row r="51" spans="1:7" x14ac:dyDescent="0.25">
      <c r="E51">
        <v>65433</v>
      </c>
      <c r="F51" s="1" t="str">
        <f t="shared" si="9"/>
        <v>3</v>
      </c>
      <c r="G51" s="32">
        <f t="shared" si="8"/>
        <v>0.5625</v>
      </c>
    </row>
    <row r="52" spans="1:7" x14ac:dyDescent="0.25">
      <c r="C52" s="11" t="s">
        <v>11</v>
      </c>
      <c r="D52" s="12"/>
      <c r="E52">
        <v>1234687</v>
      </c>
      <c r="F52" s="1" t="str">
        <f t="shared" si="9"/>
        <v>7</v>
      </c>
      <c r="G52" s="32">
        <f t="shared" si="8"/>
        <v>0.765625</v>
      </c>
    </row>
    <row r="53" spans="1:7" x14ac:dyDescent="0.25">
      <c r="C53" s="11" t="s">
        <v>12</v>
      </c>
      <c r="D53" s="12">
        <v>9</v>
      </c>
      <c r="E53">
        <v>97755</v>
      </c>
      <c r="F53" s="1" t="str">
        <f t="shared" si="9"/>
        <v>5</v>
      </c>
      <c r="G53" s="32">
        <f t="shared" si="8"/>
        <v>0.69444444444444442</v>
      </c>
    </row>
    <row r="54" spans="1:7" x14ac:dyDescent="0.25">
      <c r="E54">
        <v>57578634</v>
      </c>
      <c r="F54" s="1" t="str">
        <f t="shared" si="9"/>
        <v>4</v>
      </c>
      <c r="G54" s="32">
        <f t="shared" si="8"/>
        <v>0.64</v>
      </c>
    </row>
    <row r="55" spans="1:7" x14ac:dyDescent="0.25">
      <c r="E55">
        <v>898744</v>
      </c>
      <c r="F55" s="1" t="str">
        <f t="shared" si="9"/>
        <v>4</v>
      </c>
      <c r="G55" s="32">
        <f t="shared" si="8"/>
        <v>0.64</v>
      </c>
    </row>
    <row r="56" spans="1:7" x14ac:dyDescent="0.25">
      <c r="E56">
        <v>99097655</v>
      </c>
      <c r="F56" s="1" t="str">
        <f t="shared" si="9"/>
        <v>5</v>
      </c>
      <c r="G56" s="32">
        <f t="shared" si="8"/>
        <v>0.69444444444444442</v>
      </c>
    </row>
    <row r="57" spans="1:7" x14ac:dyDescent="0.25">
      <c r="E57">
        <v>33457898</v>
      </c>
      <c r="F57" s="1" t="str">
        <f t="shared" si="9"/>
        <v>8</v>
      </c>
      <c r="G57" s="32">
        <f t="shared" si="8"/>
        <v>0.79012345679012341</v>
      </c>
    </row>
    <row r="58" spans="1:7" x14ac:dyDescent="0.25">
      <c r="E58">
        <v>76433</v>
      </c>
      <c r="F58" s="1" t="str">
        <f t="shared" si="9"/>
        <v>3</v>
      </c>
      <c r="G58" s="32">
        <f t="shared" si="8"/>
        <v>0.5625</v>
      </c>
    </row>
    <row r="59" spans="1:7" x14ac:dyDescent="0.25">
      <c r="F59" s="13" t="s">
        <v>13</v>
      </c>
      <c r="G59" s="39">
        <f>PRODUCT(G49:G58)</f>
        <v>1.1669333942996494E-2</v>
      </c>
    </row>
    <row r="61" spans="1:7" x14ac:dyDescent="0.25">
      <c r="A61" s="9" t="s">
        <v>14</v>
      </c>
    </row>
  </sheetData>
  <mergeCells count="17">
    <mergeCell ref="K26:K28"/>
    <mergeCell ref="A1:M1"/>
    <mergeCell ref="G27:H27"/>
    <mergeCell ref="I27:J27"/>
    <mergeCell ref="B26:B28"/>
    <mergeCell ref="A16:V16"/>
    <mergeCell ref="A9:P9"/>
    <mergeCell ref="C27:D27"/>
    <mergeCell ref="E27:F27"/>
    <mergeCell ref="C26:J26"/>
    <mergeCell ref="K35:K37"/>
    <mergeCell ref="G36:H36"/>
    <mergeCell ref="I36:J36"/>
    <mergeCell ref="B35:B37"/>
    <mergeCell ref="C36:D36"/>
    <mergeCell ref="E36:F36"/>
    <mergeCell ref="C35:J3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45"/>
  <sheetViews>
    <sheetView tabSelected="1" topLeftCell="A31" zoomScaleNormal="100" workbookViewId="0">
      <selection activeCell="E35" sqref="E35"/>
    </sheetView>
  </sheetViews>
  <sheetFormatPr baseColWidth="10" defaultRowHeight="15" x14ac:dyDescent="0.25"/>
  <cols>
    <col min="1" max="1" width="23.28515625" customWidth="1"/>
    <col min="2" max="2" width="29.85546875" bestFit="1" customWidth="1"/>
    <col min="3" max="3" width="12.140625" bestFit="1" customWidth="1"/>
    <col min="4" max="4" width="17.5703125" customWidth="1"/>
    <col min="5" max="5" width="28" bestFit="1" customWidth="1"/>
    <col min="6" max="6" width="5.42578125" bestFit="1" customWidth="1"/>
    <col min="7" max="7" width="11.140625" bestFit="1" customWidth="1"/>
    <col min="8" max="8" width="12.5703125" style="46" bestFit="1" customWidth="1"/>
    <col min="9" max="9" width="12.140625" bestFit="1" customWidth="1"/>
    <col min="10" max="10" width="12.5703125" bestFit="1" customWidth="1"/>
    <col min="11" max="11" width="13.5703125" customWidth="1"/>
    <col min="12" max="15" width="28" bestFit="1" customWidth="1"/>
    <col min="16" max="17" width="12.5703125" bestFit="1" customWidth="1"/>
    <col min="18" max="18" width="26" bestFit="1" customWidth="1"/>
    <col min="19" max="19" width="28.28515625" bestFit="1" customWidth="1"/>
    <col min="20" max="20" width="26.42578125" bestFit="1" customWidth="1"/>
    <col min="21" max="21" width="28.5703125" bestFit="1" customWidth="1"/>
    <col min="22" max="22" width="24.140625" bestFit="1" customWidth="1"/>
    <col min="23" max="23" width="22.5703125" bestFit="1" customWidth="1"/>
    <col min="24" max="24" width="24.5703125" bestFit="1" customWidth="1"/>
    <col min="25" max="25" width="29.42578125" bestFit="1" customWidth="1"/>
    <col min="26" max="26" width="29.140625" bestFit="1" customWidth="1"/>
    <col min="27" max="27" width="33.7109375" bestFit="1" customWidth="1"/>
    <col min="28" max="28" width="26.140625" bestFit="1" customWidth="1"/>
    <col min="29" max="29" width="22.85546875" bestFit="1" customWidth="1"/>
    <col min="30" max="30" width="23.7109375" bestFit="1" customWidth="1"/>
    <col min="31" max="31" width="21" bestFit="1" customWidth="1"/>
    <col min="32" max="32" width="31.140625" bestFit="1" customWidth="1"/>
    <col min="33" max="34" width="28.5703125" bestFit="1" customWidth="1"/>
    <col min="35" max="35" width="24.85546875" bestFit="1" customWidth="1"/>
    <col min="36" max="36" width="26.140625" bestFit="1" customWidth="1"/>
    <col min="37" max="37" width="29.42578125" bestFit="1" customWidth="1"/>
    <col min="38" max="38" width="21" bestFit="1" customWidth="1"/>
    <col min="39" max="39" width="26.7109375" bestFit="1" customWidth="1"/>
    <col min="40" max="40" width="27.140625" bestFit="1" customWidth="1"/>
    <col min="41" max="41" width="23.5703125" bestFit="1" customWidth="1"/>
    <col min="42" max="42" width="29.85546875" bestFit="1" customWidth="1"/>
    <col min="43" max="43" width="25.5703125" bestFit="1" customWidth="1"/>
    <col min="44" max="44" width="22.7109375" bestFit="1" customWidth="1"/>
    <col min="45" max="45" width="23.28515625" bestFit="1" customWidth="1"/>
    <col min="46" max="46" width="33" bestFit="1" customWidth="1"/>
    <col min="47" max="47" width="27.85546875" bestFit="1" customWidth="1"/>
    <col min="48" max="48" width="30.28515625" bestFit="1" customWidth="1"/>
    <col min="49" max="49" width="29.140625" bestFit="1" customWidth="1"/>
    <col min="50" max="50" width="27.5703125" bestFit="1" customWidth="1"/>
    <col min="51" max="51" width="25.5703125" bestFit="1" customWidth="1"/>
    <col min="52" max="52" width="28.140625" bestFit="1" customWidth="1"/>
    <col min="53" max="53" width="29" bestFit="1" customWidth="1"/>
    <col min="54" max="54" width="17.7109375" bestFit="1" customWidth="1"/>
    <col min="55" max="55" width="20.7109375" bestFit="1" customWidth="1"/>
    <col min="56" max="56" width="31.7109375" bestFit="1" customWidth="1"/>
    <col min="57" max="57" width="12.5703125" bestFit="1" customWidth="1"/>
  </cols>
  <sheetData>
    <row r="1" spans="1:16" ht="26.25" x14ac:dyDescent="0.4">
      <c r="A1" s="63" t="s">
        <v>5</v>
      </c>
      <c r="B1" s="63"/>
      <c r="C1" s="63"/>
      <c r="D1" s="63"/>
      <c r="E1" s="63"/>
      <c r="F1" s="63"/>
      <c r="G1" s="63"/>
      <c r="H1" s="63"/>
      <c r="I1" s="63"/>
      <c r="J1" s="63"/>
      <c r="K1" s="63"/>
      <c r="L1" s="63"/>
      <c r="M1" s="63"/>
      <c r="N1" s="63"/>
      <c r="O1" s="63"/>
      <c r="P1" s="63"/>
    </row>
    <row r="3" spans="1:16" x14ac:dyDescent="0.25">
      <c r="A3" s="64" t="s">
        <v>6</v>
      </c>
      <c r="B3" s="64"/>
      <c r="C3" s="64"/>
      <c r="D3" s="64"/>
      <c r="E3" s="64"/>
      <c r="F3" s="64"/>
      <c r="G3" s="64"/>
      <c r="H3" s="64"/>
      <c r="I3" s="64"/>
      <c r="J3" s="64"/>
      <c r="K3" s="64"/>
      <c r="L3" s="64"/>
      <c r="M3" s="64"/>
      <c r="N3" s="64"/>
      <c r="O3" s="64"/>
      <c r="P3" s="64"/>
    </row>
    <row r="4" spans="1:16" ht="13.5" customHeight="1" x14ac:dyDescent="0.25">
      <c r="A4" s="64" t="s">
        <v>7</v>
      </c>
      <c r="B4" s="64"/>
      <c r="C4" s="64"/>
      <c r="D4" s="64"/>
      <c r="E4" s="64"/>
      <c r="F4" s="64"/>
      <c r="G4" s="64"/>
      <c r="H4" s="64"/>
      <c r="I4" s="64"/>
      <c r="J4" s="64"/>
      <c r="K4" s="64"/>
      <c r="L4" s="64"/>
      <c r="M4" s="64"/>
      <c r="N4" s="64"/>
      <c r="O4" s="64"/>
      <c r="P4" s="64"/>
    </row>
    <row r="5" spans="1:16" ht="32.1" customHeight="1" x14ac:dyDescent="0.25">
      <c r="A5" s="66" t="s">
        <v>219</v>
      </c>
      <c r="B5" s="66"/>
      <c r="C5" s="66"/>
      <c r="D5" s="66"/>
      <c r="E5" s="66"/>
      <c r="F5" s="66"/>
      <c r="G5" s="66"/>
      <c r="H5" s="66"/>
      <c r="I5" s="66"/>
      <c r="J5" s="66"/>
      <c r="K5" s="66"/>
      <c r="L5" s="66"/>
      <c r="M5" s="66"/>
      <c r="N5" s="66"/>
      <c r="O5" s="66"/>
      <c r="P5" s="66"/>
    </row>
    <row r="6" spans="1:16" ht="13.5" customHeight="1" x14ac:dyDescent="0.25">
      <c r="A6" s="64" t="s">
        <v>216</v>
      </c>
      <c r="B6" s="64"/>
      <c r="C6" s="64"/>
      <c r="D6" s="64"/>
      <c r="E6" s="64"/>
      <c r="F6" s="64"/>
      <c r="G6" s="64"/>
      <c r="H6" s="64"/>
      <c r="I6" s="64"/>
      <c r="J6" s="64"/>
      <c r="K6" s="64"/>
      <c r="L6" s="64"/>
      <c r="M6" s="64"/>
      <c r="N6" s="64"/>
      <c r="O6" s="64"/>
      <c r="P6" s="64"/>
    </row>
    <row r="7" spans="1:16" ht="46.5" customHeight="1" x14ac:dyDescent="0.25">
      <c r="A7" s="66" t="s">
        <v>217</v>
      </c>
      <c r="B7" s="66"/>
      <c r="C7" s="66"/>
      <c r="D7" s="66"/>
      <c r="E7" s="66"/>
      <c r="F7" s="66"/>
      <c r="G7" s="66"/>
      <c r="H7" s="66"/>
      <c r="I7" s="66"/>
      <c r="J7" s="66"/>
      <c r="K7" s="66"/>
      <c r="L7" s="66"/>
      <c r="M7" s="66"/>
      <c r="N7" s="66"/>
      <c r="O7" s="66"/>
      <c r="P7" s="66"/>
    </row>
    <row r="9" spans="1:16" ht="19.5" customHeight="1" x14ac:dyDescent="0.25">
      <c r="B9" s="68" t="s">
        <v>256</v>
      </c>
      <c r="C9" s="68"/>
      <c r="D9" s="68"/>
      <c r="F9" s="67" t="s">
        <v>257</v>
      </c>
      <c r="G9" s="67"/>
      <c r="H9" s="67"/>
      <c r="I9" s="67"/>
      <c r="J9" s="67"/>
      <c r="K9" s="67"/>
      <c r="L9" s="67"/>
    </row>
    <row r="10" spans="1:16" ht="30" x14ac:dyDescent="0.25">
      <c r="C10" t="s">
        <v>8</v>
      </c>
      <c r="D10" t="s">
        <v>259</v>
      </c>
      <c r="G10" t="s">
        <v>244</v>
      </c>
      <c r="H10" t="s">
        <v>259</v>
      </c>
      <c r="I10" s="48" t="s">
        <v>247</v>
      </c>
      <c r="J10" s="48" t="s">
        <v>248</v>
      </c>
      <c r="L10" s="48" t="s">
        <v>251</v>
      </c>
      <c r="M10">
        <f>MIN(G11:G13)</f>
        <v>4</v>
      </c>
    </row>
    <row r="11" spans="1:16" x14ac:dyDescent="0.25">
      <c r="B11" s="4" t="s">
        <v>27</v>
      </c>
      <c r="C11" s="42">
        <v>15</v>
      </c>
      <c r="D11" s="51">
        <v>0.27777777777777779</v>
      </c>
      <c r="F11" s="4" t="s">
        <v>228</v>
      </c>
      <c r="G11" s="42">
        <v>4</v>
      </c>
      <c r="H11" s="44">
        <v>7.407407407407407E-2</v>
      </c>
      <c r="I11" s="8">
        <v>4</v>
      </c>
      <c r="J11" s="44">
        <v>7.4099999999999999E-2</v>
      </c>
      <c r="L11" s="48" t="s">
        <v>249</v>
      </c>
      <c r="M11">
        <f>AVERAGE(G11:G13)</f>
        <v>18</v>
      </c>
    </row>
    <row r="12" spans="1:16" x14ac:dyDescent="0.25">
      <c r="B12" s="4" t="s">
        <v>26</v>
      </c>
      <c r="C12" s="42">
        <v>3</v>
      </c>
      <c r="D12" s="51">
        <v>5.5555555555555552E-2</v>
      </c>
      <c r="F12" s="4" t="s">
        <v>214</v>
      </c>
      <c r="G12" s="42">
        <v>25</v>
      </c>
      <c r="H12" s="44">
        <v>0.46296296296296297</v>
      </c>
      <c r="I12" s="8">
        <f>I11+G12</f>
        <v>29</v>
      </c>
      <c r="J12" s="44">
        <f>J11+GETPIVOTDATA("Porcentaje",$H$12,"Clasificación de complejidad  de hospitalización ","Riesgo moderado")</f>
        <v>0.53706296296296296</v>
      </c>
      <c r="L12" s="48" t="s">
        <v>250</v>
      </c>
      <c r="M12" s="45">
        <f>STDEVA(G11:G13)</f>
        <v>12.124355652982141</v>
      </c>
    </row>
    <row r="13" spans="1:16" x14ac:dyDescent="0.25">
      <c r="B13" s="4" t="s">
        <v>28</v>
      </c>
      <c r="C13" s="42">
        <v>5</v>
      </c>
      <c r="D13" s="51">
        <v>9.2592592592592587E-2</v>
      </c>
      <c r="F13" s="4" t="s">
        <v>215</v>
      </c>
      <c r="G13" s="42">
        <v>25</v>
      </c>
      <c r="H13" s="44">
        <v>0.46296296296296297</v>
      </c>
      <c r="I13" s="8">
        <f>I12+G13</f>
        <v>54</v>
      </c>
      <c r="J13" s="44">
        <f>J12+GETPIVOTDATA("Porcentaje",$H$13,"Clasificación de complejidad  de hospitalización ","Riesgo muy elevado")</f>
        <v>1.0000259259259259</v>
      </c>
    </row>
    <row r="14" spans="1:16" x14ac:dyDescent="0.25">
      <c r="B14" s="4" t="s">
        <v>25</v>
      </c>
      <c r="C14" s="42">
        <v>31</v>
      </c>
      <c r="D14" s="51">
        <v>0.57407407407407407</v>
      </c>
      <c r="F14" s="4" t="s">
        <v>242</v>
      </c>
      <c r="G14" s="42">
        <v>54</v>
      </c>
      <c r="H14" s="44">
        <v>1</v>
      </c>
      <c r="I14" s="49"/>
      <c r="J14" s="49"/>
    </row>
    <row r="15" spans="1:16" x14ac:dyDescent="0.25">
      <c r="B15" s="4" t="s">
        <v>242</v>
      </c>
      <c r="C15" s="42">
        <v>54</v>
      </c>
      <c r="D15" s="44">
        <v>1</v>
      </c>
    </row>
    <row r="18" spans="2:10" x14ac:dyDescent="0.25">
      <c r="B18" s="67" t="s">
        <v>258</v>
      </c>
      <c r="C18" s="67"/>
      <c r="D18" s="67"/>
      <c r="E18" s="67"/>
      <c r="F18" s="67"/>
      <c r="G18" s="67"/>
      <c r="H18" s="67"/>
      <c r="I18" s="67"/>
      <c r="J18" s="67"/>
    </row>
    <row r="19" spans="2:10" ht="45" x14ac:dyDescent="0.25">
      <c r="C19" s="46" t="s">
        <v>228</v>
      </c>
      <c r="D19" s="46"/>
      <c r="E19" s="46" t="s">
        <v>214</v>
      </c>
      <c r="F19" s="46"/>
      <c r="G19" s="53" t="s">
        <v>215</v>
      </c>
      <c r="I19" s="46" t="s">
        <v>264</v>
      </c>
      <c r="J19" s="46" t="s">
        <v>260</v>
      </c>
    </row>
    <row r="20" spans="2:10" ht="45" x14ac:dyDescent="0.25">
      <c r="C20" s="46" t="s">
        <v>265</v>
      </c>
      <c r="D20" s="46" t="s">
        <v>261</v>
      </c>
      <c r="E20" s="46" t="s">
        <v>265</v>
      </c>
      <c r="F20" s="46" t="s">
        <v>261</v>
      </c>
      <c r="G20" s="46" t="s">
        <v>265</v>
      </c>
      <c r="H20" s="46" t="s">
        <v>261</v>
      </c>
      <c r="I20" s="46"/>
      <c r="J20" s="46"/>
    </row>
    <row r="21" spans="2:10" x14ac:dyDescent="0.25">
      <c r="B21" s="4" t="s">
        <v>27</v>
      </c>
      <c r="C21" s="42">
        <v>4</v>
      </c>
      <c r="D21" s="52">
        <v>9300000</v>
      </c>
      <c r="E21" s="42"/>
      <c r="F21" s="52">
        <v>0.1</v>
      </c>
      <c r="G21" s="42">
        <v>11</v>
      </c>
      <c r="H21" s="52">
        <v>8300000</v>
      </c>
      <c r="I21" s="42">
        <v>15</v>
      </c>
      <c r="J21" s="52">
        <v>17600000</v>
      </c>
    </row>
    <row r="22" spans="2:10" x14ac:dyDescent="0.25">
      <c r="B22" s="4" t="s">
        <v>26</v>
      </c>
      <c r="C22" s="42"/>
      <c r="D22" s="52">
        <v>0.1</v>
      </c>
      <c r="E22" s="42"/>
      <c r="F22" s="52">
        <v>0.1</v>
      </c>
      <c r="G22" s="42">
        <v>3</v>
      </c>
      <c r="H22" s="52">
        <v>2400000</v>
      </c>
      <c r="I22" s="42">
        <v>3</v>
      </c>
      <c r="J22" s="52">
        <v>2400000</v>
      </c>
    </row>
    <row r="23" spans="2:10" x14ac:dyDescent="0.25">
      <c r="B23" s="4" t="s">
        <v>28</v>
      </c>
      <c r="C23" s="42"/>
      <c r="D23" s="52">
        <v>0.1</v>
      </c>
      <c r="E23" s="42"/>
      <c r="F23" s="52">
        <v>0.1</v>
      </c>
      <c r="G23" s="42">
        <v>5</v>
      </c>
      <c r="H23" s="52">
        <v>5800000</v>
      </c>
      <c r="I23" s="42">
        <v>5</v>
      </c>
      <c r="J23" s="52">
        <v>5800000</v>
      </c>
    </row>
    <row r="24" spans="2:10" x14ac:dyDescent="0.25">
      <c r="B24" s="4" t="s">
        <v>25</v>
      </c>
      <c r="C24" s="42"/>
      <c r="D24" s="52">
        <v>0.1</v>
      </c>
      <c r="E24" s="42">
        <v>25</v>
      </c>
      <c r="F24" s="52">
        <v>29800000</v>
      </c>
      <c r="G24" s="42">
        <v>6</v>
      </c>
      <c r="H24" s="52">
        <v>7000000</v>
      </c>
      <c r="I24" s="42">
        <v>31</v>
      </c>
      <c r="J24" s="52">
        <v>36800000</v>
      </c>
    </row>
    <row r="25" spans="2:10" x14ac:dyDescent="0.25">
      <c r="B25" s="4" t="s">
        <v>242</v>
      </c>
      <c r="C25" s="42">
        <v>4</v>
      </c>
      <c r="D25" s="52">
        <v>9300000</v>
      </c>
      <c r="E25" s="42">
        <v>25</v>
      </c>
      <c r="F25" s="52">
        <v>29800000</v>
      </c>
      <c r="G25" s="42">
        <v>25</v>
      </c>
      <c r="H25" s="52">
        <v>23500000</v>
      </c>
      <c r="I25" s="42">
        <v>54</v>
      </c>
      <c r="J25" s="52">
        <v>62600000</v>
      </c>
    </row>
    <row r="26" spans="2:10" x14ac:dyDescent="0.25">
      <c r="H26"/>
    </row>
    <row r="29" spans="2:10" x14ac:dyDescent="0.25">
      <c r="B29" s="67" t="s">
        <v>262</v>
      </c>
      <c r="C29" s="67"/>
    </row>
    <row r="30" spans="2:10" x14ac:dyDescent="0.25">
      <c r="B30" s="41" t="s">
        <v>21</v>
      </c>
      <c r="C30" t="s">
        <v>244</v>
      </c>
      <c r="H30"/>
    </row>
    <row r="31" spans="2:10" x14ac:dyDescent="0.25">
      <c r="B31" s="4" t="s">
        <v>27</v>
      </c>
      <c r="C31" s="42">
        <v>15</v>
      </c>
      <c r="H31"/>
    </row>
    <row r="32" spans="2:10" x14ac:dyDescent="0.25">
      <c r="B32" s="50" t="s">
        <v>255</v>
      </c>
      <c r="C32" s="42">
        <v>15</v>
      </c>
      <c r="H32"/>
    </row>
    <row r="33" spans="2:8" x14ac:dyDescent="0.25">
      <c r="B33" s="4" t="s">
        <v>26</v>
      </c>
      <c r="C33" s="42">
        <v>3</v>
      </c>
      <c r="E33" s="67" t="s">
        <v>263</v>
      </c>
      <c r="F33" s="67"/>
      <c r="H33"/>
    </row>
    <row r="34" spans="2:8" x14ac:dyDescent="0.25">
      <c r="B34" s="50" t="s">
        <v>255</v>
      </c>
      <c r="C34" s="42">
        <v>3</v>
      </c>
      <c r="F34" t="s">
        <v>2</v>
      </c>
      <c r="H34"/>
    </row>
    <row r="35" spans="2:8" x14ac:dyDescent="0.25">
      <c r="B35" s="4" t="s">
        <v>28</v>
      </c>
      <c r="C35" s="42">
        <v>5</v>
      </c>
      <c r="E35" s="4" t="s">
        <v>27</v>
      </c>
      <c r="F35" s="42">
        <v>15</v>
      </c>
      <c r="H35"/>
    </row>
    <row r="36" spans="2:8" x14ac:dyDescent="0.25">
      <c r="B36" s="50" t="s">
        <v>255</v>
      </c>
      <c r="C36" s="42">
        <v>5</v>
      </c>
      <c r="E36" s="4" t="s">
        <v>26</v>
      </c>
      <c r="F36" s="42">
        <v>3</v>
      </c>
      <c r="H36"/>
    </row>
    <row r="37" spans="2:8" x14ac:dyDescent="0.25">
      <c r="B37" s="4" t="s">
        <v>25</v>
      </c>
      <c r="C37" s="42">
        <v>31</v>
      </c>
      <c r="E37" s="4" t="s">
        <v>28</v>
      </c>
      <c r="F37" s="42">
        <v>5</v>
      </c>
      <c r="H37"/>
    </row>
    <row r="38" spans="2:8" x14ac:dyDescent="0.25">
      <c r="B38" s="50" t="s">
        <v>255</v>
      </c>
      <c r="C38" s="42">
        <v>31</v>
      </c>
      <c r="E38" s="4" t="s">
        <v>25</v>
      </c>
      <c r="F38" s="42">
        <v>31</v>
      </c>
      <c r="H38"/>
    </row>
    <row r="39" spans="2:8" x14ac:dyDescent="0.25">
      <c r="B39" s="4" t="s">
        <v>242</v>
      </c>
      <c r="C39" s="42">
        <v>54</v>
      </c>
      <c r="E39" s="4" t="s">
        <v>242</v>
      </c>
      <c r="F39" s="42">
        <v>54</v>
      </c>
      <c r="H39"/>
    </row>
    <row r="40" spans="2:8" x14ac:dyDescent="0.25">
      <c r="H40"/>
    </row>
    <row r="41" spans="2:8" x14ac:dyDescent="0.25">
      <c r="H41"/>
    </row>
    <row r="42" spans="2:8" x14ac:dyDescent="0.25">
      <c r="H42"/>
    </row>
    <row r="43" spans="2:8" x14ac:dyDescent="0.25">
      <c r="H43"/>
    </row>
    <row r="44" spans="2:8" x14ac:dyDescent="0.25">
      <c r="H44"/>
    </row>
    <row r="45" spans="2:8" x14ac:dyDescent="0.25">
      <c r="H45"/>
    </row>
  </sheetData>
  <mergeCells count="11">
    <mergeCell ref="B29:C29"/>
    <mergeCell ref="E33:F33"/>
    <mergeCell ref="B9:D9"/>
    <mergeCell ref="F9:L9"/>
    <mergeCell ref="B18:J18"/>
    <mergeCell ref="A7:P7"/>
    <mergeCell ref="A1:P1"/>
    <mergeCell ref="A3:P3"/>
    <mergeCell ref="A4:P4"/>
    <mergeCell ref="A5:P5"/>
    <mergeCell ref="A6:P6"/>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Identificación</vt:lpstr>
      <vt:lpstr>Hoja1</vt:lpstr>
      <vt:lpstr>MorbilidadMaterna</vt:lpstr>
      <vt:lpstr>Datos_MME</vt:lpstr>
      <vt:lpstr>Funciones (50%)</vt:lpstr>
      <vt:lpstr>Tablas dinámicas (50%)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Felipe Muñoz</cp:lastModifiedBy>
  <dcterms:created xsi:type="dcterms:W3CDTF">2015-06-10T03:19:01Z</dcterms:created>
  <dcterms:modified xsi:type="dcterms:W3CDTF">2021-02-04T00:35:39Z</dcterms:modified>
</cp:coreProperties>
</file>