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342017\Desktop\"/>
    </mc:Choice>
  </mc:AlternateContent>
  <xr:revisionPtr revIDLastSave="0" documentId="10_ncr:100000_{3575045D-A9AE-4778-BED1-E7EE7C582635}" xr6:coauthVersionLast="31" xr6:coauthVersionMax="31" xr10:uidLastSave="{00000000-0000-0000-0000-000000000000}"/>
  <bookViews>
    <workbookView xWindow="0" yWindow="0" windowWidth="20496" windowHeight="7512" xr2:uid="{00000000-000D-0000-FFFF-FFFF00000000}"/>
  </bookViews>
  <sheets>
    <sheet name="Cash Flow Statement" sheetId="1" r:id="rId1"/>
    <sheet name="Profit and Loss" sheetId="2" r:id="rId2"/>
  </sheets>
  <definedNames>
    <definedName name="FiscalYearStartDate">'Cash Flow Statement'!$B$4</definedName>
  </definedNames>
  <calcPr calcId="179017"/>
</workbook>
</file>

<file path=xl/calcChain.xml><?xml version="1.0" encoding="utf-8"?>
<calcChain xmlns="http://schemas.openxmlformats.org/spreadsheetml/2006/main">
  <c r="C16" i="2" l="1"/>
  <c r="C8" i="2"/>
  <c r="C17" i="2" s="1"/>
  <c r="D17" i="2" s="1"/>
  <c r="R9" i="1" l="1"/>
  <c r="R26" i="1" l="1"/>
  <c r="R18" i="1"/>
  <c r="R11" i="1"/>
  <c r="P3" i="1" l="1"/>
  <c r="O3" i="1"/>
  <c r="N3" i="1"/>
  <c r="M3" i="1"/>
  <c r="L3" i="1"/>
  <c r="K3" i="1"/>
  <c r="J3" i="1"/>
  <c r="I3" i="1"/>
  <c r="H3" i="1"/>
  <c r="G3" i="1"/>
  <c r="F3" i="1"/>
  <c r="E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7" i="1"/>
  <c r="R25" i="1"/>
  <c r="R28" i="1" s="1"/>
  <c r="R17" i="1"/>
  <c r="R19" i="1"/>
  <c r="R20" i="1"/>
  <c r="R21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D14" i="1"/>
  <c r="R10" i="1"/>
  <c r="R12" i="1"/>
  <c r="D31" i="1" l="1"/>
  <c r="E6" i="1" s="1"/>
  <c r="E14" i="1" s="1"/>
  <c r="E31" i="1" s="1"/>
  <c r="F6" i="1" s="1"/>
  <c r="F14" i="1" s="1"/>
  <c r="F31" i="1" s="1"/>
  <c r="G6" i="1" s="1"/>
  <c r="G14" i="1" s="1"/>
  <c r="G31" i="1" s="1"/>
  <c r="H6" i="1" s="1"/>
  <c r="H14" i="1" s="1"/>
  <c r="H31" i="1" s="1"/>
  <c r="I6" i="1" s="1"/>
  <c r="I14" i="1" s="1"/>
  <c r="I31" i="1" s="1"/>
  <c r="J6" i="1" s="1"/>
  <c r="J14" i="1" s="1"/>
  <c r="J31" i="1" s="1"/>
  <c r="K6" i="1" s="1"/>
  <c r="K14" i="1" s="1"/>
  <c r="K31" i="1" s="1"/>
  <c r="L6" i="1" s="1"/>
  <c r="L14" i="1" s="1"/>
  <c r="L31" i="1" s="1"/>
  <c r="M6" i="1" s="1"/>
  <c r="M14" i="1" s="1"/>
  <c r="M31" i="1" s="1"/>
  <c r="N6" i="1" s="1"/>
  <c r="N14" i="1" s="1"/>
  <c r="N31" i="1" s="1"/>
  <c r="O6" i="1" s="1"/>
  <c r="O14" i="1" s="1"/>
  <c r="O31" i="1" s="1"/>
  <c r="P6" i="1" s="1"/>
  <c r="P14" i="1" s="1"/>
  <c r="P31" i="1" s="1"/>
  <c r="R22" i="1"/>
  <c r="R29" i="1"/>
  <c r="R13" i="1"/>
  <c r="R6" i="1" l="1"/>
  <c r="R14" i="1" l="1"/>
  <c r="R31" i="1" s="1"/>
</calcChain>
</file>

<file path=xl/sharedStrings.xml><?xml version="1.0" encoding="utf-8"?>
<sst xmlns="http://schemas.openxmlformats.org/spreadsheetml/2006/main" count="47" uniqueCount="43">
  <si>
    <t>Fiscal year begins:</t>
  </si>
  <si>
    <t>(Pre) Startup</t>
  </si>
  <si>
    <t>Total</t>
  </si>
  <si>
    <t>EST</t>
  </si>
  <si>
    <t>Item EST</t>
  </si>
  <si>
    <t>Cash on Hand (beginning of month)</t>
  </si>
  <si>
    <t>Cash Receipts</t>
  </si>
  <si>
    <t>Total Cash Available (before cash out)</t>
  </si>
  <si>
    <t>Cash Paid Out</t>
  </si>
  <si>
    <t>Total Cash Paid Out</t>
  </si>
  <si>
    <t>Cash Position (end of month)</t>
  </si>
  <si>
    <t xml:space="preserve">  </t>
  </si>
  <si>
    <t xml:space="preserve">TorGo CashFlow  </t>
  </si>
  <si>
    <t>Telephone/Internet</t>
  </si>
  <si>
    <t xml:space="preserve">Enterprise ireland Loan </t>
  </si>
  <si>
    <t xml:space="preserve">Personal Savings </t>
  </si>
  <si>
    <t>Advertising (google, Facebook, etc)</t>
  </si>
  <si>
    <t xml:space="preserve">Google PaaS Subscription  </t>
  </si>
  <si>
    <t>Gross wages</t>
  </si>
  <si>
    <t xml:space="preserve">Cloud Hosting subscription </t>
  </si>
  <si>
    <t xml:space="preserve">Customer subscritions </t>
  </si>
  <si>
    <t>Friends and Family</t>
  </si>
  <si>
    <t xml:space="preserve"> Cash Paid Out(Non P&amp;L)</t>
  </si>
  <si>
    <t>Enterprise rental (Marketing &amp; Distribution)</t>
  </si>
  <si>
    <t>AXA Insurance (Marketing &amp; Distribution)</t>
  </si>
  <si>
    <t>Rentalmatics (Marketing &amp; Distribution)</t>
  </si>
  <si>
    <t xml:space="preserve">Yearly </t>
  </si>
  <si>
    <t xml:space="preserve">Total Revenue </t>
  </si>
  <si>
    <t xml:space="preserve">Cost of services sold </t>
  </si>
  <si>
    <t xml:space="preserve">Gross Profit </t>
  </si>
  <si>
    <t xml:space="preserve">Expenses </t>
  </si>
  <si>
    <t xml:space="preserve">Income </t>
  </si>
  <si>
    <t xml:space="preserve">Advertisitng </t>
  </si>
  <si>
    <t xml:space="preserve">Wages and salaries  </t>
  </si>
  <si>
    <t xml:space="preserve">TorGo  </t>
  </si>
  <si>
    <t>Profit and Loss Table</t>
  </si>
  <si>
    <t>Column1</t>
  </si>
  <si>
    <t>Yearly</t>
  </si>
  <si>
    <t xml:space="preserve">Total Expenses  </t>
  </si>
  <si>
    <t>Google PaaS</t>
  </si>
  <si>
    <t xml:space="preserve">Cloud Hosting </t>
  </si>
  <si>
    <t xml:space="preserve">Telephone and Internet </t>
  </si>
  <si>
    <t xml:space="preserve">Net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</si>
</sst>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mmm"/>
    <numFmt numFmtId="166" formatCode="dd"/>
    <numFmt numFmtId="167" formatCode="0_);\-0_)"/>
    <numFmt numFmtId="168" formatCode="#,##0_);[Red]\(#,##0\)"/>
  </numFmts>
  <fonts count="21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0"/>
      <color theme="1" tint="0.149967955565050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aj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</font>
    <font>
      <b/>
      <sz val="10"/>
      <color theme="1" tint="0.1499679555650502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rgb="FFED7D31"/>
      </patternFill>
    </fill>
    <fill>
      <patternFill patternType="solid">
        <fgColor theme="0"/>
        <bgColor rgb="FFF4B083"/>
      </patternFill>
    </fill>
    <fill>
      <patternFill patternType="solid">
        <fgColor theme="0"/>
        <bgColor rgb="FFED7D31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7" fontId="2" fillId="3" borderId="10" applyFont="0" applyAlignment="0">
      <alignment vertical="center"/>
    </xf>
    <xf numFmtId="165" fontId="5" fillId="0" borderId="2">
      <alignment horizontal="right" vertical="center" wrapText="1" indent="1"/>
    </xf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0" fontId="4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167" fontId="3" fillId="0" borderId="0" xfId="0" applyNumberFormat="1" applyFont="1" applyAlignment="1">
      <alignment horizontal="left" vertical="center" indent="1"/>
    </xf>
    <xf numFmtId="0" fontId="0" fillId="0" borderId="1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indent="1"/>
    </xf>
    <xf numFmtId="38" fontId="3" fillId="0" borderId="10" xfId="7" applyNumberFormat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11" fillId="0" borderId="0" xfId="2" applyFont="1"/>
    <xf numFmtId="3" fontId="12" fillId="0" borderId="2" xfId="0" applyNumberFormat="1" applyFont="1" applyFill="1" applyBorder="1" applyAlignment="1">
      <alignment horizontal="right" wrapText="1" indent="1"/>
    </xf>
    <xf numFmtId="165" fontId="13" fillId="0" borderId="2" xfId="6" applyFont="1">
      <alignment horizontal="right" vertical="center" wrapText="1" indent="1"/>
    </xf>
    <xf numFmtId="0" fontId="14" fillId="2" borderId="7" xfId="0" applyNumberFormat="1" applyFont="1" applyFill="1" applyBorder="1" applyAlignment="1">
      <alignment horizontal="right" vertical="center" wrapText="1" indent="1"/>
    </xf>
    <xf numFmtId="3" fontId="15" fillId="0" borderId="2" xfId="0" applyNumberFormat="1" applyFont="1" applyFill="1" applyBorder="1" applyAlignment="1">
      <alignment horizontal="right" vertical="center" wrapText="1" indent="1"/>
    </xf>
    <xf numFmtId="0" fontId="3" fillId="0" borderId="0" xfId="0" applyFont="1" applyFill="1" applyBorder="1">
      <alignment vertical="center"/>
    </xf>
    <xf numFmtId="14" fontId="3" fillId="0" borderId="0" xfId="0" applyNumberFormat="1" applyFont="1" applyBorder="1" applyAlignment="1">
      <alignment horizontal="left" vertical="center" indent="1"/>
    </xf>
    <xf numFmtId="3" fontId="3" fillId="0" borderId="3" xfId="0" applyNumberFormat="1" applyFont="1" applyFill="1" applyBorder="1" applyAlignment="1">
      <alignment horizontal="right" wrapText="1" indent="1"/>
    </xf>
    <xf numFmtId="166" fontId="3" fillId="0" borderId="3" xfId="0" applyNumberFormat="1" applyFont="1" applyFill="1" applyBorder="1" applyAlignment="1">
      <alignment horizontal="right" wrapText="1" indent="1"/>
    </xf>
    <xf numFmtId="0" fontId="12" fillId="2" borderId="7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0" fontId="12" fillId="2" borderId="6" xfId="0" applyNumberFormat="1" applyFont="1" applyFill="1" applyBorder="1" applyAlignment="1">
      <alignment horizontal="right" wrapText="1" indent="1"/>
    </xf>
    <xf numFmtId="3" fontId="12" fillId="0" borderId="0" xfId="0" applyNumberFormat="1" applyFont="1" applyFill="1" applyBorder="1" applyAlignment="1">
      <alignment horizontal="right" wrapText="1" indent="1"/>
    </xf>
    <xf numFmtId="167" fontId="16" fillId="0" borderId="11" xfId="2" applyNumberFormat="1" applyFont="1" applyFill="1" applyBorder="1" applyAlignment="1">
      <alignment horizontal="left" vertical="center"/>
    </xf>
    <xf numFmtId="0" fontId="3" fillId="2" borderId="7" xfId="7" applyNumberFormat="1" applyFont="1" applyFill="1" applyBorder="1" applyAlignment="1">
      <alignment horizontal="right"/>
    </xf>
    <xf numFmtId="0" fontId="10" fillId="0" borderId="10" xfId="0" applyFont="1" applyFill="1" applyBorder="1">
      <alignment vertical="center"/>
    </xf>
    <xf numFmtId="0" fontId="3" fillId="2" borderId="6" xfId="0" applyNumberFormat="1" applyFont="1" applyFill="1" applyBorder="1">
      <alignment vertical="center"/>
    </xf>
    <xf numFmtId="0" fontId="16" fillId="0" borderId="0" xfId="2" applyFont="1" applyAlignment="1">
      <alignment vertical="center"/>
    </xf>
    <xf numFmtId="0" fontId="3" fillId="2" borderId="6" xfId="0" applyFont="1" applyFill="1" applyBorder="1">
      <alignment vertical="center"/>
    </xf>
    <xf numFmtId="38" fontId="3" fillId="0" borderId="0" xfId="0" applyNumberFormat="1" applyFont="1" applyAlignment="1">
      <alignment horizontal="right" vertical="center"/>
    </xf>
    <xf numFmtId="38" fontId="3" fillId="0" borderId="0" xfId="0" applyNumberFormat="1" applyFont="1">
      <alignment vertical="center"/>
    </xf>
    <xf numFmtId="168" fontId="3" fillId="0" borderId="0" xfId="0" applyNumberFormat="1" applyFont="1" applyAlignment="1">
      <alignment horizontal="right" vertical="center"/>
    </xf>
    <xf numFmtId="168" fontId="3" fillId="0" borderId="0" xfId="0" applyNumberFormat="1" applyFont="1">
      <alignment vertical="center"/>
    </xf>
    <xf numFmtId="0" fontId="3" fillId="2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167" fontId="17" fillId="3" borderId="11" xfId="2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38" fontId="3" fillId="3" borderId="10" xfId="5" applyNumberFormat="1" applyFont="1" applyAlignment="1">
      <alignment vertical="center"/>
    </xf>
    <xf numFmtId="0" fontId="3" fillId="2" borderId="8" xfId="0" applyNumberFormat="1" applyFont="1" applyFill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38" fontId="3" fillId="0" borderId="0" xfId="0" applyNumberFormat="1" applyFont="1" applyFill="1" applyBorder="1" applyAlignment="1">
      <alignment horizontal="right" vertical="center"/>
    </xf>
    <xf numFmtId="38" fontId="3" fillId="0" borderId="0" xfId="0" applyNumberFormat="1" applyFont="1" applyFill="1" applyBorder="1">
      <alignment vertical="center"/>
    </xf>
    <xf numFmtId="3" fontId="3" fillId="0" borderId="0" xfId="0" applyNumberFormat="1" applyFont="1" applyFill="1" applyBorder="1">
      <alignment vertical="center"/>
    </xf>
    <xf numFmtId="168" fontId="3" fillId="0" borderId="0" xfId="0" applyNumberFormat="1" applyFont="1" applyFill="1" applyBorder="1" applyAlignment="1">
      <alignment horizontal="right" vertical="center"/>
    </xf>
    <xf numFmtId="0" fontId="3" fillId="0" borderId="6" xfId="0" applyNumberFormat="1" applyFont="1" applyFill="1" applyBorder="1">
      <alignment vertical="center"/>
    </xf>
    <xf numFmtId="168" fontId="3" fillId="0" borderId="0" xfId="0" applyNumberFormat="1" applyFont="1" applyFill="1" applyBorder="1">
      <alignment vertical="center"/>
    </xf>
    <xf numFmtId="38" fontId="3" fillId="0" borderId="0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/>
    <xf numFmtId="38" fontId="3" fillId="3" borderId="10" xfId="5" applyNumberFormat="1" applyFont="1" applyBorder="1" applyAlignment="1">
      <alignment vertical="center"/>
    </xf>
    <xf numFmtId="0" fontId="3" fillId="2" borderId="0" xfId="0" applyNumberFormat="1" applyFont="1" applyFill="1">
      <alignment vertical="center"/>
    </xf>
    <xf numFmtId="0" fontId="10" fillId="0" borderId="11" xfId="0" applyFont="1" applyFill="1" applyBorder="1" applyAlignment="1"/>
    <xf numFmtId="0" fontId="3" fillId="0" borderId="0" xfId="0" applyFont="1" applyAlignment="1"/>
    <xf numFmtId="44" fontId="0" fillId="0" borderId="0" xfId="8" applyFont="1" applyAlignment="1"/>
    <xf numFmtId="44" fontId="18" fillId="0" borderId="0" xfId="8" applyFont="1"/>
    <xf numFmtId="44" fontId="0" fillId="0" borderId="0" xfId="8" applyFont="1"/>
    <xf numFmtId="44" fontId="0" fillId="4" borderId="0" xfId="8" applyFont="1" applyFill="1" applyBorder="1"/>
    <xf numFmtId="44" fontId="0" fillId="5" borderId="0" xfId="8" applyFont="1" applyFill="1" applyBorder="1"/>
    <xf numFmtId="44" fontId="18" fillId="4" borderId="0" xfId="8" applyFont="1" applyFill="1" applyBorder="1"/>
    <xf numFmtId="44" fontId="0" fillId="2" borderId="0" xfId="8" applyFont="1" applyFill="1" applyAlignment="1"/>
    <xf numFmtId="44" fontId="0" fillId="6" borderId="0" xfId="8" applyFont="1" applyFill="1" applyBorder="1"/>
    <xf numFmtId="44" fontId="0" fillId="7" borderId="0" xfId="8" applyFont="1" applyFill="1" applyBorder="1"/>
    <xf numFmtId="44" fontId="18" fillId="6" borderId="0" xfId="8" applyFont="1" applyFill="1" applyBorder="1"/>
    <xf numFmtId="44" fontId="4" fillId="0" borderId="0" xfId="1" applyNumberFormat="1" applyAlignment="1"/>
    <xf numFmtId="44" fontId="19" fillId="4" borderId="0" xfId="8" applyFont="1" applyFill="1" applyBorder="1"/>
    <xf numFmtId="44" fontId="20" fillId="0" borderId="0" xfId="8" applyFont="1"/>
    <xf numFmtId="44" fontId="19" fillId="0" borderId="0" xfId="8" applyFont="1"/>
  </cellXfs>
  <cellStyles count="9">
    <cellStyle name="Comma" xfId="7" builtinId="3"/>
    <cellStyle name="Currency" xfId="8" builtinId="4"/>
    <cellStyle name="Heading 1" xfId="2" builtinId="16" customBuiltin="1"/>
    <cellStyle name="Heading 2" xfId="3" builtinId="17" customBuiltin="1"/>
    <cellStyle name="Heading 3" xfId="4" builtinId="18" customBuiltin="1"/>
    <cellStyle name="Month" xfId="6" xr:uid="{00000000-0005-0000-0000-000004000000}"/>
    <cellStyle name="Normal" xfId="0" builtinId="0" customBuiltin="1"/>
    <cellStyle name="Title" xfId="1" builtinId="15" customBuiltin="1"/>
    <cellStyle name="Totals" xfId="5" xr:uid="{00000000-0005-0000-0000-000007000000}"/>
  </cellStyles>
  <dxfs count="126"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_);\-0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6" formatCode="#,##0;[Red]\-#,##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4" defaultTableStyle="Cash Receipts" defaultPivotStyle="PivotStyleLight16">
    <tableStyle name="Cash Receipts" pivot="0" count="7" xr9:uid="{00000000-0011-0000-FFFF-FFFF00000000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TotalCell" dxfId="120"/>
      <tableStyleElement type="lastTotalCell" dxfId="119"/>
    </tableStyle>
    <tableStyle name="Year 1-style 3" pivot="0" count="3" xr9:uid="{00000000-0011-0000-FFFF-FFFF0A000000}">
      <tableStyleElement type="headerRow" dxfId="49"/>
      <tableStyleElement type="firstRowStripe" dxfId="48"/>
      <tableStyleElement type="secondRowStripe" dxfId="47"/>
    </tableStyle>
    <tableStyle name="Year 1-style 4" pivot="0" count="3" xr9:uid="{00000000-0011-0000-FFFF-FFFF0E000000}">
      <tableStyleElement type="headerRow" dxfId="46"/>
      <tableStyleElement type="firstRowStripe" dxfId="45"/>
      <tableStyleElement type="secondRowStripe" dxfId="44"/>
    </tableStyle>
    <tableStyle name="Year 1-style 5" pivot="0" count="3" xr9:uid="{00000000-0011-0000-FFFF-FFFF10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Receipts" displayName="CashReceipts" ref="B9:S13" headerRowCount="0" totalsRowCount="1" headerRowDxfId="95" dataDxfId="93" totalsRowDxfId="94">
  <tableColumns count="18">
    <tableColumn id="1" xr3:uid="{00000000-0010-0000-0000-000001000000}" name="Items" totalsRowLabel="Total" headerRowDxfId="118" dataDxfId="112" totalsRowDxfId="67"/>
    <tableColumn id="17" xr3:uid="{00000000-0010-0000-0000-000011000000}" name="Column2" headerRowDxfId="117" dataDxfId="111" totalsRowDxfId="66"/>
    <tableColumn id="2" xr3:uid="{00000000-0010-0000-0000-000002000000}" name="Period 0" totalsRowFunction="sum" dataDxfId="110" totalsRowDxfId="65"/>
    <tableColumn id="3" xr3:uid="{00000000-0010-0000-0000-000003000000}" name="Period 1" totalsRowFunction="sum" dataDxfId="68" totalsRowDxfId="64"/>
    <tableColumn id="4" xr3:uid="{00000000-0010-0000-0000-000004000000}" name="Period 2" totalsRowFunction="sum" dataDxfId="109" totalsRowDxfId="63"/>
    <tableColumn id="5" xr3:uid="{00000000-0010-0000-0000-000005000000}" name="Period 3" totalsRowFunction="sum" dataDxfId="108" totalsRowDxfId="62"/>
    <tableColumn id="6" xr3:uid="{00000000-0010-0000-0000-000006000000}" name="Period 4" totalsRowFunction="sum" dataDxfId="107" totalsRowDxfId="61"/>
    <tableColumn id="7" xr3:uid="{00000000-0010-0000-0000-000007000000}" name="Period 5" totalsRowFunction="sum" dataDxfId="106" totalsRowDxfId="60"/>
    <tableColumn id="8" xr3:uid="{00000000-0010-0000-0000-000008000000}" name="Period 6" totalsRowFunction="sum" dataDxfId="105" totalsRowDxfId="59"/>
    <tableColumn id="9" xr3:uid="{00000000-0010-0000-0000-000009000000}" name="Period 7" totalsRowFunction="sum" dataDxfId="104" totalsRowDxfId="58"/>
    <tableColumn id="10" xr3:uid="{00000000-0010-0000-0000-00000A000000}" name="Period 8" totalsRowFunction="sum" dataDxfId="103" totalsRowDxfId="57"/>
    <tableColumn id="11" xr3:uid="{00000000-0010-0000-0000-00000B000000}" name="Period 9" totalsRowFunction="sum" dataDxfId="102" totalsRowDxfId="56"/>
    <tableColumn id="12" xr3:uid="{00000000-0010-0000-0000-00000C000000}" name="Period 10" totalsRowFunction="sum" dataDxfId="101" totalsRowDxfId="55"/>
    <tableColumn id="13" xr3:uid="{00000000-0010-0000-0000-00000D000000}" name="Period 11" totalsRowFunction="sum" dataDxfId="100" totalsRowDxfId="54"/>
    <tableColumn id="14" xr3:uid="{00000000-0010-0000-0000-00000E000000}" name="Period 12" totalsRowFunction="sum" dataDxfId="99" totalsRowDxfId="53"/>
    <tableColumn id="18" xr3:uid="{00000000-0010-0000-0000-000012000000}" name="Column3" dataDxfId="98" totalsRowDxfId="52"/>
    <tableColumn id="15" xr3:uid="{00000000-0010-0000-0000-00000F000000}" name="Total" totalsRowFunction="sum" dataDxfId="97" totalsRowDxfId="51">
      <calculatedColumnFormula>SUM(CashReceipts[[#This Row],[Period 0]:[Period 12]])</calculatedColumnFormula>
    </tableColumn>
    <tableColumn id="16" xr3:uid="{00000000-0010-0000-0000-000010000000}" name="Column1" dataDxfId="96" totalsRowDxfId="50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Receipts" altTextSummary="Cash receipts for 12 months starting with the first month of the fiscal year along with a calculated grand total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shPaidOut" displayName="CashPaidOut" ref="B17:S22" headerRowCount="0" totalsRowCount="1" headerRowDxfId="92" dataDxfId="90" totalsRowDxfId="91">
  <tableColumns count="18">
    <tableColumn id="1" xr3:uid="{00000000-0010-0000-0100-000001000000}" name="Items" totalsRowLabel="Total" headerRowDxfId="116" dataDxfId="20"/>
    <tableColumn id="17" xr3:uid="{00000000-0010-0000-0100-000011000000}" name="Column2" headerRowDxfId="115" dataDxfId="19"/>
    <tableColumn id="2" xr3:uid="{00000000-0010-0000-0100-000002000000}" name="Period 0" totalsRowFunction="sum" dataDxfId="18"/>
    <tableColumn id="3" xr3:uid="{00000000-0010-0000-0100-000003000000}" name="Period 1" totalsRowFunction="sum" dataDxfId="17"/>
    <tableColumn id="4" xr3:uid="{00000000-0010-0000-0100-000004000000}" name="Period 2" totalsRowFunction="sum" dataDxfId="16"/>
    <tableColumn id="5" xr3:uid="{00000000-0010-0000-0100-000005000000}" name="Period 3" totalsRowFunction="sum" dataDxfId="15"/>
    <tableColumn id="6" xr3:uid="{00000000-0010-0000-0100-000006000000}" name="Period 4" totalsRowFunction="sum" dataDxfId="14"/>
    <tableColumn id="7" xr3:uid="{00000000-0010-0000-0100-000007000000}" name="Period 5" totalsRowFunction="sum" dataDxfId="13"/>
    <tableColumn id="8" xr3:uid="{00000000-0010-0000-0100-000008000000}" name="Period 6" totalsRowFunction="sum" dataDxfId="12"/>
    <tableColumn id="9" xr3:uid="{00000000-0010-0000-0100-000009000000}" name="Period 7" totalsRowFunction="sum" dataDxfId="11"/>
    <tableColumn id="10" xr3:uid="{00000000-0010-0000-0100-00000A000000}" name="Period 8" totalsRowFunction="sum" dataDxfId="10"/>
    <tableColumn id="11" xr3:uid="{00000000-0010-0000-0100-00000B000000}" name="Period 9" totalsRowFunction="sum" dataDxfId="9"/>
    <tableColumn id="12" xr3:uid="{00000000-0010-0000-0100-00000C000000}" name="Period 10" totalsRowFunction="sum" dataDxfId="8"/>
    <tableColumn id="13" xr3:uid="{00000000-0010-0000-0100-00000D000000}" name="Period 11" totalsRowFunction="sum" dataDxfId="7"/>
    <tableColumn id="14" xr3:uid="{00000000-0010-0000-0100-00000E000000}" name="Period 12" totalsRowFunction="sum" dataDxfId="6"/>
    <tableColumn id="18" xr3:uid="{00000000-0010-0000-0100-000012000000}" name="Column3" dataDxfId="5"/>
    <tableColumn id="15" xr3:uid="{00000000-0010-0000-0100-00000F000000}" name="Total" totalsRowFunction="sum" dataDxfId="4">
      <calculatedColumnFormula>SUM(CashPaidOut[[#This Row],[Period 0]:[Period 12]])</calculatedColumnFormula>
    </tableColumn>
    <tableColumn id="16" xr3:uid="{00000000-0010-0000-0100-000010000000}" name="Column1" dataDxfId="3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" altTextSummary="Cash payouts for 12 months starting with the first month of the fiscal year along with a calculated grand total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ashPaidOut2" displayName="CashPaidOut2" ref="B25:S28" headerRowCount="0" totalsRowCount="1" headerRowDxfId="71" dataDxfId="69" totalsRowDxfId="70">
  <tableColumns count="18">
    <tableColumn id="1" xr3:uid="{00000000-0010-0000-0200-000001000000}" name="Items" totalsRowLabel="Total" headerRowDxfId="114" dataDxfId="89" totalsRowDxfId="40"/>
    <tableColumn id="17" xr3:uid="{00000000-0010-0000-0200-000011000000}" name="Column2" headerRowDxfId="113" dataDxfId="88" totalsRowDxfId="39"/>
    <tableColumn id="2" xr3:uid="{00000000-0010-0000-0200-000002000000}" name="Period 0" totalsRowFunction="sum" dataDxfId="87" totalsRowDxfId="38"/>
    <tableColumn id="3" xr3:uid="{00000000-0010-0000-0200-000003000000}" name="Period 1" totalsRowFunction="sum" dataDxfId="86" totalsRowDxfId="37"/>
    <tableColumn id="4" xr3:uid="{00000000-0010-0000-0200-000004000000}" name="Period 2" totalsRowFunction="sum" dataDxfId="85" totalsRowDxfId="36"/>
    <tableColumn id="5" xr3:uid="{00000000-0010-0000-0200-000005000000}" name="Period 3" totalsRowFunction="sum" dataDxfId="84" totalsRowDxfId="35"/>
    <tableColumn id="6" xr3:uid="{00000000-0010-0000-0200-000006000000}" name="Period 4" totalsRowFunction="sum" dataDxfId="83" totalsRowDxfId="34"/>
    <tableColumn id="7" xr3:uid="{00000000-0010-0000-0200-000007000000}" name="Period 5" totalsRowFunction="sum" dataDxfId="82" totalsRowDxfId="33"/>
    <tableColumn id="8" xr3:uid="{00000000-0010-0000-0200-000008000000}" name="Period 6" totalsRowFunction="sum" dataDxfId="81" totalsRowDxfId="32"/>
    <tableColumn id="9" xr3:uid="{00000000-0010-0000-0200-000009000000}" name="Period 7" totalsRowFunction="sum" dataDxfId="80" totalsRowDxfId="31"/>
    <tableColumn id="10" xr3:uid="{00000000-0010-0000-0200-00000A000000}" name="Period 8" totalsRowFunction="sum" dataDxfId="79" totalsRowDxfId="30"/>
    <tableColumn id="11" xr3:uid="{00000000-0010-0000-0200-00000B000000}" name="Period 9" totalsRowFunction="sum" dataDxfId="78" totalsRowDxfId="29"/>
    <tableColumn id="12" xr3:uid="{00000000-0010-0000-0200-00000C000000}" name="Period 10" totalsRowFunction="sum" dataDxfId="77" totalsRowDxfId="28"/>
    <tableColumn id="13" xr3:uid="{00000000-0010-0000-0200-00000D000000}" name="Period 11" totalsRowFunction="sum" dataDxfId="76" totalsRowDxfId="27"/>
    <tableColumn id="14" xr3:uid="{00000000-0010-0000-0200-00000E000000}" name="Period 12" totalsRowFunction="sum" dataDxfId="75" totalsRowDxfId="26"/>
    <tableColumn id="18" xr3:uid="{00000000-0010-0000-0200-000012000000}" name="Column3" dataDxfId="74" totalsRowDxfId="25"/>
    <tableColumn id="15" xr3:uid="{00000000-0010-0000-0200-00000F000000}" name="Total" totalsRowFunction="sum" dataDxfId="73" totalsRowDxfId="24">
      <calculatedColumnFormula>SUM(CashPaidOut2[[#This Row],[Period 0]:[Period 12]])</calculatedColumnFormula>
    </tableColumn>
    <tableColumn id="16" xr3:uid="{00000000-0010-0000-0200-000010000000}" name="Column1" dataDxfId="72" totalsRowDxfId="23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 (Non P&amp;L)" altTextSummary="Cash receipts (non P&amp;L) for 12 months starting with the first month of the fiscal year along with a calculated grand total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9D106-120D-4F28-B608-3DCA59B38732}" name="Table_13" displayName="Table_13" ref="B5:D9" headerRowCellStyle="Currency" dataCellStyle="Currency" totalsRowCellStyle="Currency">
  <tableColumns count="3">
    <tableColumn id="1" xr3:uid="{3C85360A-281C-4560-BA00-B1DEADF67F95}" name="Income " dataCellStyle="Currency"/>
    <tableColumn id="6" xr3:uid="{D273D7F2-766C-407E-A2F8-FD5B0B075383}" name="Yearly " dataDxfId="22" dataCellStyle="Currency"/>
    <tableColumn id="2" xr3:uid="{AA34E561-C21E-457D-9AED-22523A8E83C7}" name="Column1" dataCellStyle="Currency">
      <calculatedColumnFormula>C6*12</calculatedColumnFormula>
    </tableColumn>
  </tableColumns>
  <tableStyleInfo name="Year 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09CB92-0C2E-468D-B077-C197B6962AAA}" name="Table_139" displayName="Table_139" ref="B10:D17" headerRowCellStyle="Currency" dataCellStyle="Currency" totalsRowCellStyle="Currency">
  <tableColumns count="3">
    <tableColumn id="1" xr3:uid="{178792C9-542F-4AFB-A4AD-E75DE0F447F7}" name="Expenses " dataCellStyle="Currency"/>
    <tableColumn id="6" xr3:uid="{2033B080-4213-4A49-973A-B2C8838AE13A}" name="Yearly" dataDxfId="21" dataCellStyle="Currency"/>
    <tableColumn id="2" xr3:uid="{77F0A9FF-8E19-4214-8951-3F6D9B0FEE67}" name="Yearly " dataCellStyle="Currency">
      <calculatedColumnFormula>C11*12</calculatedColumnFormula>
    </tableColumn>
  </tableColumns>
  <tableStyleInfo name="Year 1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S31"/>
  <sheetViews>
    <sheetView showGridLines="0" tabSelected="1" zoomScale="85" zoomScaleNormal="85" workbookViewId="0">
      <pane ySplit="4" topLeftCell="A8" activePane="bottomLeft" state="frozen"/>
      <selection pane="bottomLeft" activeCell="G16" sqref="G16"/>
    </sheetView>
  </sheetViews>
  <sheetFormatPr defaultRowHeight="17.25" customHeight="1" x14ac:dyDescent="0.3"/>
  <cols>
    <col min="1" max="1" width="2.5546875" customWidth="1"/>
    <col min="2" max="2" width="36" customWidth="1"/>
    <col min="3" max="3" width="3" customWidth="1"/>
    <col min="4" max="4" width="7.5546875" customWidth="1"/>
    <col min="5" max="16" width="12.33203125" customWidth="1"/>
    <col min="17" max="17" width="3" style="9" customWidth="1"/>
    <col min="18" max="18" width="10.6640625" bestFit="1" customWidth="1"/>
  </cols>
  <sheetData>
    <row r="1" spans="1:19" ht="42" customHeight="1" thickBot="1" x14ac:dyDescent="0.75">
      <c r="B1" s="1" t="s">
        <v>12</v>
      </c>
      <c r="C1" s="2"/>
      <c r="D1" s="2"/>
      <c r="E1" s="3" t="s">
        <v>11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"/>
      <c r="R1" s="2"/>
      <c r="S1" s="2"/>
    </row>
    <row r="2" spans="1:19" ht="22.5" customHeight="1" thickTop="1" x14ac:dyDescent="0.3">
      <c r="Q2" s="8"/>
    </row>
    <row r="3" spans="1:19" ht="25.5" customHeight="1" x14ac:dyDescent="0.35">
      <c r="A3" s="12"/>
      <c r="B3" s="13" t="s">
        <v>0</v>
      </c>
      <c r="C3" s="12"/>
      <c r="D3" s="14" t="s">
        <v>1</v>
      </c>
      <c r="E3" s="15" t="str">
        <f>UPPER(TEXT(FiscalYearStartDate,"mmm"))</f>
        <v>JAN</v>
      </c>
      <c r="F3" s="15" t="str">
        <f>UPPER(TEXT(EOMONTH(FiscalYearStartDate,1),"mmm"))</f>
        <v>FEB</v>
      </c>
      <c r="G3" s="15" t="str">
        <f>UPPER(TEXT(EOMONTH(FiscalYearStartDate,2),"mmm"))</f>
        <v>MAR</v>
      </c>
      <c r="H3" s="15" t="str">
        <f>UPPER(TEXT(EOMONTH(FiscalYearStartDate,3),"mmm"))</f>
        <v>APR</v>
      </c>
      <c r="I3" s="15" t="str">
        <f>UPPER(TEXT(EOMONTH(FiscalYearStartDate,4),"mmm"))</f>
        <v>MAY</v>
      </c>
      <c r="J3" s="15" t="str">
        <f>UPPER(TEXT(EOMONTH(FiscalYearStartDate,5),"mmm"))</f>
        <v>JUN</v>
      </c>
      <c r="K3" s="15" t="str">
        <f>UPPER(TEXT(EOMONTH(FiscalYearStartDate,6),"mmm"))</f>
        <v>JUL</v>
      </c>
      <c r="L3" s="15" t="str">
        <f>UPPER(TEXT(EOMONTH(FiscalYearStartDate,7),"mmm"))</f>
        <v>AUG</v>
      </c>
      <c r="M3" s="15" t="str">
        <f>UPPER(TEXT(EOMONTH(FiscalYearStartDate,8),"mmm"))</f>
        <v>SEP</v>
      </c>
      <c r="N3" s="15" t="str">
        <f>UPPER(TEXT(EOMONTH(FiscalYearStartDate,9),"mmm"))</f>
        <v>OCT</v>
      </c>
      <c r="O3" s="15" t="str">
        <f>UPPER(TEXT(EOMONTH(FiscalYearStartDate,10),"mmm"))</f>
        <v>NOV</v>
      </c>
      <c r="P3" s="15" t="str">
        <f>UPPER(TEXT(EOMONTH(FiscalYearStartDate,11),"mmm"))</f>
        <v>DEC</v>
      </c>
      <c r="Q3" s="16"/>
      <c r="R3" s="17" t="s">
        <v>2</v>
      </c>
      <c r="S3" s="18"/>
    </row>
    <row r="4" spans="1:19" ht="16.5" customHeight="1" thickBot="1" x14ac:dyDescent="0.35">
      <c r="A4" s="12"/>
      <c r="B4" s="19">
        <v>43466</v>
      </c>
      <c r="C4" s="12"/>
      <c r="D4" s="20" t="s">
        <v>3</v>
      </c>
      <c r="E4" s="21">
        <f>FiscalYearStartDate</f>
        <v>43466</v>
      </c>
      <c r="F4" s="21">
        <f t="shared" ref="F4" si="0">EOMONTH(E4,0)+DAY(FiscalYearStartDate)</f>
        <v>43497</v>
      </c>
      <c r="G4" s="21">
        <f t="shared" ref="G4" si="1">EOMONTH(F4,0)+DAY(FiscalYearStartDate)</f>
        <v>43525</v>
      </c>
      <c r="H4" s="21">
        <f t="shared" ref="H4" si="2">EOMONTH(G4,0)+DAY(FiscalYearStartDate)</f>
        <v>43556</v>
      </c>
      <c r="I4" s="21">
        <f t="shared" ref="I4" si="3">EOMONTH(H4,0)+DAY(FiscalYearStartDate)</f>
        <v>43586</v>
      </c>
      <c r="J4" s="21">
        <f t="shared" ref="J4" si="4">EOMONTH(I4,0)+DAY(FiscalYearStartDate)</f>
        <v>43617</v>
      </c>
      <c r="K4" s="21">
        <f t="shared" ref="K4" si="5">EOMONTH(J4,0)+DAY(FiscalYearStartDate)</f>
        <v>43647</v>
      </c>
      <c r="L4" s="21">
        <f t="shared" ref="L4" si="6">EOMONTH(K4,0)+DAY(FiscalYearStartDate)</f>
        <v>43678</v>
      </c>
      <c r="M4" s="21">
        <f t="shared" ref="M4" si="7">EOMONTH(L4,0)+DAY(FiscalYearStartDate)</f>
        <v>43709</v>
      </c>
      <c r="N4" s="21">
        <f t="shared" ref="N4" si="8">EOMONTH(M4,0)+DAY(FiscalYearStartDate)</f>
        <v>43739</v>
      </c>
      <c r="O4" s="21">
        <f t="shared" ref="O4" si="9">EOMONTH(N4,0)+DAY(FiscalYearStartDate)</f>
        <v>43770</v>
      </c>
      <c r="P4" s="21">
        <f t="shared" ref="P4" si="10">EOMONTH(O4,0)+DAY(FiscalYearStartDate)</f>
        <v>43800</v>
      </c>
      <c r="Q4" s="22"/>
      <c r="R4" s="14" t="s">
        <v>4</v>
      </c>
      <c r="S4" s="18"/>
    </row>
    <row r="5" spans="1:19" ht="17.25" customHeight="1" thickTop="1" x14ac:dyDescent="0.3">
      <c r="A5" s="12"/>
      <c r="B5" s="19"/>
      <c r="C5" s="12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5"/>
      <c r="R5" s="26"/>
      <c r="S5" s="18"/>
    </row>
    <row r="6" spans="1:19" ht="17.25" customHeight="1" thickBot="1" x14ac:dyDescent="0.35">
      <c r="A6" s="12"/>
      <c r="B6" s="27" t="s">
        <v>5</v>
      </c>
      <c r="C6" s="12"/>
      <c r="D6" s="11"/>
      <c r="E6" s="11">
        <f>D31</f>
        <v>0</v>
      </c>
      <c r="F6" s="11">
        <f t="shared" ref="F6:P6" si="11">E31</f>
        <v>44395</v>
      </c>
      <c r="G6" s="11">
        <f t="shared" si="11"/>
        <v>38790</v>
      </c>
      <c r="H6" s="11">
        <f t="shared" si="11"/>
        <v>33185</v>
      </c>
      <c r="I6" s="11">
        <f t="shared" si="11"/>
        <v>27780</v>
      </c>
      <c r="J6" s="11">
        <f t="shared" si="11"/>
        <v>22575</v>
      </c>
      <c r="K6" s="11">
        <f t="shared" si="11"/>
        <v>16970</v>
      </c>
      <c r="L6" s="11">
        <f t="shared" si="11"/>
        <v>12065</v>
      </c>
      <c r="M6" s="11">
        <f t="shared" si="11"/>
        <v>7060</v>
      </c>
      <c r="N6" s="11">
        <f t="shared" si="11"/>
        <v>2655</v>
      </c>
      <c r="O6" s="11">
        <f t="shared" si="11"/>
        <v>-350</v>
      </c>
      <c r="P6" s="11">
        <f t="shared" si="11"/>
        <v>-3855</v>
      </c>
      <c r="Q6" s="28"/>
      <c r="R6" s="11">
        <f>P6</f>
        <v>-3855</v>
      </c>
      <c r="S6" s="29"/>
    </row>
    <row r="7" spans="1:19" ht="17.25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30"/>
      <c r="R7" s="12"/>
      <c r="S7" s="12"/>
    </row>
    <row r="8" spans="1:19" ht="17.25" customHeight="1" x14ac:dyDescent="0.3">
      <c r="A8" s="12"/>
      <c r="B8" s="31" t="s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30"/>
      <c r="R8" s="12"/>
      <c r="S8" s="12"/>
    </row>
    <row r="9" spans="1:19" ht="17.25" customHeight="1" x14ac:dyDescent="0.3">
      <c r="A9" s="12"/>
      <c r="B9" s="6" t="s">
        <v>20</v>
      </c>
      <c r="C9" s="32"/>
      <c r="D9" s="33"/>
      <c r="E9" s="33">
        <v>0</v>
      </c>
      <c r="F9" s="33">
        <v>0</v>
      </c>
      <c r="G9" s="33">
        <v>0</v>
      </c>
      <c r="H9" s="33">
        <v>2000</v>
      </c>
      <c r="I9" s="33">
        <v>2800</v>
      </c>
      <c r="J9" s="33">
        <v>3200</v>
      </c>
      <c r="K9" s="33">
        <v>4400</v>
      </c>
      <c r="L9" s="33">
        <v>5800</v>
      </c>
      <c r="M9" s="33">
        <v>6400</v>
      </c>
      <c r="N9" s="33">
        <v>7800</v>
      </c>
      <c r="O9" s="33">
        <v>8800</v>
      </c>
      <c r="P9" s="33">
        <v>10400</v>
      </c>
      <c r="Q9" s="30"/>
      <c r="R9" s="34">
        <f>SUM(CashReceipts[[#This Row],[Period 0]:[Period 12]])</f>
        <v>51600</v>
      </c>
      <c r="S9" s="12"/>
    </row>
    <row r="10" spans="1:19" ht="17.25" customHeight="1" x14ac:dyDescent="0.3">
      <c r="A10" s="12"/>
      <c r="B10" s="6" t="s">
        <v>15</v>
      </c>
      <c r="C10" s="32"/>
      <c r="D10" s="33"/>
      <c r="E10" s="33">
        <v>10000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0"/>
      <c r="R10" s="34">
        <f>SUM(CashReceipts[[#This Row],[Period 0]:[Period 12]])</f>
        <v>10000</v>
      </c>
      <c r="S10" s="12"/>
    </row>
    <row r="11" spans="1:19" ht="17.25" customHeight="1" x14ac:dyDescent="0.3">
      <c r="A11" s="12"/>
      <c r="B11" s="6" t="s">
        <v>21</v>
      </c>
      <c r="C11" s="32"/>
      <c r="D11" s="35"/>
      <c r="E11" s="33">
        <v>10000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0"/>
      <c r="R11" s="36">
        <f>SUM(CashReceipts[[#This Row],[Period 0]:[Period 12]])</f>
        <v>10000</v>
      </c>
      <c r="S11" s="12"/>
    </row>
    <row r="12" spans="1:19" ht="17.25" customHeight="1" x14ac:dyDescent="0.3">
      <c r="A12" s="12"/>
      <c r="B12" s="6" t="s">
        <v>14</v>
      </c>
      <c r="C12" s="37"/>
      <c r="D12" s="33"/>
      <c r="E12" s="33">
        <v>30000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0"/>
      <c r="R12" s="34">
        <f>SUM(CashReceipts[[#This Row],[Period 0]:[Period 12]])</f>
        <v>30000</v>
      </c>
      <c r="S12" s="12"/>
    </row>
    <row r="13" spans="1:19" ht="17.25" customHeight="1" thickBot="1" x14ac:dyDescent="0.35">
      <c r="A13" s="12"/>
      <c r="B13" s="6" t="s">
        <v>2</v>
      </c>
      <c r="C13" s="38"/>
      <c r="D13" s="34">
        <f>SUBTOTAL(109,CashReceipts[Period 0])</f>
        <v>0</v>
      </c>
      <c r="E13" s="34">
        <f>SUBTOTAL(109,CashReceipts[Period 1])</f>
        <v>50000</v>
      </c>
      <c r="F13" s="34">
        <f>SUBTOTAL(109,CashReceipts[Period 2])</f>
        <v>0</v>
      </c>
      <c r="G13" s="34">
        <f>SUBTOTAL(109,CashReceipts[Period 3])</f>
        <v>0</v>
      </c>
      <c r="H13" s="34">
        <f>SUBTOTAL(109,CashReceipts[Period 4])</f>
        <v>2000</v>
      </c>
      <c r="I13" s="34">
        <f>SUBTOTAL(109,CashReceipts[Period 5])</f>
        <v>2800</v>
      </c>
      <c r="J13" s="34">
        <f>SUBTOTAL(109,CashReceipts[Period 6])</f>
        <v>3200</v>
      </c>
      <c r="K13" s="34">
        <f>SUBTOTAL(109,CashReceipts[Period 7])</f>
        <v>4400</v>
      </c>
      <c r="L13" s="34">
        <f>SUBTOTAL(109,CashReceipts[Period 8])</f>
        <v>5800</v>
      </c>
      <c r="M13" s="34">
        <f>SUBTOTAL(109,CashReceipts[Period 9])</f>
        <v>6400</v>
      </c>
      <c r="N13" s="34">
        <f>SUBTOTAL(109,CashReceipts[Period 10])</f>
        <v>7800</v>
      </c>
      <c r="O13" s="34">
        <f>SUBTOTAL(109,CashReceipts[Period 11])</f>
        <v>8800</v>
      </c>
      <c r="P13" s="34">
        <f>SUBTOTAL(109,CashReceipts[Period 12])</f>
        <v>10400</v>
      </c>
      <c r="Q13" s="30"/>
      <c r="R13" s="34">
        <f>SUBTOTAL(109,CashReceipts[Total])</f>
        <v>101600</v>
      </c>
      <c r="S13" s="12"/>
    </row>
    <row r="14" spans="1:19" ht="17.25" customHeight="1" thickTop="1" thickBot="1" x14ac:dyDescent="0.35">
      <c r="A14" s="12"/>
      <c r="B14" s="39" t="s">
        <v>7</v>
      </c>
      <c r="C14" s="40"/>
      <c r="D14" s="41">
        <f>D6+SUM(CashReceipts[Period 0])</f>
        <v>0</v>
      </c>
      <c r="E14" s="41">
        <f>E6+SUM(CashReceipts[Period 1])</f>
        <v>50000</v>
      </c>
      <c r="F14" s="41">
        <f>F6+SUM(CashReceipts[Period 2])</f>
        <v>44395</v>
      </c>
      <c r="G14" s="41">
        <f>G6+SUM(CashReceipts[Period 3])</f>
        <v>38790</v>
      </c>
      <c r="H14" s="41">
        <f>H6+SUM(CashReceipts[Period 4])</f>
        <v>35185</v>
      </c>
      <c r="I14" s="41">
        <f>I6+SUM(CashReceipts[Period 5])</f>
        <v>30580</v>
      </c>
      <c r="J14" s="41">
        <f>J6+SUM(CashReceipts[Period 6])</f>
        <v>25775</v>
      </c>
      <c r="K14" s="41">
        <f>K6+SUM(CashReceipts[Period 7])</f>
        <v>21370</v>
      </c>
      <c r="L14" s="41">
        <f>L6+SUM(CashReceipts[Period 8])</f>
        <v>17865</v>
      </c>
      <c r="M14" s="41">
        <f>M6+SUM(CashReceipts[Period 9])</f>
        <v>13460</v>
      </c>
      <c r="N14" s="41">
        <f>N6+SUM(CashReceipts[Period 10])</f>
        <v>10455</v>
      </c>
      <c r="O14" s="41">
        <f>O6+SUM(CashReceipts[Period 11])</f>
        <v>8450</v>
      </c>
      <c r="P14" s="41">
        <f>P6+SUM(CashReceipts[Period 12])</f>
        <v>6545</v>
      </c>
      <c r="Q14" s="42"/>
      <c r="R14" s="41">
        <f>R6+SUM(CashReceipts[Total])</f>
        <v>97745</v>
      </c>
      <c r="S14" s="43"/>
    </row>
    <row r="15" spans="1:19" ht="17.25" customHeight="1" x14ac:dyDescent="0.3">
      <c r="A15" s="12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 spans="1:19" ht="17.25" customHeight="1" x14ac:dyDescent="0.3">
      <c r="A16" s="12"/>
      <c r="B16" s="45" t="s">
        <v>8</v>
      </c>
      <c r="C16" s="3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30"/>
      <c r="R16" s="12"/>
      <c r="S16" s="12"/>
    </row>
    <row r="17" spans="1:19" ht="17.25" customHeight="1" x14ac:dyDescent="0.3">
      <c r="A17" s="12"/>
      <c r="B17" s="10" t="s">
        <v>18</v>
      </c>
      <c r="C17" s="32"/>
      <c r="D17" s="46"/>
      <c r="E17" s="46">
        <v>5200</v>
      </c>
      <c r="F17" s="46">
        <v>5200</v>
      </c>
      <c r="G17" s="46">
        <v>5200</v>
      </c>
      <c r="H17" s="46">
        <v>5200</v>
      </c>
      <c r="I17" s="46">
        <v>5200</v>
      </c>
      <c r="J17" s="46">
        <v>5200</v>
      </c>
      <c r="K17" s="46">
        <v>5200</v>
      </c>
      <c r="L17" s="46">
        <v>5200</v>
      </c>
      <c r="M17" s="46">
        <v>5200</v>
      </c>
      <c r="N17" s="46">
        <v>5200</v>
      </c>
      <c r="O17" s="46">
        <v>5200</v>
      </c>
      <c r="P17" s="46">
        <v>5200</v>
      </c>
      <c r="Q17" s="30"/>
      <c r="R17" s="47">
        <f>SUM(CashPaidOut[[#This Row],[Period 0]:[Period 12]])</f>
        <v>62400</v>
      </c>
      <c r="S17" s="48"/>
    </row>
    <row r="18" spans="1:19" ht="17.25" customHeight="1" x14ac:dyDescent="0.3">
      <c r="A18" s="12"/>
      <c r="B18" s="10" t="s">
        <v>19</v>
      </c>
      <c r="C18" s="32"/>
      <c r="D18" s="49"/>
      <c r="E18" s="46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50"/>
      <c r="R18" s="51">
        <f>SUM(CashPaidOut[[#This Row],[Period 0]:[Period 12]])</f>
        <v>120</v>
      </c>
      <c r="S18" s="48"/>
    </row>
    <row r="19" spans="1:19" ht="17.25" customHeight="1" x14ac:dyDescent="0.3">
      <c r="A19" s="12"/>
      <c r="B19" s="10" t="s">
        <v>17</v>
      </c>
      <c r="C19" s="32"/>
      <c r="D19" s="46"/>
      <c r="E19" s="46">
        <v>50</v>
      </c>
      <c r="F19" s="46">
        <v>50</v>
      </c>
      <c r="G19" s="46">
        <v>50</v>
      </c>
      <c r="H19" s="46">
        <v>50</v>
      </c>
      <c r="I19" s="46">
        <v>50</v>
      </c>
      <c r="J19" s="46">
        <v>50</v>
      </c>
      <c r="K19" s="46">
        <v>50</v>
      </c>
      <c r="L19" s="46">
        <v>50</v>
      </c>
      <c r="M19" s="46">
        <v>50</v>
      </c>
      <c r="N19" s="46">
        <v>50</v>
      </c>
      <c r="O19" s="46">
        <v>50</v>
      </c>
      <c r="P19" s="46">
        <v>50</v>
      </c>
      <c r="Q19" s="30"/>
      <c r="R19" s="47">
        <f>SUM(CashPaidOut[[#This Row],[Period 0]:[Period 12]])</f>
        <v>600</v>
      </c>
      <c r="S19" s="48"/>
    </row>
    <row r="20" spans="1:19" ht="17.25" customHeight="1" x14ac:dyDescent="0.3">
      <c r="A20" s="12"/>
      <c r="B20" s="10" t="s">
        <v>16</v>
      </c>
      <c r="C20" s="32"/>
      <c r="D20" s="46"/>
      <c r="E20" s="46">
        <v>300</v>
      </c>
      <c r="F20" s="46">
        <v>300</v>
      </c>
      <c r="G20" s="46">
        <v>300</v>
      </c>
      <c r="H20" s="46">
        <v>300</v>
      </c>
      <c r="I20" s="46">
        <v>600</v>
      </c>
      <c r="J20" s="46">
        <v>600</v>
      </c>
      <c r="K20" s="46">
        <v>600</v>
      </c>
      <c r="L20" s="46">
        <v>1000</v>
      </c>
      <c r="M20" s="46">
        <v>1000</v>
      </c>
      <c r="N20" s="46">
        <v>1000</v>
      </c>
      <c r="O20" s="46">
        <v>1500</v>
      </c>
      <c r="P20" s="46">
        <v>1500</v>
      </c>
      <c r="Q20" s="30"/>
      <c r="R20" s="47">
        <f>SUM(CashPaidOut[[#This Row],[Period 0]:[Period 12]])</f>
        <v>9000</v>
      </c>
      <c r="S20" s="48"/>
    </row>
    <row r="21" spans="1:19" ht="17.25" customHeight="1" x14ac:dyDescent="0.3">
      <c r="A21" s="12"/>
      <c r="B21" s="10" t="s">
        <v>13</v>
      </c>
      <c r="C21" s="32"/>
      <c r="D21" s="46"/>
      <c r="E21" s="46">
        <v>45</v>
      </c>
      <c r="F21" s="46">
        <v>45</v>
      </c>
      <c r="G21" s="46">
        <v>45</v>
      </c>
      <c r="H21" s="46">
        <v>45</v>
      </c>
      <c r="I21" s="46">
        <v>45</v>
      </c>
      <c r="J21" s="46">
        <v>45</v>
      </c>
      <c r="K21" s="46">
        <v>45</v>
      </c>
      <c r="L21" s="46">
        <v>45</v>
      </c>
      <c r="M21" s="46">
        <v>45</v>
      </c>
      <c r="N21" s="46">
        <v>45</v>
      </c>
      <c r="O21" s="46">
        <v>45</v>
      </c>
      <c r="P21" s="46">
        <v>45</v>
      </c>
      <c r="Q21" s="30"/>
      <c r="R21" s="47">
        <f>SUM(CashPaidOut[[#This Row],[Period 0]:[Period 12]])</f>
        <v>540</v>
      </c>
      <c r="S21" s="48"/>
    </row>
    <row r="22" spans="1:19" ht="17.25" customHeight="1" x14ac:dyDescent="0.3">
      <c r="A22" s="12"/>
      <c r="B22" s="10" t="s">
        <v>2</v>
      </c>
      <c r="C22" s="32"/>
      <c r="D22" s="52">
        <f>SUBTOTAL(109,CashPaidOut[Period 0])</f>
        <v>0</v>
      </c>
      <c r="E22" s="52">
        <f>SUBTOTAL(109,CashPaidOut[Period 1])</f>
        <v>5605</v>
      </c>
      <c r="F22" s="52">
        <f>SUBTOTAL(109,CashPaidOut[Period 2])</f>
        <v>5605</v>
      </c>
      <c r="G22" s="52">
        <f>SUBTOTAL(109,CashPaidOut[Period 3])</f>
        <v>5605</v>
      </c>
      <c r="H22" s="52">
        <f>SUBTOTAL(109,CashPaidOut[Period 4])</f>
        <v>5605</v>
      </c>
      <c r="I22" s="52">
        <f>SUBTOTAL(109,CashPaidOut[Period 5])</f>
        <v>5905</v>
      </c>
      <c r="J22" s="52">
        <f>SUBTOTAL(109,CashPaidOut[Period 6])</f>
        <v>5905</v>
      </c>
      <c r="K22" s="52">
        <f>SUBTOTAL(109,CashPaidOut[Period 7])</f>
        <v>5905</v>
      </c>
      <c r="L22" s="52">
        <f>SUBTOTAL(109,CashPaidOut[Period 8])</f>
        <v>6305</v>
      </c>
      <c r="M22" s="52">
        <f>SUBTOTAL(109,CashPaidOut[Period 9])</f>
        <v>6305</v>
      </c>
      <c r="N22" s="52">
        <f>SUBTOTAL(109,CashPaidOut[Period 10])</f>
        <v>6305</v>
      </c>
      <c r="O22" s="52">
        <f>SUBTOTAL(109,CashPaidOut[Period 11])</f>
        <v>6805</v>
      </c>
      <c r="P22" s="52">
        <f>SUBTOTAL(109,CashPaidOut[Period 12])</f>
        <v>6805</v>
      </c>
      <c r="Q22" s="53"/>
      <c r="R22" s="52">
        <f>SUBTOTAL(109,CashPaidOut[Total])</f>
        <v>72660</v>
      </c>
      <c r="S22" s="54"/>
    </row>
    <row r="23" spans="1:19" ht="17.25" customHeight="1" x14ac:dyDescent="0.3">
      <c r="A23" s="1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 s="5" customFormat="1" ht="17.25" customHeight="1" x14ac:dyDescent="0.3">
      <c r="A24" s="56"/>
      <c r="B24" s="45" t="s">
        <v>22</v>
      </c>
      <c r="C24" s="4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30"/>
      <c r="R24" s="12"/>
      <c r="S24" s="12"/>
    </row>
    <row r="25" spans="1:19" ht="17.25" customHeight="1" x14ac:dyDescent="0.3">
      <c r="A25" s="12"/>
      <c r="B25" s="10" t="s">
        <v>23</v>
      </c>
      <c r="C25" s="32"/>
      <c r="D25" s="46"/>
      <c r="E25" s="46"/>
      <c r="F25" s="46"/>
      <c r="G25" s="46"/>
      <c r="H25" s="46">
        <v>800</v>
      </c>
      <c r="I25" s="46">
        <v>1000</v>
      </c>
      <c r="J25" s="46">
        <v>1500</v>
      </c>
      <c r="K25" s="46">
        <v>1500</v>
      </c>
      <c r="L25" s="46">
        <v>2000</v>
      </c>
      <c r="M25" s="46">
        <v>2000</v>
      </c>
      <c r="N25" s="46">
        <v>2000</v>
      </c>
      <c r="O25" s="46">
        <v>3000</v>
      </c>
      <c r="P25" s="46">
        <v>3000</v>
      </c>
      <c r="Q25" s="30"/>
      <c r="R25" s="47">
        <f>SUM(CashPaidOut2[[#This Row],[Period 0]:[Period 12]])</f>
        <v>16800</v>
      </c>
      <c r="S25" s="48"/>
    </row>
    <row r="26" spans="1:19" ht="17.25" customHeight="1" x14ac:dyDescent="0.3">
      <c r="A26" s="12"/>
      <c r="B26" s="10" t="s">
        <v>24</v>
      </c>
      <c r="C26" s="32"/>
      <c r="D26" s="46"/>
      <c r="E26" s="46"/>
      <c r="F26" s="46"/>
      <c r="G26" s="46"/>
      <c r="H26" s="46">
        <v>700</v>
      </c>
      <c r="I26" s="46">
        <v>700</v>
      </c>
      <c r="J26" s="46">
        <v>1000</v>
      </c>
      <c r="K26" s="46">
        <v>1500</v>
      </c>
      <c r="L26" s="46">
        <v>2000</v>
      </c>
      <c r="M26" s="46">
        <v>2000</v>
      </c>
      <c r="N26" s="46">
        <v>2000</v>
      </c>
      <c r="O26" s="46">
        <v>2000</v>
      </c>
      <c r="P26" s="46">
        <v>2000</v>
      </c>
      <c r="Q26" s="30"/>
      <c r="R26" s="47">
        <f>SUM(CashPaidOut2[[#This Row],[Period 0]:[Period 12]])</f>
        <v>13900</v>
      </c>
      <c r="S26" s="48"/>
    </row>
    <row r="27" spans="1:19" ht="17.25" customHeight="1" x14ac:dyDescent="0.3">
      <c r="A27" s="12"/>
      <c r="B27" s="10" t="s">
        <v>25</v>
      </c>
      <c r="C27" s="32"/>
      <c r="D27" s="46"/>
      <c r="E27" s="46"/>
      <c r="F27" s="46"/>
      <c r="G27" s="46"/>
      <c r="H27" s="46">
        <v>300</v>
      </c>
      <c r="I27" s="46">
        <v>400</v>
      </c>
      <c r="J27" s="46">
        <v>400</v>
      </c>
      <c r="K27" s="46">
        <v>400</v>
      </c>
      <c r="L27" s="46">
        <v>500</v>
      </c>
      <c r="M27" s="46">
        <v>500</v>
      </c>
      <c r="N27" s="46">
        <v>500</v>
      </c>
      <c r="O27" s="46">
        <v>500</v>
      </c>
      <c r="P27" s="46">
        <v>500</v>
      </c>
      <c r="Q27" s="30"/>
      <c r="R27" s="47">
        <f>SUM(CashPaidOut2[[#This Row],[Period 0]:[Period 12]])</f>
        <v>4000</v>
      </c>
      <c r="S27" s="48"/>
    </row>
    <row r="28" spans="1:19" ht="17.25" customHeight="1" x14ac:dyDescent="0.3">
      <c r="A28" s="12"/>
      <c r="B28" s="10" t="s">
        <v>2</v>
      </c>
      <c r="C28" s="32"/>
      <c r="D28" s="52">
        <f>SUBTOTAL(109,CashPaidOut2[Period 0])</f>
        <v>0</v>
      </c>
      <c r="E28" s="52">
        <f>SUBTOTAL(109,CashPaidOut2[Period 1])</f>
        <v>0</v>
      </c>
      <c r="F28" s="52">
        <f>SUBTOTAL(109,CashPaidOut2[Period 2])</f>
        <v>0</v>
      </c>
      <c r="G28" s="52">
        <f>SUBTOTAL(109,CashPaidOut2[Period 3])</f>
        <v>0</v>
      </c>
      <c r="H28" s="52">
        <f>SUBTOTAL(109,CashPaidOut2[Period 4])</f>
        <v>1800</v>
      </c>
      <c r="I28" s="52">
        <f>SUBTOTAL(109,CashPaidOut2[Period 5])</f>
        <v>2100</v>
      </c>
      <c r="J28" s="52">
        <f>SUBTOTAL(109,CashPaidOut2[Period 6])</f>
        <v>2900</v>
      </c>
      <c r="K28" s="52">
        <f>SUBTOTAL(109,CashPaidOut2[Period 7])</f>
        <v>3400</v>
      </c>
      <c r="L28" s="52">
        <f>SUBTOTAL(109,CashPaidOut2[Period 8])</f>
        <v>4500</v>
      </c>
      <c r="M28" s="52">
        <f>SUBTOTAL(109,CashPaidOut2[Period 9])</f>
        <v>4500</v>
      </c>
      <c r="N28" s="52">
        <f>SUBTOTAL(109,CashPaidOut2[Period 10])</f>
        <v>4500</v>
      </c>
      <c r="O28" s="52">
        <f>SUBTOTAL(109,CashPaidOut2[Period 11])</f>
        <v>5500</v>
      </c>
      <c r="P28" s="52">
        <f>SUBTOTAL(109,CashPaidOut2[Period 12])</f>
        <v>5500</v>
      </c>
      <c r="Q28" s="53"/>
      <c r="R28" s="52">
        <f>SUBTOTAL(109,CashPaidOut2[Total])</f>
        <v>34700</v>
      </c>
      <c r="S28" s="57"/>
    </row>
    <row r="29" spans="1:19" ht="17.25" customHeight="1" thickBot="1" x14ac:dyDescent="0.35">
      <c r="A29" s="12"/>
      <c r="B29" s="39" t="s">
        <v>9</v>
      </c>
      <c r="C29" s="40"/>
      <c r="D29" s="41">
        <f>SUM(CashPaidOut[Period 0],CashPaidOut2[Period 0])</f>
        <v>0</v>
      </c>
      <c r="E29" s="41">
        <f>SUM(CashPaidOut[Period 1],CashPaidOut2[Period 1])</f>
        <v>5605</v>
      </c>
      <c r="F29" s="41">
        <f>SUM(CashPaidOut[Period 2],CashPaidOut2[Period 2])</f>
        <v>5605</v>
      </c>
      <c r="G29" s="41">
        <f>SUM(CashPaidOut[Period 3],CashPaidOut2[Period 3])</f>
        <v>5605</v>
      </c>
      <c r="H29" s="41">
        <f>SUM(CashPaidOut[Period 4],CashPaidOut2[Period 4])</f>
        <v>7405</v>
      </c>
      <c r="I29" s="41">
        <f>SUM(CashPaidOut[Period 5],CashPaidOut2[Period 5])</f>
        <v>8005</v>
      </c>
      <c r="J29" s="41">
        <f>SUM(CashPaidOut[Period 6],CashPaidOut2[Period 6])</f>
        <v>8805</v>
      </c>
      <c r="K29" s="41">
        <f>SUM(CashPaidOut[Period 7],CashPaidOut2[Period 7])</f>
        <v>9305</v>
      </c>
      <c r="L29" s="41">
        <f>SUM(CashPaidOut[Period 8],CashPaidOut2[Period 8])</f>
        <v>10805</v>
      </c>
      <c r="M29" s="41">
        <f>SUM(CashPaidOut[Period 9],CashPaidOut2[Period 9])</f>
        <v>10805</v>
      </c>
      <c r="N29" s="41">
        <f>SUM(CashPaidOut[Period 10],CashPaidOut2[Period 10])</f>
        <v>10805</v>
      </c>
      <c r="O29" s="41">
        <f>SUM(CashPaidOut[Period 11],CashPaidOut2[Period 11])</f>
        <v>12305</v>
      </c>
      <c r="P29" s="58">
        <f>SUM(CashPaidOut[Period 12],CashPaidOut2[Period 12])</f>
        <v>12305</v>
      </c>
      <c r="Q29" s="59"/>
      <c r="R29" s="41">
        <f>SUM(CashPaidOut[Total],CashPaidOut2[Total])</f>
        <v>107360</v>
      </c>
      <c r="S29" s="60"/>
    </row>
    <row r="30" spans="1:19" s="4" customFormat="1" ht="17.25" customHeight="1" x14ac:dyDescent="0.3">
      <c r="A30" s="61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17.25" customHeight="1" thickBot="1" x14ac:dyDescent="0.35">
      <c r="A31" s="12"/>
      <c r="B31" s="39" t="s">
        <v>10</v>
      </c>
      <c r="C31" s="40"/>
      <c r="D31" s="41">
        <f>D14-D29</f>
        <v>0</v>
      </c>
      <c r="E31" s="41">
        <f>E14-E29</f>
        <v>44395</v>
      </c>
      <c r="F31" s="41">
        <f>F14-F29</f>
        <v>38790</v>
      </c>
      <c r="G31" s="41">
        <f>G14-G29</f>
        <v>33185</v>
      </c>
      <c r="H31" s="41">
        <f>H14-H29</f>
        <v>27780</v>
      </c>
      <c r="I31" s="41">
        <f>I14-I29</f>
        <v>22575</v>
      </c>
      <c r="J31" s="41">
        <f>J14-J29</f>
        <v>16970</v>
      </c>
      <c r="K31" s="41">
        <f>K14-K29</f>
        <v>12065</v>
      </c>
      <c r="L31" s="41">
        <f>L14-L29</f>
        <v>7060</v>
      </c>
      <c r="M31" s="41">
        <f>M14-M29</f>
        <v>2655</v>
      </c>
      <c r="N31" s="41">
        <f>N14-N29</f>
        <v>-350</v>
      </c>
      <c r="O31" s="41">
        <f>O14-O29</f>
        <v>-3855</v>
      </c>
      <c r="P31" s="58">
        <f>P14-P29</f>
        <v>-5760</v>
      </c>
      <c r="Q31" s="59"/>
      <c r="R31" s="41">
        <f>R14-R29</f>
        <v>-9615</v>
      </c>
      <c r="S31" s="60"/>
    </row>
  </sheetData>
  <mergeCells count="3">
    <mergeCell ref="B15:S15"/>
    <mergeCell ref="B23:S23"/>
    <mergeCell ref="B30:S30"/>
  </mergeCells>
  <conditionalFormatting sqref="E6:P6">
    <cfRule type="expression" dxfId="2" priority="3">
      <formula>E6&lt;0</formula>
    </cfRule>
  </conditionalFormatting>
  <conditionalFormatting sqref="E31:P31">
    <cfRule type="expression" dxfId="1" priority="2">
      <formula>E31&lt;0</formula>
    </cfRule>
  </conditionalFormatting>
  <conditionalFormatting sqref="E14:P14">
    <cfRule type="expression" dxfId="0" priority="1">
      <formula>E14&lt;0</formula>
    </cfRule>
  </conditionalFormatting>
  <printOptions horizontalCentered="1" verticalCentered="1"/>
  <pageMargins left="0.5" right="0.5" top="0.5" bottom="0.5" header="0.3" footer="0.3"/>
  <pageSetup scale="59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D14:R14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D31:P31 R31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0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'Cash Flow Statement'!D31:P31</xm:f>
              <xm:sqref>S31</xm:sqref>
            </x14:sparkline>
            <x14:sparkline>
              <xm:f>'Cash Flow Statement'!D14:P14</xm:f>
              <xm:sqref>S14</xm:sqref>
            </x14:sparkline>
            <x14:sparkline>
              <xm:f>'Cash Flow Statement'!D28:P28</xm:f>
              <xm:sqref>S28</xm:sqref>
            </x14:sparkline>
            <x14:sparkline>
              <xm:f>'Cash Flow Statement'!D29:P29</xm:f>
              <xm:sqref>S29</xm:sqref>
            </x14:sparkline>
            <x14:sparkline>
              <xm:f>'Cash Flow Statement'!D22:P22</xm:f>
              <xm:sqref>S22</xm:sqref>
            </x14:sparkline>
            <x14:sparkline>
              <xm:f>'Cash Flow Statement'!D6:P6</xm:f>
              <xm:sqref>S6</xm:sqref>
            </x14:sparkline>
            <x14:sparkline>
              <xm:f>'Cash Flow Statement'!D13:P13</xm:f>
              <xm:sqref>S13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B69E-82AF-436D-B3C2-AFA9992F67C4}">
  <dimension ref="A3:S997"/>
  <sheetViews>
    <sheetView workbookViewId="0">
      <selection activeCell="C21" sqref="C21"/>
    </sheetView>
  </sheetViews>
  <sheetFormatPr defaultColWidth="14.44140625" defaultRowHeight="13.8" x14ac:dyDescent="0.3"/>
  <cols>
    <col min="1" max="1" width="8.6640625" style="62" customWidth="1"/>
    <col min="2" max="2" width="37.77734375" style="62" customWidth="1"/>
    <col min="3" max="3" width="18.88671875" style="62" customWidth="1"/>
    <col min="4" max="4" width="17.109375" style="62" customWidth="1"/>
    <col min="5" max="5" width="17.44140625" style="62" customWidth="1"/>
    <col min="6" max="19" width="8.6640625" style="62" customWidth="1"/>
    <col min="20" max="16384" width="14.44140625" style="62"/>
  </cols>
  <sheetData>
    <row r="3" spans="1:19" ht="36.6" x14ac:dyDescent="0.7">
      <c r="B3" s="72" t="s">
        <v>34</v>
      </c>
    </row>
    <row r="4" spans="1:19" ht="36.6" x14ac:dyDescent="0.7">
      <c r="B4" s="72" t="s">
        <v>35</v>
      </c>
    </row>
    <row r="5" spans="1:19" ht="14.4" x14ac:dyDescent="0.3">
      <c r="B5" s="74" t="s">
        <v>31</v>
      </c>
      <c r="C5" s="74" t="s">
        <v>26</v>
      </c>
      <c r="D5" s="75" t="s">
        <v>36</v>
      </c>
    </row>
    <row r="6" spans="1:19" ht="14.4" x14ac:dyDescent="0.3">
      <c r="B6" s="63" t="s">
        <v>27</v>
      </c>
      <c r="C6" s="63">
        <v>97745</v>
      </c>
      <c r="D6" s="64"/>
    </row>
    <row r="7" spans="1:19" ht="14.4" x14ac:dyDescent="0.3">
      <c r="B7" s="63" t="s">
        <v>28</v>
      </c>
      <c r="C7" s="63">
        <v>34700</v>
      </c>
      <c r="D7" s="64"/>
    </row>
    <row r="8" spans="1:19" x14ac:dyDescent="0.3">
      <c r="B8" s="73" t="s">
        <v>29</v>
      </c>
      <c r="C8" s="65">
        <f>C6-C7</f>
        <v>63045</v>
      </c>
      <c r="D8" s="66"/>
    </row>
    <row r="9" spans="1:19" s="68" customFormat="1" ht="14.4" x14ac:dyDescent="0.3">
      <c r="B9" s="69"/>
      <c r="C9" s="71"/>
      <c r="D9" s="70"/>
    </row>
    <row r="10" spans="1:19" ht="14.4" x14ac:dyDescent="0.3">
      <c r="B10" s="74" t="s">
        <v>30</v>
      </c>
      <c r="C10" s="74" t="s">
        <v>37</v>
      </c>
      <c r="D10" s="64" t="s">
        <v>26</v>
      </c>
    </row>
    <row r="11" spans="1:19" ht="14.4" x14ac:dyDescent="0.3">
      <c r="A11" s="64"/>
      <c r="B11" s="63" t="s">
        <v>32</v>
      </c>
      <c r="C11" s="63">
        <v>9000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ht="14.4" x14ac:dyDescent="0.3">
      <c r="B12" s="63" t="s">
        <v>33</v>
      </c>
      <c r="C12" s="63">
        <v>62400</v>
      </c>
      <c r="D12" s="64"/>
    </row>
    <row r="13" spans="1:19" ht="14.4" x14ac:dyDescent="0.3">
      <c r="B13" s="63" t="s">
        <v>39</v>
      </c>
      <c r="C13" s="63">
        <v>600</v>
      </c>
      <c r="D13" s="64"/>
    </row>
    <row r="14" spans="1:19" ht="14.4" x14ac:dyDescent="0.3">
      <c r="B14" s="63" t="s">
        <v>40</v>
      </c>
      <c r="C14" s="63">
        <v>120</v>
      </c>
      <c r="D14" s="64"/>
    </row>
    <row r="15" spans="1:19" ht="14.4" x14ac:dyDescent="0.3">
      <c r="B15" s="63" t="s">
        <v>41</v>
      </c>
      <c r="C15" s="63">
        <v>540</v>
      </c>
      <c r="D15" s="64"/>
    </row>
    <row r="16" spans="1:19" x14ac:dyDescent="0.3">
      <c r="B16" s="73" t="s">
        <v>38</v>
      </c>
      <c r="C16" s="65">
        <f>SUM(C11:C15)</f>
        <v>72660</v>
      </c>
      <c r="D16" s="66"/>
    </row>
    <row r="17" spans="1:19" ht="14.4" x14ac:dyDescent="0.3">
      <c r="B17" s="73" t="s">
        <v>42</v>
      </c>
      <c r="C17" s="67">
        <f>C8-C16</f>
        <v>-9615</v>
      </c>
      <c r="D17" s="66">
        <f>C17*12</f>
        <v>-115380</v>
      </c>
    </row>
    <row r="19" spans="1:19" x14ac:dyDescent="0.3"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</row>
    <row r="20" spans="1:19" ht="15.75" customHeight="1" x14ac:dyDescent="0.3">
      <c r="A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</row>
    <row r="21" spans="1:19" ht="15.75" customHeight="1" x14ac:dyDescent="0.3">
      <c r="A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spans="1:19" ht="15.75" customHeight="1" x14ac:dyDescent="0.3">
      <c r="A22" s="64"/>
    </row>
    <row r="23" spans="1:19" ht="15.75" customHeight="1" x14ac:dyDescent="0.3">
      <c r="A23" s="64"/>
    </row>
    <row r="24" spans="1:19" ht="15.75" customHeight="1" x14ac:dyDescent="0.3"/>
    <row r="25" spans="1:19" ht="15.75" customHeight="1" x14ac:dyDescent="0.3"/>
    <row r="26" spans="1:19" ht="15.75" customHeight="1" x14ac:dyDescent="0.3"/>
    <row r="27" spans="1:19" ht="15.75" customHeight="1" x14ac:dyDescent="0.3"/>
    <row r="28" spans="1:19" ht="15.75" customHeight="1" x14ac:dyDescent="0.3"/>
    <row r="29" spans="1:19" ht="15.75" customHeight="1" x14ac:dyDescent="0.3"/>
    <row r="30" spans="1:19" ht="15.75" customHeight="1" x14ac:dyDescent="0.3"/>
    <row r="31" spans="1:19" ht="15.75" customHeight="1" x14ac:dyDescent="0.3"/>
    <row r="32" spans="1:1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 Flow Statement</vt:lpstr>
      <vt:lpstr>Profit and Loss</vt:lpstr>
      <vt:lpstr>FiscalYearStartDate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Gambo, Jemil</dc:creator>
  <cp:lastModifiedBy>Gambo, Jemil</cp:lastModifiedBy>
  <dcterms:created xsi:type="dcterms:W3CDTF">2013-12-05T14:44:24Z</dcterms:created>
  <dcterms:modified xsi:type="dcterms:W3CDTF">2018-11-26T21:30:23Z</dcterms:modified>
</cp:coreProperties>
</file>