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codeName="EstaPastaDeTrabalho" defaultThemeVersion="124226"/>
  <workbookProtection workbookAlgorithmName="SHA-512" workbookHashValue="hfPojP2x7/XcZTQHZmAc7zHNN6C5JHlZnEf/nyyCpXEaOJL9IyGck9So49PJgjGmWRS9Lz9fOufr7WbX6mOOgA==" workbookSaltValue="LVrOH7me9wsZ22ZiGw6Blw==" workbookSpinCount="100000" lockStructure="1"/>
  <bookViews>
    <workbookView xWindow="360" yWindow="300" windowWidth="18735" windowHeight="11700"/>
  </bookViews>
  <sheets>
    <sheet name="PBR" sheetId="1" r:id="rId1"/>
    <sheet name="Graphs" sheetId="10" r:id="rId2"/>
    <sheet name="Credits" sheetId="11" r:id="rId3"/>
  </sheets>
  <externalReferences>
    <externalReference r:id="rId4"/>
    <externalReference r:id="rId5"/>
  </externalReferences>
  <definedNames>
    <definedName name="A.">[2]Operation!$C$3</definedName>
    <definedName name="alpha">PBR!$F$4</definedName>
    <definedName name="B.">[2]Operation!$C$4</definedName>
    <definedName name="C.">[2]Operation!$C$5</definedName>
    <definedName name="D.">[2]Equilibrium!$R$3</definedName>
    <definedName name="delta">PBR!$C$4</definedName>
    <definedName name="e">PBR!$C$5</definedName>
    <definedName name="E.">[2]Equilibrium!$R$4</definedName>
    <definedName name="Ea">PBR!$I$2</definedName>
    <definedName name="F.">[2]Equilibrium!$R$5</definedName>
    <definedName name="k" localSheetId="1">[1]Batch!$I$4</definedName>
    <definedName name="k">PBR!$I$5</definedName>
    <definedName name="k." localSheetId="1">[1]PFR!#REF!</definedName>
    <definedName name="k.">PBR!#REF!</definedName>
    <definedName name="k.." localSheetId="1">[1]PFR!$I$4</definedName>
    <definedName name="k..">PBR!#REF!</definedName>
    <definedName name="k_x.a">[2]Absorption_packed!#REF!</definedName>
    <definedName name="k…">#REF!</definedName>
    <definedName name="Ka">PBR!$L$3</definedName>
    <definedName name="Kao">PBR!$L$2</definedName>
    <definedName name="Kb">PBR!$O$3</definedName>
    <definedName name="Kbo">PBR!$O$2</definedName>
    <definedName name="Kc">PBR!#REF!</definedName>
    <definedName name="Kco">PBR!#REF!</definedName>
    <definedName name="Kd">PBR!#REF!</definedName>
    <definedName name="Kdo">PBR!#REF!</definedName>
    <definedName name="ko">PBR!$I$4</definedName>
    <definedName name="L.">[2]Absorption_packed!$B$6</definedName>
    <definedName name="MM.a">[2]Absorption_packed!#REF!</definedName>
    <definedName name="MM.b">[2]Absorption_packed!#REF!</definedName>
    <definedName name="MM.c">[2]Absorption_packed!#REF!</definedName>
    <definedName name="MM_a">[2]Absorption_packed!$E$7</definedName>
    <definedName name="MM_b">[2]Absorption_packed!$E$8</definedName>
    <definedName name="MM_c">[2]Absorption_packed!$E$9</definedName>
    <definedName name="Po">PBR!$F$5</definedName>
    <definedName name="Qo">PBR!$F$5</definedName>
    <definedName name="S">[2]Absorption_packed!$E$2</definedName>
    <definedName name="T">PBR!$I$3</definedName>
    <definedName name="uo">PBR!$F$3</definedName>
    <definedName name="V.">[2]Absorption_packed!$B$2</definedName>
    <definedName name="Wo">PBR!$F$2</definedName>
    <definedName name="X" localSheetId="1">[1]Batch!$I$2</definedName>
    <definedName name="X">#REF!</definedName>
    <definedName name="X." localSheetId="1">[1]PFR!#REF!</definedName>
    <definedName name="X.">PBR!#REF!</definedName>
    <definedName name="X.." localSheetId="1">[1]PFR!$I$2</definedName>
    <definedName name="X..">PBR!#REF!</definedName>
    <definedName name="X…">#REF!</definedName>
    <definedName name="x1.">[2]Absorption_packed!$B$9</definedName>
    <definedName name="x2.">[2]Absorption_packed!$B$7</definedName>
    <definedName name="Xo">#REF!</definedName>
    <definedName name="Xoo">PBR!#REF!</definedName>
    <definedName name="y1.">[2]Absorption_packed!$B$3</definedName>
    <definedName name="y2.">[2]Absorption_packed!$B$4</definedName>
  </definedNames>
  <calcPr calcId="171027"/>
</workbook>
</file>

<file path=xl/calcChain.xml><?xml version="1.0" encoding="utf-8"?>
<calcChain xmlns="http://schemas.openxmlformats.org/spreadsheetml/2006/main">
  <c r="A29" i="1" l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S28" i="1" l="1"/>
  <c r="M28" i="1"/>
  <c r="G28" i="1"/>
  <c r="I5" i="1"/>
  <c r="L3" i="1"/>
  <c r="O3" i="1"/>
  <c r="B11" i="1" l="1"/>
  <c r="C8" i="1" l="1"/>
  <c r="D8" i="1" s="1"/>
  <c r="F5" i="1"/>
  <c r="C10" i="1"/>
  <c r="C9" i="1"/>
  <c r="T28" i="1" l="1"/>
  <c r="C5" i="1"/>
  <c r="B28" i="1" s="1"/>
  <c r="D10" i="1"/>
  <c r="D9" i="1"/>
  <c r="C11" i="1"/>
  <c r="C29" i="1" l="1"/>
  <c r="C33" i="1"/>
  <c r="C37" i="1"/>
  <c r="C41" i="1"/>
  <c r="C45" i="1"/>
  <c r="C36" i="1"/>
  <c r="C40" i="1"/>
  <c r="C28" i="1"/>
  <c r="C30" i="1"/>
  <c r="C34" i="1"/>
  <c r="C38" i="1"/>
  <c r="C42" i="1"/>
  <c r="C46" i="1"/>
  <c r="O28" i="1"/>
  <c r="C32" i="1"/>
  <c r="C44" i="1"/>
  <c r="C31" i="1"/>
  <c r="C35" i="1"/>
  <c r="C39" i="1"/>
  <c r="C43" i="1"/>
  <c r="C47" i="1"/>
  <c r="I28" i="1"/>
  <c r="C48" i="1"/>
  <c r="P28" i="1"/>
  <c r="J28" i="1"/>
  <c r="D35" i="1"/>
  <c r="D43" i="1"/>
  <c r="D41" i="1"/>
  <c r="D32" i="1"/>
  <c r="D48" i="1"/>
  <c r="D31" i="1"/>
  <c r="D47" i="1"/>
  <c r="D38" i="1"/>
  <c r="D37" i="1"/>
  <c r="D44" i="1"/>
  <c r="D34" i="1"/>
  <c r="D42" i="1"/>
  <c r="D33" i="1"/>
  <c r="D40" i="1"/>
  <c r="D39" i="1"/>
  <c r="D46" i="1"/>
  <c r="D45" i="1"/>
  <c r="D36" i="1"/>
  <c r="D28" i="1"/>
  <c r="D30" i="1"/>
  <c r="D29" i="1"/>
  <c r="B30" i="1"/>
  <c r="B38" i="1"/>
  <c r="B46" i="1"/>
  <c r="B29" i="1"/>
  <c r="B37" i="1"/>
  <c r="B45" i="1"/>
  <c r="H28" i="1"/>
  <c r="B36" i="1"/>
  <c r="B44" i="1"/>
  <c r="N28" i="1"/>
  <c r="B35" i="1"/>
  <c r="B43" i="1"/>
  <c r="B34" i="1"/>
  <c r="B42" i="1"/>
  <c r="B33" i="1"/>
  <c r="B41" i="1"/>
  <c r="B31" i="1"/>
  <c r="B47" i="1"/>
  <c r="B32" i="1"/>
  <c r="B40" i="1"/>
  <c r="B48" i="1"/>
  <c r="B39" i="1"/>
  <c r="K28" i="1" l="1"/>
  <c r="E46" i="1"/>
  <c r="E30" i="1"/>
  <c r="E44" i="1"/>
  <c r="E43" i="1"/>
  <c r="E32" i="1"/>
  <c r="E29" i="1"/>
  <c r="E48" i="1"/>
  <c r="E41" i="1"/>
  <c r="Q28" i="1"/>
  <c r="E31" i="1"/>
  <c r="E47" i="1"/>
  <c r="E28" i="1"/>
  <c r="E35" i="1"/>
  <c r="E33" i="1"/>
  <c r="E45" i="1"/>
  <c r="E40" i="1"/>
  <c r="E34" i="1"/>
  <c r="E42" i="1"/>
  <c r="E37" i="1"/>
  <c r="E36" i="1"/>
  <c r="E39" i="1"/>
  <c r="E38" i="1"/>
  <c r="F29" i="1" l="1"/>
  <c r="G29" i="1" s="1"/>
  <c r="I29" i="1" s="1"/>
  <c r="J29" i="1" l="1"/>
  <c r="H29" i="1"/>
  <c r="F30" i="1"/>
  <c r="G30" i="1" s="1"/>
  <c r="J30" i="1" l="1"/>
  <c r="I30" i="1"/>
  <c r="K29" i="1"/>
  <c r="L29" i="1" s="1"/>
  <c r="M29" i="1" s="1"/>
  <c r="F31" i="1"/>
  <c r="G31" i="1" s="1"/>
  <c r="H30" i="1"/>
  <c r="J31" i="1" l="1"/>
  <c r="I31" i="1"/>
  <c r="P29" i="1"/>
  <c r="O29" i="1"/>
  <c r="N29" i="1"/>
  <c r="K30" i="1"/>
  <c r="L30" i="1" s="1"/>
  <c r="M30" i="1" s="1"/>
  <c r="O30" i="1" s="1"/>
  <c r="F32" i="1"/>
  <c r="G32" i="1" s="1"/>
  <c r="I32" i="1" s="1"/>
  <c r="H31" i="1"/>
  <c r="Q29" i="1" l="1"/>
  <c r="R29" i="1" s="1"/>
  <c r="S29" i="1" s="1"/>
  <c r="T29" i="1" s="1"/>
  <c r="N30" i="1"/>
  <c r="P30" i="1"/>
  <c r="H32" i="1"/>
  <c r="J32" i="1"/>
  <c r="K31" i="1"/>
  <c r="L31" i="1" s="1"/>
  <c r="M31" i="1" s="1"/>
  <c r="O31" i="1" s="1"/>
  <c r="F33" i="1"/>
  <c r="G33" i="1" s="1"/>
  <c r="J33" i="1" l="1"/>
  <c r="I33" i="1"/>
  <c r="Q30" i="1"/>
  <c r="R30" i="1" s="1"/>
  <c r="S30" i="1" s="1"/>
  <c r="T30" i="1" s="1"/>
  <c r="K32" i="1"/>
  <c r="L32" i="1" s="1"/>
  <c r="M32" i="1" s="1"/>
  <c r="N31" i="1"/>
  <c r="P31" i="1"/>
  <c r="H33" i="1"/>
  <c r="F34" i="1"/>
  <c r="G34" i="1" s="1"/>
  <c r="P32" i="1" l="1"/>
  <c r="O32" i="1"/>
  <c r="J34" i="1"/>
  <c r="I34" i="1"/>
  <c r="Q31" i="1"/>
  <c r="R31" i="1" s="1"/>
  <c r="S31" i="1" s="1"/>
  <c r="T31" i="1" s="1"/>
  <c r="N32" i="1"/>
  <c r="K33" i="1"/>
  <c r="L33" i="1" s="1"/>
  <c r="M33" i="1" s="1"/>
  <c r="O33" i="1" s="1"/>
  <c r="F35" i="1"/>
  <c r="G35" i="1" s="1"/>
  <c r="I35" i="1" s="1"/>
  <c r="H34" i="1"/>
  <c r="Q32" i="1" l="1"/>
  <c r="R32" i="1" s="1"/>
  <c r="S32" i="1" s="1"/>
  <c r="T32" i="1" s="1"/>
  <c r="N33" i="1"/>
  <c r="P33" i="1"/>
  <c r="H35" i="1"/>
  <c r="J35" i="1"/>
  <c r="K34" i="1"/>
  <c r="L34" i="1" s="1"/>
  <c r="M34" i="1" s="1"/>
  <c r="F36" i="1"/>
  <c r="G36" i="1" s="1"/>
  <c r="I36" i="1" s="1"/>
  <c r="P34" i="1" l="1"/>
  <c r="O34" i="1"/>
  <c r="Q33" i="1"/>
  <c r="R33" i="1" s="1"/>
  <c r="S33" i="1" s="1"/>
  <c r="T33" i="1" s="1"/>
  <c r="K35" i="1"/>
  <c r="L35" i="1" s="1"/>
  <c r="M35" i="1" s="1"/>
  <c r="J36" i="1"/>
  <c r="H36" i="1"/>
  <c r="N34" i="1"/>
  <c r="F37" i="1"/>
  <c r="G37" i="1" s="1"/>
  <c r="P35" i="1" l="1"/>
  <c r="O35" i="1"/>
  <c r="J37" i="1"/>
  <c r="I37" i="1"/>
  <c r="K36" i="1"/>
  <c r="L36" i="1" s="1"/>
  <c r="M36" i="1" s="1"/>
  <c r="Q34" i="1"/>
  <c r="R34" i="1" s="1"/>
  <c r="S34" i="1" s="1"/>
  <c r="T34" i="1" s="1"/>
  <c r="N35" i="1"/>
  <c r="F38" i="1"/>
  <c r="G38" i="1" s="1"/>
  <c r="H37" i="1"/>
  <c r="J38" i="1" l="1"/>
  <c r="I38" i="1"/>
  <c r="P36" i="1"/>
  <c r="O36" i="1"/>
  <c r="K37" i="1"/>
  <c r="L37" i="1" s="1"/>
  <c r="M37" i="1" s="1"/>
  <c r="Q35" i="1"/>
  <c r="R35" i="1" s="1"/>
  <c r="S35" i="1" s="1"/>
  <c r="T35" i="1" s="1"/>
  <c r="F39" i="1"/>
  <c r="G39" i="1" s="1"/>
  <c r="I39" i="1" s="1"/>
  <c r="H38" i="1"/>
  <c r="N36" i="1"/>
  <c r="P37" i="1" l="1"/>
  <c r="O37" i="1"/>
  <c r="Q36" i="1"/>
  <c r="R36" i="1" s="1"/>
  <c r="S36" i="1" s="1"/>
  <c r="T36" i="1" s="1"/>
  <c r="J39" i="1"/>
  <c r="K38" i="1"/>
  <c r="L38" i="1" s="1"/>
  <c r="M38" i="1" s="1"/>
  <c r="O38" i="1" s="1"/>
  <c r="N37" i="1"/>
  <c r="H39" i="1"/>
  <c r="F40" i="1"/>
  <c r="G40" i="1" s="1"/>
  <c r="I40" i="1" s="1"/>
  <c r="Q37" i="1" l="1"/>
  <c r="R37" i="1" s="1"/>
  <c r="S37" i="1" s="1"/>
  <c r="T37" i="1" s="1"/>
  <c r="N38" i="1"/>
  <c r="P38" i="1"/>
  <c r="K39" i="1"/>
  <c r="L39" i="1" s="1"/>
  <c r="M39" i="1" s="1"/>
  <c r="O39" i="1" s="1"/>
  <c r="H40" i="1"/>
  <c r="J40" i="1"/>
  <c r="F41" i="1"/>
  <c r="G41" i="1" s="1"/>
  <c r="I41" i="1" s="1"/>
  <c r="Q38" i="1" l="1"/>
  <c r="R38" i="1" s="1"/>
  <c r="S38" i="1" s="1"/>
  <c r="T38" i="1" s="1"/>
  <c r="P39" i="1"/>
  <c r="J41" i="1"/>
  <c r="K40" i="1"/>
  <c r="L40" i="1" s="1"/>
  <c r="M40" i="1" s="1"/>
  <c r="O40" i="1" s="1"/>
  <c r="N39" i="1"/>
  <c r="H41" i="1"/>
  <c r="F42" i="1"/>
  <c r="G42" i="1" s="1"/>
  <c r="I42" i="1" s="1"/>
  <c r="K41" i="1" l="1"/>
  <c r="L41" i="1" s="1"/>
  <c r="M41" i="1" s="1"/>
  <c r="N40" i="1"/>
  <c r="P40" i="1"/>
  <c r="J42" i="1"/>
  <c r="Q39" i="1"/>
  <c r="R39" i="1" s="1"/>
  <c r="S39" i="1" s="1"/>
  <c r="T39" i="1" s="1"/>
  <c r="F43" i="1"/>
  <c r="G43" i="1" s="1"/>
  <c r="I43" i="1" s="1"/>
  <c r="H42" i="1"/>
  <c r="K42" i="1" s="1"/>
  <c r="P41" i="1" l="1"/>
  <c r="O41" i="1"/>
  <c r="H43" i="1"/>
  <c r="J43" i="1"/>
  <c r="Q40" i="1"/>
  <c r="R40" i="1" s="1"/>
  <c r="S40" i="1" s="1"/>
  <c r="T40" i="1" s="1"/>
  <c r="L42" i="1"/>
  <c r="M42" i="1" s="1"/>
  <c r="O42" i="1" s="1"/>
  <c r="N41" i="1"/>
  <c r="F44" i="1"/>
  <c r="G44" i="1" s="1"/>
  <c r="I44" i="1" s="1"/>
  <c r="Q41" i="1" l="1"/>
  <c r="R41" i="1" s="1"/>
  <c r="S41" i="1" s="1"/>
  <c r="T41" i="1" s="1"/>
  <c r="P42" i="1"/>
  <c r="K43" i="1"/>
  <c r="L43" i="1" s="1"/>
  <c r="M43" i="1" s="1"/>
  <c r="O43" i="1" s="1"/>
  <c r="J44" i="1"/>
  <c r="N42" i="1"/>
  <c r="F45" i="1"/>
  <c r="G45" i="1" s="1"/>
  <c r="I45" i="1" s="1"/>
  <c r="H44" i="1"/>
  <c r="K44" i="1" s="1"/>
  <c r="P43" i="1" l="1"/>
  <c r="J45" i="1"/>
  <c r="Q42" i="1"/>
  <c r="R42" i="1" s="1"/>
  <c r="S42" i="1" s="1"/>
  <c r="T42" i="1" s="1"/>
  <c r="H45" i="1"/>
  <c r="L44" i="1"/>
  <c r="M44" i="1" s="1"/>
  <c r="N43" i="1"/>
  <c r="F46" i="1"/>
  <c r="G46" i="1" s="1"/>
  <c r="I46" i="1" s="1"/>
  <c r="P44" i="1" l="1"/>
  <c r="O44" i="1"/>
  <c r="J46" i="1"/>
  <c r="K45" i="1"/>
  <c r="L45" i="1" s="1"/>
  <c r="M45" i="1" s="1"/>
  <c r="Q43" i="1"/>
  <c r="R43" i="1" s="1"/>
  <c r="F47" i="1"/>
  <c r="G47" i="1" s="1"/>
  <c r="I47" i="1" s="1"/>
  <c r="H46" i="1"/>
  <c r="N44" i="1"/>
  <c r="P45" i="1" l="1"/>
  <c r="O45" i="1"/>
  <c r="Q44" i="1"/>
  <c r="R44" i="1" s="1"/>
  <c r="S44" i="1" s="1"/>
  <c r="T44" i="1" s="1"/>
  <c r="J47" i="1"/>
  <c r="N45" i="1"/>
  <c r="S43" i="1"/>
  <c r="T43" i="1" s="1"/>
  <c r="K46" i="1"/>
  <c r="L46" i="1" s="1"/>
  <c r="M46" i="1" s="1"/>
  <c r="F48" i="1"/>
  <c r="G48" i="1" s="1"/>
  <c r="I48" i="1" s="1"/>
  <c r="H47" i="1"/>
  <c r="P46" i="1" l="1"/>
  <c r="O46" i="1"/>
  <c r="Q45" i="1"/>
  <c r="R45" i="1" s="1"/>
  <c r="S45" i="1" s="1"/>
  <c r="T45" i="1" s="1"/>
  <c r="H48" i="1"/>
  <c r="J48" i="1"/>
  <c r="K47" i="1"/>
  <c r="L47" i="1" s="1"/>
  <c r="M47" i="1" s="1"/>
  <c r="N46" i="1"/>
  <c r="P47" i="1" l="1"/>
  <c r="O47" i="1"/>
  <c r="Q46" i="1"/>
  <c r="R46" i="1" s="1"/>
  <c r="S46" i="1" s="1"/>
  <c r="T46" i="1" s="1"/>
  <c r="K48" i="1"/>
  <c r="L48" i="1" s="1"/>
  <c r="M48" i="1" s="1"/>
  <c r="N47" i="1"/>
  <c r="P48" i="1" l="1"/>
  <c r="O48" i="1"/>
  <c r="Q47" i="1"/>
  <c r="R47" i="1" s="1"/>
  <c r="S47" i="1" s="1"/>
  <c r="T47" i="1" s="1"/>
  <c r="N48" i="1"/>
  <c r="Q48" i="1" l="1"/>
  <c r="R48" i="1" s="1"/>
  <c r="S48" i="1" s="1"/>
  <c r="T48" i="1" s="1"/>
</calcChain>
</file>

<file path=xl/sharedStrings.xml><?xml version="1.0" encoding="utf-8"?>
<sst xmlns="http://schemas.openxmlformats.org/spreadsheetml/2006/main" count="69" uniqueCount="52">
  <si>
    <t>X</t>
  </si>
  <si>
    <t>delta</t>
  </si>
  <si>
    <t>inert</t>
  </si>
  <si>
    <t>-</t>
  </si>
  <si>
    <t>e</t>
  </si>
  <si>
    <t>yio</t>
  </si>
  <si>
    <t>theta_i</t>
  </si>
  <si>
    <t>TOTAL</t>
  </si>
  <si>
    <t>Species</t>
  </si>
  <si>
    <t>k</t>
  </si>
  <si>
    <t>ko</t>
  </si>
  <si>
    <t>Ea</t>
  </si>
  <si>
    <t>T</t>
  </si>
  <si>
    <t>K</t>
  </si>
  <si>
    <t>J/mol</t>
  </si>
  <si>
    <t>A</t>
  </si>
  <si>
    <t>B</t>
  </si>
  <si>
    <t>Pio</t>
  </si>
  <si>
    <t>Pinert</t>
  </si>
  <si>
    <t>Pa</t>
  </si>
  <si>
    <t>Pb</t>
  </si>
  <si>
    <t>W (kg)</t>
  </si>
  <si>
    <t>ra'</t>
  </si>
  <si>
    <t>Ka</t>
  </si>
  <si>
    <t>Kao</t>
  </si>
  <si>
    <t>Kbo</t>
  </si>
  <si>
    <t>Kb</t>
  </si>
  <si>
    <t>Wo</t>
  </si>
  <si>
    <t>kg</t>
  </si>
  <si>
    <t>Po</t>
  </si>
  <si>
    <t>m/s</t>
  </si>
  <si>
    <t>bar</t>
  </si>
  <si>
    <t>uo</t>
  </si>
  <si>
    <t>/bar</t>
  </si>
  <si>
    <t>mol/kg.bar.h</t>
  </si>
  <si>
    <t>Packed-Bed Reactor (PBR)</t>
  </si>
  <si>
    <t>Single-Site Mechanism</t>
  </si>
  <si>
    <t>Surface reaction limited</t>
  </si>
  <si>
    <t>A.S -&gt; B.S</t>
  </si>
  <si>
    <t>y</t>
  </si>
  <si>
    <t>alpha</t>
  </si>
  <si>
    <t>/kg</t>
  </si>
  <si>
    <t>2nd Iteration:</t>
  </si>
  <si>
    <t>1st Iteration (y=1):</t>
  </si>
  <si>
    <t>3rd Iteration:</t>
  </si>
  <si>
    <t>Packed Bed Reactor</t>
  </si>
  <si>
    <t>P</t>
  </si>
  <si>
    <t>ra' = k.Pa/(1+Ka.Pa+Kb.Pb)</t>
  </si>
  <si>
    <t>ChemEng Brasil</t>
  </si>
  <si>
    <t>Autor:</t>
  </si>
  <si>
    <t>Lucas Joshua Pires</t>
  </si>
  <si>
    <t>Ano: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</si>
</sst>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/>
    <xf numFmtId="0" fontId="3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1" fontId="1" fillId="6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0" borderId="0" xfId="0" applyFont="1" applyFill="1" applyBorder="1" applyAlignment="1"/>
    <xf numFmtId="11" fontId="4" fillId="0" borderId="1" xfId="0" applyNumberFormat="1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1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1" fillId="7" borderId="13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1" fillId="7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 applyProtection="1">
      <alignment horizontal="center"/>
      <protection locked="0"/>
    </xf>
    <xf numFmtId="11" fontId="1" fillId="2" borderId="1" xfId="0" applyNumberFormat="1" applyFont="1" applyFill="1" applyBorder="1" applyAlignment="1" applyProtection="1">
      <alignment horizontal="center"/>
      <protection locked="0"/>
    </xf>
    <xf numFmtId="2" fontId="1" fillId="2" borderId="1" xfId="0" applyNumberFormat="1" applyFont="1" applyFill="1" applyBorder="1" applyAlignment="1" applyProtection="1">
      <alignment horizontal="center"/>
      <protection locked="0"/>
    </xf>
    <xf numFmtId="9" fontId="1" fillId="2" borderId="1" xfId="0" applyNumberFormat="1" applyFont="1" applyFill="1" applyBorder="1" applyAlignment="1" applyProtection="1">
      <alignment horizontal="center"/>
      <protection locked="0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5" xfId="0" applyFont="1" applyBorder="1"/>
    <xf numFmtId="0" fontId="0" fillId="0" borderId="0" xfId="0" applyBorder="1"/>
    <xf numFmtId="0" fontId="0" fillId="0" borderId="16" xfId="0" applyBorder="1"/>
    <xf numFmtId="0" fontId="1" fillId="0" borderId="17" xfId="0" applyFont="1" applyBorder="1"/>
    <xf numFmtId="0" fontId="0" fillId="0" borderId="18" xfId="0" applyBorder="1" applyAlignment="1">
      <alignment horizontal="left"/>
    </xf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PBR!$N$27</c:f>
              <c:strCache>
                <c:ptCount val="1"/>
                <c:pt idx="0">
                  <c:v>Pa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PBR!$A$28:$A$48</c:f>
              <c:numCache>
                <c:formatCode>0.00</c:formatCode>
                <c:ptCount val="21"/>
                <c:pt idx="0">
                  <c:v>0</c:v>
                </c:pt>
                <c:pt idx="1">
                  <c:v>4.7500000000000001E-2</c:v>
                </c:pt>
                <c:pt idx="2">
                  <c:v>9.5000000000000001E-2</c:v>
                </c:pt>
                <c:pt idx="3">
                  <c:v>0.14250000000000002</c:v>
                </c:pt>
                <c:pt idx="4">
                  <c:v>0.19</c:v>
                </c:pt>
                <c:pt idx="5">
                  <c:v>0.23749999999999999</c:v>
                </c:pt>
                <c:pt idx="6">
                  <c:v>0.28499999999999998</c:v>
                </c:pt>
                <c:pt idx="7">
                  <c:v>0.33249999999999996</c:v>
                </c:pt>
                <c:pt idx="8">
                  <c:v>0.37999999999999995</c:v>
                </c:pt>
                <c:pt idx="9">
                  <c:v>0.42749999999999994</c:v>
                </c:pt>
                <c:pt idx="10">
                  <c:v>0.47499999999999992</c:v>
                </c:pt>
                <c:pt idx="11">
                  <c:v>0.52249999999999996</c:v>
                </c:pt>
                <c:pt idx="12">
                  <c:v>0.56999999999999995</c:v>
                </c:pt>
                <c:pt idx="13">
                  <c:v>0.61749999999999994</c:v>
                </c:pt>
                <c:pt idx="14">
                  <c:v>0.66499999999999992</c:v>
                </c:pt>
                <c:pt idx="15">
                  <c:v>0.71249999999999991</c:v>
                </c:pt>
                <c:pt idx="16">
                  <c:v>0.7599999999999999</c:v>
                </c:pt>
                <c:pt idx="17">
                  <c:v>0.80749999999999988</c:v>
                </c:pt>
                <c:pt idx="18">
                  <c:v>0.85499999999999987</c:v>
                </c:pt>
                <c:pt idx="19">
                  <c:v>0.90249999999999986</c:v>
                </c:pt>
                <c:pt idx="20">
                  <c:v>0.94999999999999984</c:v>
                </c:pt>
              </c:numCache>
            </c:numRef>
          </c:xVal>
          <c:yVal>
            <c:numRef>
              <c:f>PBR!$N$28:$N$48</c:f>
              <c:numCache>
                <c:formatCode>0.000</c:formatCode>
                <c:ptCount val="21"/>
                <c:pt idx="0">
                  <c:v>0.1</c:v>
                </c:pt>
                <c:pt idx="1">
                  <c:v>9.5067538797967033E-2</c:v>
                </c:pt>
                <c:pt idx="2">
                  <c:v>9.0143990368029323E-2</c:v>
                </c:pt>
                <c:pt idx="3">
                  <c:v>8.5229826649092177E-2</c:v>
                </c:pt>
                <c:pt idx="4">
                  <c:v>8.0325573768807196E-2</c:v>
                </c:pt>
                <c:pt idx="5">
                  <c:v>7.5431821827295173E-2</c:v>
                </c:pt>
                <c:pt idx="6">
                  <c:v>7.0549237169609022E-2</c:v>
                </c:pt>
                <c:pt idx="7">
                  <c:v>6.5678577988045009E-2</c:v>
                </c:pt>
                <c:pt idx="8">
                  <c:v>6.0820714459958951E-2</c:v>
                </c:pt>
                <c:pt idx="9">
                  <c:v>5.5976655189396048E-2</c:v>
                </c:pt>
                <c:pt idx="10">
                  <c:v>5.1147582614660528E-2</c:v>
                </c:pt>
                <c:pt idx="11">
                  <c:v>4.6334901511475499E-2</c:v>
                </c:pt>
                <c:pt idx="12">
                  <c:v>4.1540307224599719E-2</c:v>
                </c:pt>
                <c:pt idx="13">
                  <c:v>3.6765884725668302E-2</c:v>
                </c:pt>
                <c:pt idx="14">
                  <c:v>3.2014257992807132E-2</c:v>
                </c:pt>
                <c:pt idx="15">
                  <c:v>2.7288826047973398E-2</c:v>
                </c:pt>
                <c:pt idx="16">
                  <c:v>2.2594158538648823E-2</c:v>
                </c:pt>
                <c:pt idx="17">
                  <c:v>1.7936711448428344E-2</c:v>
                </c:pt>
                <c:pt idx="18">
                  <c:v>1.3326263508973183E-2</c:v>
                </c:pt>
                <c:pt idx="19">
                  <c:v>8.7792595927588101E-3</c:v>
                </c:pt>
                <c:pt idx="20">
                  <c:v>4.3285202725234792E-3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60-4AAE-BD46-BA5E8E8ED27E}"/>
            </c:ext>
          </c:extLst>
        </c:ser>
        <c:ser>
          <c:idx val="1"/>
          <c:order val="1"/>
          <c:tx>
            <c:strRef>
              <c:f>PBR!$O$27</c:f>
              <c:strCache>
                <c:ptCount val="1"/>
                <c:pt idx="0">
                  <c:v>Pb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PBR!$A$28:$A$48</c:f>
              <c:numCache>
                <c:formatCode>0.00</c:formatCode>
                <c:ptCount val="21"/>
                <c:pt idx="0">
                  <c:v>0</c:v>
                </c:pt>
                <c:pt idx="1">
                  <c:v>4.7500000000000001E-2</c:v>
                </c:pt>
                <c:pt idx="2">
                  <c:v>9.5000000000000001E-2</c:v>
                </c:pt>
                <c:pt idx="3">
                  <c:v>0.14250000000000002</c:v>
                </c:pt>
                <c:pt idx="4">
                  <c:v>0.19</c:v>
                </c:pt>
                <c:pt idx="5">
                  <c:v>0.23749999999999999</c:v>
                </c:pt>
                <c:pt idx="6">
                  <c:v>0.28499999999999998</c:v>
                </c:pt>
                <c:pt idx="7">
                  <c:v>0.33249999999999996</c:v>
                </c:pt>
                <c:pt idx="8">
                  <c:v>0.37999999999999995</c:v>
                </c:pt>
                <c:pt idx="9">
                  <c:v>0.42749999999999994</c:v>
                </c:pt>
                <c:pt idx="10">
                  <c:v>0.47499999999999992</c:v>
                </c:pt>
                <c:pt idx="11">
                  <c:v>0.52249999999999996</c:v>
                </c:pt>
                <c:pt idx="12">
                  <c:v>0.56999999999999995</c:v>
                </c:pt>
                <c:pt idx="13">
                  <c:v>0.61749999999999994</c:v>
                </c:pt>
                <c:pt idx="14">
                  <c:v>0.66499999999999992</c:v>
                </c:pt>
                <c:pt idx="15">
                  <c:v>0.71249999999999991</c:v>
                </c:pt>
                <c:pt idx="16">
                  <c:v>0.7599999999999999</c:v>
                </c:pt>
                <c:pt idx="17">
                  <c:v>0.80749999999999988</c:v>
                </c:pt>
                <c:pt idx="18">
                  <c:v>0.85499999999999987</c:v>
                </c:pt>
                <c:pt idx="19">
                  <c:v>0.90249999999999986</c:v>
                </c:pt>
                <c:pt idx="20">
                  <c:v>0.94999999999999984</c:v>
                </c:pt>
              </c:numCache>
            </c:numRef>
          </c:xVal>
          <c:yVal>
            <c:numRef>
              <c:f>PBR!$O$28:$O$48</c:f>
              <c:numCache>
                <c:formatCode>0.000</c:formatCode>
                <c:ptCount val="21"/>
                <c:pt idx="0">
                  <c:v>0</c:v>
                </c:pt>
                <c:pt idx="1">
                  <c:v>4.7409008849379885E-3</c:v>
                </c:pt>
                <c:pt idx="2">
                  <c:v>9.4626288231632986E-3</c:v>
                </c:pt>
                <c:pt idx="3">
                  <c:v>1.4163557198245642E-2</c:v>
                </c:pt>
                <c:pt idx="4">
                  <c:v>1.8841801254411563E-2</c:v>
                </c:pt>
                <c:pt idx="5">
                  <c:v>2.3495157618337838E-2</c:v>
                </c:pt>
                <c:pt idx="6">
                  <c:v>2.8121024606067923E-2</c:v>
                </c:pt>
                <c:pt idx="7">
                  <c:v>3.2716295402284587E-2</c:v>
                </c:pt>
                <c:pt idx="8">
                  <c:v>3.7277212088361926E-2</c:v>
                </c:pt>
                <c:pt idx="9">
                  <c:v>4.1799161735313201E-2</c:v>
                </c:pt>
                <c:pt idx="10">
                  <c:v>4.6276384270407124E-2</c:v>
                </c:pt>
                <c:pt idx="11">
                  <c:v>5.0701541444494125E-2</c:v>
                </c:pt>
                <c:pt idx="12">
                  <c:v>5.5065058414004268E-2</c:v>
                </c:pt>
                <c:pt idx="13">
                  <c:v>5.9354075341438356E-2</c:v>
                </c:pt>
                <c:pt idx="14">
                  <c:v>6.3550691239452936E-2</c:v>
                </c:pt>
                <c:pt idx="15">
                  <c:v>6.7628829771064478E-2</c:v>
                </c:pt>
                <c:pt idx="16">
                  <c:v>7.1548168705721227E-2</c:v>
                </c:pt>
                <c:pt idx="17">
                  <c:v>7.5241010361588978E-2</c:v>
                </c:pt>
                <c:pt idx="18">
                  <c:v>7.8579002070152129E-2</c:v>
                </c:pt>
                <c:pt idx="19">
                  <c:v>8.1264428538100647E-2</c:v>
                </c:pt>
                <c:pt idx="20">
                  <c:v>8.2241885177945839E-2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60-4AAE-BD46-BA5E8E8ED27E}"/>
            </c:ext>
          </c:extLst>
        </c:ser>
        <c:ser>
          <c:idx val="4"/>
          <c:order val="2"/>
          <c:tx>
            <c:strRef>
              <c:f>PBR!$P$27</c:f>
              <c:strCache>
                <c:ptCount val="1"/>
                <c:pt idx="0">
                  <c:v>Pinert</c:v>
                </c:pt>
              </c:strCache>
            </c:strRef>
          </c:tx>
          <c:spPr>
            <a:ln>
              <a:solidFill>
                <a:schemeClr val="tx1">
                  <a:lumMod val="65000"/>
                  <a:lumOff val="35000"/>
                </a:schemeClr>
              </a:solidFill>
            </a:ln>
          </c:spPr>
          <c:marker>
            <c:symbol val="none"/>
          </c:marker>
          <c:xVal>
            <c:numRef>
              <c:f>PBR!$A$28:$A$48</c:f>
              <c:numCache>
                <c:formatCode>0.00</c:formatCode>
                <c:ptCount val="21"/>
                <c:pt idx="0">
                  <c:v>0</c:v>
                </c:pt>
                <c:pt idx="1">
                  <c:v>4.7500000000000001E-2</c:v>
                </c:pt>
                <c:pt idx="2">
                  <c:v>9.5000000000000001E-2</c:v>
                </c:pt>
                <c:pt idx="3">
                  <c:v>0.14250000000000002</c:v>
                </c:pt>
                <c:pt idx="4">
                  <c:v>0.19</c:v>
                </c:pt>
                <c:pt idx="5">
                  <c:v>0.23749999999999999</c:v>
                </c:pt>
                <c:pt idx="6">
                  <c:v>0.28499999999999998</c:v>
                </c:pt>
                <c:pt idx="7">
                  <c:v>0.33249999999999996</c:v>
                </c:pt>
                <c:pt idx="8">
                  <c:v>0.37999999999999995</c:v>
                </c:pt>
                <c:pt idx="9">
                  <c:v>0.42749999999999994</c:v>
                </c:pt>
                <c:pt idx="10">
                  <c:v>0.47499999999999992</c:v>
                </c:pt>
                <c:pt idx="11">
                  <c:v>0.52249999999999996</c:v>
                </c:pt>
                <c:pt idx="12">
                  <c:v>0.56999999999999995</c:v>
                </c:pt>
                <c:pt idx="13">
                  <c:v>0.61749999999999994</c:v>
                </c:pt>
                <c:pt idx="14">
                  <c:v>0.66499999999999992</c:v>
                </c:pt>
                <c:pt idx="15">
                  <c:v>0.71249999999999991</c:v>
                </c:pt>
                <c:pt idx="16">
                  <c:v>0.7599999999999999</c:v>
                </c:pt>
                <c:pt idx="17">
                  <c:v>0.80749999999999988</c:v>
                </c:pt>
                <c:pt idx="18">
                  <c:v>0.85499999999999987</c:v>
                </c:pt>
                <c:pt idx="19">
                  <c:v>0.90249999999999986</c:v>
                </c:pt>
                <c:pt idx="20">
                  <c:v>0.94999999999999984</c:v>
                </c:pt>
              </c:numCache>
            </c:numRef>
          </c:xVal>
          <c:yVal>
            <c:numRef>
              <c:f>PBR!$P$28:$P$48</c:f>
              <c:numCache>
                <c:formatCode>0.000</c:formatCode>
                <c:ptCount val="21"/>
                <c:pt idx="0">
                  <c:v>0.5</c:v>
                </c:pt>
                <c:pt idx="1">
                  <c:v>0.49904219841452513</c:v>
                </c:pt>
                <c:pt idx="2">
                  <c:v>0.49803309595596312</c:v>
                </c:pt>
                <c:pt idx="3">
                  <c:v>0.49696691923668912</c:v>
                </c:pt>
                <c:pt idx="4">
                  <c:v>0.49583687511609376</c:v>
                </c:pt>
                <c:pt idx="5">
                  <c:v>0.49463489722816506</c:v>
                </c:pt>
                <c:pt idx="6">
                  <c:v>0.49335130887838469</c:v>
                </c:pt>
                <c:pt idx="7">
                  <c:v>0.49197436695164798</c:v>
                </c:pt>
                <c:pt idx="8">
                  <c:v>0.4904896327416044</c:v>
                </c:pt>
                <c:pt idx="9">
                  <c:v>0.48887908462354629</c:v>
                </c:pt>
                <c:pt idx="10">
                  <c:v>0.48711983442533824</c:v>
                </c:pt>
                <c:pt idx="11">
                  <c:v>0.48518221477984813</c:v>
                </c:pt>
                <c:pt idx="12">
                  <c:v>0.48302682819301995</c:v>
                </c:pt>
                <c:pt idx="13">
                  <c:v>0.48059980033553329</c:v>
                </c:pt>
                <c:pt idx="14">
                  <c:v>0.47782474616130033</c:v>
                </c:pt>
                <c:pt idx="15">
                  <c:v>0.47458827909518941</c:v>
                </c:pt>
                <c:pt idx="16">
                  <c:v>0.47071163622185025</c:v>
                </c:pt>
                <c:pt idx="17">
                  <c:v>0.46588860905008661</c:v>
                </c:pt>
                <c:pt idx="18">
                  <c:v>0.45952632789562659</c:v>
                </c:pt>
                <c:pt idx="19">
                  <c:v>0.45021844065429728</c:v>
                </c:pt>
                <c:pt idx="20">
                  <c:v>0.43285202725234662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660-4AAE-BD46-BA5E8E8ED27E}"/>
            </c:ext>
          </c:extLst>
        </c:ser>
        <c:ser>
          <c:idx val="2"/>
          <c:order val="3"/>
          <c:tx>
            <c:strRef>
              <c:f>PBR!$T$27</c:f>
              <c:strCache>
                <c:ptCount val="1"/>
                <c:pt idx="0">
                  <c:v>P</c:v>
                </c:pt>
              </c:strCache>
            </c:strRef>
          </c:tx>
          <c:spPr>
            <a:ln w="25400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none"/>
          </c:marker>
          <c:xVal>
            <c:numRef>
              <c:f>PBR!$A$28:$A$48</c:f>
              <c:numCache>
                <c:formatCode>0.00</c:formatCode>
                <c:ptCount val="21"/>
                <c:pt idx="0">
                  <c:v>0</c:v>
                </c:pt>
                <c:pt idx="1">
                  <c:v>4.7500000000000001E-2</c:v>
                </c:pt>
                <c:pt idx="2">
                  <c:v>9.5000000000000001E-2</c:v>
                </c:pt>
                <c:pt idx="3">
                  <c:v>0.14250000000000002</c:v>
                </c:pt>
                <c:pt idx="4">
                  <c:v>0.19</c:v>
                </c:pt>
                <c:pt idx="5">
                  <c:v>0.23749999999999999</c:v>
                </c:pt>
                <c:pt idx="6">
                  <c:v>0.28499999999999998</c:v>
                </c:pt>
                <c:pt idx="7">
                  <c:v>0.33249999999999996</c:v>
                </c:pt>
                <c:pt idx="8">
                  <c:v>0.37999999999999995</c:v>
                </c:pt>
                <c:pt idx="9">
                  <c:v>0.42749999999999994</c:v>
                </c:pt>
                <c:pt idx="10">
                  <c:v>0.47499999999999992</c:v>
                </c:pt>
                <c:pt idx="11">
                  <c:v>0.52249999999999996</c:v>
                </c:pt>
                <c:pt idx="12">
                  <c:v>0.56999999999999995</c:v>
                </c:pt>
                <c:pt idx="13">
                  <c:v>0.61749999999999994</c:v>
                </c:pt>
                <c:pt idx="14">
                  <c:v>0.66499999999999992</c:v>
                </c:pt>
                <c:pt idx="15">
                  <c:v>0.71249999999999991</c:v>
                </c:pt>
                <c:pt idx="16">
                  <c:v>0.7599999999999999</c:v>
                </c:pt>
                <c:pt idx="17">
                  <c:v>0.80749999999999988</c:v>
                </c:pt>
                <c:pt idx="18">
                  <c:v>0.85499999999999987</c:v>
                </c:pt>
                <c:pt idx="19">
                  <c:v>0.90249999999999986</c:v>
                </c:pt>
                <c:pt idx="20">
                  <c:v>0.94999999999999984</c:v>
                </c:pt>
              </c:numCache>
            </c:numRef>
          </c:xVal>
          <c:yVal>
            <c:numRef>
              <c:f>PBR!$T$28:$T$48</c:f>
              <c:numCache>
                <c:formatCode>General</c:formatCode>
                <c:ptCount val="21"/>
                <c:pt idx="0">
                  <c:v>0.6</c:v>
                </c:pt>
                <c:pt idx="1">
                  <c:v>0.59885063723901566</c:v>
                </c:pt>
                <c:pt idx="2">
                  <c:v>0.5976397096344469</c:v>
                </c:pt>
                <c:pt idx="3">
                  <c:v>0.59636028420600584</c:v>
                </c:pt>
                <c:pt idx="4">
                  <c:v>0.5950042024735539</c:v>
                </c:pt>
                <c:pt idx="5">
                  <c:v>0.59356177560280632</c:v>
                </c:pt>
                <c:pt idx="6">
                  <c:v>0.59202137888626627</c:v>
                </c:pt>
                <c:pt idx="7">
                  <c:v>0.59036890296430777</c:v>
                </c:pt>
                <c:pt idx="8">
                  <c:v>0.58858699660733782</c:v>
                </c:pt>
                <c:pt idx="9">
                  <c:v>0.5866539985052639</c:v>
                </c:pt>
                <c:pt idx="10">
                  <c:v>0.58454239148151177</c:v>
                </c:pt>
                <c:pt idx="11">
                  <c:v>0.58221649839433909</c:v>
                </c:pt>
                <c:pt idx="12">
                  <c:v>0.57962892577385117</c:v>
                </c:pt>
                <c:pt idx="13">
                  <c:v>0.57671484045680776</c:v>
                </c:pt>
                <c:pt idx="14">
                  <c:v>0.57338227705005362</c:v>
                </c:pt>
                <c:pt idx="15">
                  <c:v>0.56949464293035623</c:v>
                </c:pt>
                <c:pt idx="16">
                  <c:v>0.56483643011067175</c:v>
                </c:pt>
                <c:pt idx="17">
                  <c:v>0.5590381219930276</c:v>
                </c:pt>
                <c:pt idx="18">
                  <c:v>0.55138324674380246</c:v>
                </c:pt>
                <c:pt idx="19">
                  <c:v>0.54016821671817949</c:v>
                </c:pt>
                <c:pt idx="20">
                  <c:v>0.51916529185969618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660-4AAE-BD46-BA5E8E8ED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50880"/>
        <c:axId val="136252800"/>
      </c:scatterChart>
      <c:valAx>
        <c:axId val="136250880"/>
        <c:scaling>
          <c:orientation val="minMax"/>
          <c:max val="1"/>
          <c:min val="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en-US" sz="1200" b="1"/>
                  <a:t>X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36252800"/>
        <c:crosses val="autoZero"/>
        <c:crossBetween val="midCat"/>
      </c:valAx>
      <c:valAx>
        <c:axId val="13625280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Pi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62508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8740157499999996" l="0.511811024" r="0.511811024" t="0.78740157499999996" header="0.31496062000000213" footer="0.3149606200000021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8575" cap="flat" cmpd="sng" algn="ctr">
              <a:solidFill>
                <a:schemeClr val="accent4"/>
              </a:solidFill>
              <a:prstDash val="solid"/>
            </a:ln>
            <a:effectLst/>
          </c:spPr>
          <c:marker>
            <c:symbol val="none"/>
          </c:marker>
          <c:xVal>
            <c:numRef>
              <c:f>PBR!$A$28:$A$48</c:f>
              <c:numCache>
                <c:formatCode>0.00</c:formatCode>
                <c:ptCount val="21"/>
                <c:pt idx="0">
                  <c:v>0</c:v>
                </c:pt>
                <c:pt idx="1">
                  <c:v>4.7500000000000001E-2</c:v>
                </c:pt>
                <c:pt idx="2">
                  <c:v>9.5000000000000001E-2</c:v>
                </c:pt>
                <c:pt idx="3">
                  <c:v>0.14250000000000002</c:v>
                </c:pt>
                <c:pt idx="4">
                  <c:v>0.19</c:v>
                </c:pt>
                <c:pt idx="5">
                  <c:v>0.23749999999999999</c:v>
                </c:pt>
                <c:pt idx="6">
                  <c:v>0.28499999999999998</c:v>
                </c:pt>
                <c:pt idx="7">
                  <c:v>0.33249999999999996</c:v>
                </c:pt>
                <c:pt idx="8">
                  <c:v>0.37999999999999995</c:v>
                </c:pt>
                <c:pt idx="9">
                  <c:v>0.42749999999999994</c:v>
                </c:pt>
                <c:pt idx="10">
                  <c:v>0.47499999999999992</c:v>
                </c:pt>
                <c:pt idx="11">
                  <c:v>0.52249999999999996</c:v>
                </c:pt>
                <c:pt idx="12">
                  <c:v>0.56999999999999995</c:v>
                </c:pt>
                <c:pt idx="13">
                  <c:v>0.61749999999999994</c:v>
                </c:pt>
                <c:pt idx="14">
                  <c:v>0.66499999999999992</c:v>
                </c:pt>
                <c:pt idx="15">
                  <c:v>0.71249999999999991</c:v>
                </c:pt>
                <c:pt idx="16">
                  <c:v>0.7599999999999999</c:v>
                </c:pt>
                <c:pt idx="17">
                  <c:v>0.80749999999999988</c:v>
                </c:pt>
                <c:pt idx="18">
                  <c:v>0.85499999999999987</c:v>
                </c:pt>
                <c:pt idx="19">
                  <c:v>0.90249999999999986</c:v>
                </c:pt>
                <c:pt idx="20">
                  <c:v>0.94999999999999984</c:v>
                </c:pt>
              </c:numCache>
            </c:numRef>
          </c:xVal>
          <c:yVal>
            <c:numRef>
              <c:f>PBR!$R$28:$R$48</c:f>
              <c:numCache>
                <c:formatCode>0</c:formatCode>
                <c:ptCount val="21"/>
                <c:pt idx="0">
                  <c:v>0</c:v>
                </c:pt>
                <c:pt idx="1">
                  <c:v>76.550793245827165</c:v>
                </c:pt>
                <c:pt idx="2">
                  <c:v>157.04319266966559</c:v>
                </c:pt>
                <c:pt idx="3">
                  <c:v>241.91174565177607</c:v>
                </c:pt>
                <c:pt idx="4">
                  <c:v>331.66661326722647</c:v>
                </c:pt>
                <c:pt idx="5">
                  <c:v>426.91214129132089</c:v>
                </c:pt>
                <c:pt idx="6">
                  <c:v>528.37149675577052</c:v>
                </c:pt>
                <c:pt idx="7">
                  <c:v>636.91991181776177</c:v>
                </c:pt>
                <c:pt idx="8">
                  <c:v>753.63041248631339</c:v>
                </c:pt>
                <c:pt idx="9">
                  <c:v>879.83811321032397</c:v>
                </c:pt>
                <c:pt idx="10">
                  <c:v>1017.2329200597205</c:v>
                </c:pt>
                <c:pt idx="11">
                  <c:v>1167.9971665241408</c:v>
                </c:pt>
                <c:pt idx="12">
                  <c:v>1335.0171336806245</c:v>
                </c:pt>
                <c:pt idx="13">
                  <c:v>1522.2218220488182</c:v>
                </c:pt>
                <c:pt idx="14">
                  <c:v>1735.1535758275313</c:v>
                </c:pt>
                <c:pt idx="15">
                  <c:v>1981.9917596458945</c:v>
                </c:pt>
                <c:pt idx="16">
                  <c:v>2275.544845546231</c:v>
                </c:pt>
                <c:pt idx="17">
                  <c:v>2637.5765643615946</c:v>
                </c:pt>
                <c:pt idx="18">
                  <c:v>3109.8064005701699</c:v>
                </c:pt>
                <c:pt idx="19">
                  <c:v>3789.9054248612138</c:v>
                </c:pt>
                <c:pt idx="20">
                  <c:v>5025.9666515686913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8E-4575-9DDD-3A7ED4E9E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13120"/>
        <c:axId val="167637760"/>
      </c:scatterChart>
      <c:valAx>
        <c:axId val="166213120"/>
        <c:scaling>
          <c:orientation val="minMax"/>
          <c:max val="1"/>
          <c:min val="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en-US" sz="1200" b="1"/>
                  <a:t>X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67637760"/>
        <c:crosses val="autoZero"/>
        <c:crossBetween val="midCat"/>
      </c:valAx>
      <c:valAx>
        <c:axId val="16763776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W (kg)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66213120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8740157499999996" l="0.511811024" r="0.511811024" t="0.78740157499999996" header="0.31496062000000286" footer="0.3149606200000028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y</c:v>
          </c:tx>
          <c:spPr>
            <a:ln w="28575" cap="flat" cmpd="sng" algn="ctr">
              <a:solidFill>
                <a:schemeClr val="accent4"/>
              </a:solidFill>
              <a:prstDash val="solid"/>
            </a:ln>
            <a:effectLst/>
          </c:spPr>
          <c:marker>
            <c:symbol val="none"/>
          </c:marker>
          <c:xVal>
            <c:numRef>
              <c:f>PBR!$A$28:$A$48</c:f>
              <c:numCache>
                <c:formatCode>0.00</c:formatCode>
                <c:ptCount val="21"/>
                <c:pt idx="0">
                  <c:v>0</c:v>
                </c:pt>
                <c:pt idx="1">
                  <c:v>4.7500000000000001E-2</c:v>
                </c:pt>
                <c:pt idx="2">
                  <c:v>9.5000000000000001E-2</c:v>
                </c:pt>
                <c:pt idx="3">
                  <c:v>0.14250000000000002</c:v>
                </c:pt>
                <c:pt idx="4">
                  <c:v>0.19</c:v>
                </c:pt>
                <c:pt idx="5">
                  <c:v>0.23749999999999999</c:v>
                </c:pt>
                <c:pt idx="6">
                  <c:v>0.28499999999999998</c:v>
                </c:pt>
                <c:pt idx="7">
                  <c:v>0.33249999999999996</c:v>
                </c:pt>
                <c:pt idx="8">
                  <c:v>0.37999999999999995</c:v>
                </c:pt>
                <c:pt idx="9">
                  <c:v>0.42749999999999994</c:v>
                </c:pt>
                <c:pt idx="10">
                  <c:v>0.47499999999999992</c:v>
                </c:pt>
                <c:pt idx="11">
                  <c:v>0.52249999999999996</c:v>
                </c:pt>
                <c:pt idx="12">
                  <c:v>0.56999999999999995</c:v>
                </c:pt>
                <c:pt idx="13">
                  <c:v>0.61749999999999994</c:v>
                </c:pt>
                <c:pt idx="14">
                  <c:v>0.66499999999999992</c:v>
                </c:pt>
                <c:pt idx="15">
                  <c:v>0.71249999999999991</c:v>
                </c:pt>
                <c:pt idx="16">
                  <c:v>0.7599999999999999</c:v>
                </c:pt>
                <c:pt idx="17">
                  <c:v>0.80749999999999988</c:v>
                </c:pt>
                <c:pt idx="18">
                  <c:v>0.85499999999999987</c:v>
                </c:pt>
                <c:pt idx="19">
                  <c:v>0.90249999999999986</c:v>
                </c:pt>
                <c:pt idx="20">
                  <c:v>0.94999999999999984</c:v>
                </c:pt>
              </c:numCache>
            </c:numRef>
          </c:xVal>
          <c:yVal>
            <c:numRef>
              <c:f>PBR!$S$28:$S$48</c:f>
              <c:numCache>
                <c:formatCode>General</c:formatCode>
                <c:ptCount val="21"/>
                <c:pt idx="0">
                  <c:v>1</c:v>
                </c:pt>
                <c:pt idx="1">
                  <c:v>0.99808439539835947</c:v>
                </c:pt>
                <c:pt idx="2">
                  <c:v>0.99606618272407821</c:v>
                </c:pt>
                <c:pt idx="3">
                  <c:v>0.99393380701000977</c:v>
                </c:pt>
                <c:pt idx="4">
                  <c:v>0.9916736707892565</c:v>
                </c:pt>
                <c:pt idx="5">
                  <c:v>0.98926962600467727</c:v>
                </c:pt>
                <c:pt idx="6">
                  <c:v>0.98670229814377719</c:v>
                </c:pt>
                <c:pt idx="7">
                  <c:v>0.98394817160717973</c:v>
                </c:pt>
                <c:pt idx="8">
                  <c:v>0.98097832767889648</c:v>
                </c:pt>
                <c:pt idx="9">
                  <c:v>0.97775666417543983</c:v>
                </c:pt>
                <c:pt idx="10">
                  <c:v>0.97423731913585299</c:v>
                </c:pt>
                <c:pt idx="11">
                  <c:v>0.97036083065723178</c:v>
                </c:pt>
                <c:pt idx="12">
                  <c:v>0.96604820962308535</c:v>
                </c:pt>
                <c:pt idx="13">
                  <c:v>0.96119140076134635</c:v>
                </c:pt>
                <c:pt idx="14">
                  <c:v>0.95563712841675608</c:v>
                </c:pt>
                <c:pt idx="15">
                  <c:v>0.94915773821726035</c:v>
                </c:pt>
                <c:pt idx="16">
                  <c:v>0.94139405018445299</c:v>
                </c:pt>
                <c:pt idx="17">
                  <c:v>0.93173020332171275</c:v>
                </c:pt>
                <c:pt idx="18">
                  <c:v>0.91897207790633739</c:v>
                </c:pt>
                <c:pt idx="19">
                  <c:v>0.90028036119696586</c:v>
                </c:pt>
                <c:pt idx="20">
                  <c:v>0.86527548643282703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BD-418F-9F3F-D241AB063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74528"/>
        <c:axId val="81576704"/>
      </c:scatterChart>
      <c:valAx>
        <c:axId val="81574528"/>
        <c:scaling>
          <c:orientation val="minMax"/>
          <c:max val="1"/>
          <c:min val="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en-US" sz="1200" b="1"/>
                  <a:t>X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1576704"/>
        <c:crosses val="autoZero"/>
        <c:crossBetween val="midCat"/>
      </c:valAx>
      <c:valAx>
        <c:axId val="81576704"/>
        <c:scaling>
          <c:orientation val="minMax"/>
          <c:max val="1"/>
          <c:min val="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>
                    <a:latin typeface="+mj-lt"/>
                  </a:defRPr>
                </a:pPr>
                <a:r>
                  <a:rPr lang="en-US" sz="1400">
                    <a:latin typeface="+mj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574528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8740157499999996" l="0.511811024" r="0.511811024" t="0.78740157499999996" header="0.31496062000000297" footer="0.31496062000000297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314326</xdr:colOff>
      <xdr:row>13</xdr:row>
      <xdr:rowOff>9526</xdr:rowOff>
    </xdr:from>
    <xdr:to>
      <xdr:col>7</xdr:col>
      <xdr:colOff>9526</xdr:colOff>
      <xdr:row>22</xdr:row>
      <xdr:rowOff>47786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4326" y="2314576"/>
          <a:ext cx="3962400" cy="1752760"/>
        </a:xfrm>
        <a:prstGeom prst="rect">
          <a:avLst/>
        </a:prstGeom>
        <a:noFill/>
        <a:ln w="19050">
          <a:noFill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10</xdr:col>
      <xdr:colOff>261157</xdr:colOff>
      <xdr:row>17</xdr:row>
      <xdr:rowOff>85726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76800" y="2305050"/>
          <a:ext cx="1480357" cy="84772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</xdr:pic>
    <xdr:clientData/>
  </xdr:twoCellAnchor>
  <xdr:twoCellAnchor>
    <xdr:from>
      <xdr:col>11</xdr:col>
      <xdr:colOff>0</xdr:colOff>
      <xdr:row>5</xdr:row>
      <xdr:rowOff>0</xdr:rowOff>
    </xdr:from>
    <xdr:to>
      <xdr:col>19</xdr:col>
      <xdr:colOff>0</xdr:colOff>
      <xdr:row>22</xdr:row>
      <xdr:rowOff>114300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600076</xdr:colOff>
      <xdr:row>4</xdr:row>
      <xdr:rowOff>180975</xdr:rowOff>
    </xdr:from>
    <xdr:to>
      <xdr:col>6</xdr:col>
      <xdr:colOff>114300</xdr:colOff>
      <xdr:row>18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5</xdr:row>
      <xdr:rowOff>0</xdr:rowOff>
    </xdr:from>
    <xdr:to>
      <xdr:col>12</xdr:col>
      <xdr:colOff>123824</xdr:colOff>
      <xdr:row>18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sothermal_ideal_homogeneous_reactor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ires/Dropbox/.PROJETOS%20pessoais/planilhas/chemeng/unit%20operations/absorption_concentrated_packed_tow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tch"/>
      <sheetName val="CSTR"/>
      <sheetName val="PFR"/>
      <sheetName val="Graphs"/>
    </sheetNames>
    <sheetDataSet>
      <sheetData sheetId="0">
        <row r="2">
          <cell r="I2">
            <v>0.9</v>
          </cell>
        </row>
        <row r="4">
          <cell r="I4">
            <v>1</v>
          </cell>
        </row>
      </sheetData>
      <sheetData sheetId="1">
        <row r="28">
          <cell r="A28">
            <v>0</v>
          </cell>
        </row>
      </sheetData>
      <sheetData sheetId="2">
        <row r="2">
          <cell r="I2">
            <v>0.9</v>
          </cell>
        </row>
        <row r="4">
          <cell r="I4">
            <v>1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sorption_packed"/>
      <sheetName val="Equilibrium"/>
      <sheetName val="Operation"/>
      <sheetName val="Credits"/>
    </sheetNames>
    <sheetDataSet>
      <sheetData sheetId="0">
        <row r="2">
          <cell r="B2">
            <v>6.5300000000000004E-4</v>
          </cell>
          <cell r="E2">
            <v>9.2899999999999996E-2</v>
          </cell>
        </row>
        <row r="3">
          <cell r="B3">
            <v>0.2</v>
          </cell>
        </row>
        <row r="4">
          <cell r="B4">
            <v>0.02</v>
          </cell>
        </row>
        <row r="6">
          <cell r="B6">
            <v>4.2000000000000003E-2</v>
          </cell>
        </row>
        <row r="7">
          <cell r="B7">
            <v>0</v>
          </cell>
          <cell r="E7">
            <v>64.099999999999994</v>
          </cell>
        </row>
        <row r="8">
          <cell r="E8">
            <v>29</v>
          </cell>
        </row>
        <row r="9">
          <cell r="B9">
            <v>3.5569096465060041E-3</v>
          </cell>
          <cell r="E9">
            <v>18</v>
          </cell>
        </row>
      </sheetData>
      <sheetData sheetId="1">
        <row r="3">
          <cell r="R3">
            <v>11.467356902472577</v>
          </cell>
        </row>
        <row r="4">
          <cell r="R4">
            <v>32.564812758541194</v>
          </cell>
        </row>
        <row r="5">
          <cell r="R5">
            <v>-1.2661060792755242E-2</v>
          </cell>
        </row>
      </sheetData>
      <sheetData sheetId="2">
        <row r="3">
          <cell r="C3">
            <v>-2500</v>
          </cell>
        </row>
        <row r="4">
          <cell r="C4">
            <v>60</v>
          </cell>
        </row>
        <row r="5">
          <cell r="C5">
            <v>0.02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T48"/>
  <sheetViews>
    <sheetView showGridLines="0" tabSelected="1" zoomScaleNormal="100" workbookViewId="0">
      <selection activeCell="F9" sqref="F9"/>
    </sheetView>
  </sheetViews>
  <sheetFormatPr defaultRowHeight="15" x14ac:dyDescent="0.25"/>
  <cols>
    <col min="13" max="13" width="9" customWidth="1"/>
    <col min="16" max="16" width="9.28515625" customWidth="1"/>
    <col min="19" max="19" width="9.140625" customWidth="1"/>
  </cols>
  <sheetData>
    <row r="1" spans="1:20" ht="15.75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75" thickBot="1" x14ac:dyDescent="0.3">
      <c r="A2" s="2"/>
      <c r="B2" s="36" t="s">
        <v>38</v>
      </c>
      <c r="C2" s="37"/>
      <c r="D2" s="2"/>
      <c r="E2" s="3" t="s">
        <v>27</v>
      </c>
      <c r="F2" s="32">
        <v>0</v>
      </c>
      <c r="G2" t="s">
        <v>28</v>
      </c>
      <c r="H2" s="3" t="s">
        <v>11</v>
      </c>
      <c r="I2" s="32">
        <v>1000</v>
      </c>
      <c r="J2" s="2" t="s">
        <v>14</v>
      </c>
      <c r="K2" s="3" t="s">
        <v>24</v>
      </c>
      <c r="L2" s="32">
        <v>1.39</v>
      </c>
      <c r="M2" t="s">
        <v>33</v>
      </c>
      <c r="N2" s="3" t="s">
        <v>25</v>
      </c>
      <c r="O2" s="32">
        <v>1.038</v>
      </c>
      <c r="P2" t="s">
        <v>33</v>
      </c>
      <c r="Q2" s="2"/>
    </row>
    <row r="3" spans="1:20" x14ac:dyDescent="0.25">
      <c r="A3" s="2"/>
      <c r="B3" s="2"/>
      <c r="C3" s="2"/>
      <c r="D3" s="2"/>
      <c r="E3" s="3" t="s">
        <v>32</v>
      </c>
      <c r="F3" s="32">
        <v>0.1</v>
      </c>
      <c r="G3" t="s">
        <v>30</v>
      </c>
      <c r="H3" s="3" t="s">
        <v>12</v>
      </c>
      <c r="I3" s="34">
        <v>373.15</v>
      </c>
      <c r="J3" s="2" t="s">
        <v>13</v>
      </c>
      <c r="K3" s="4" t="s">
        <v>23</v>
      </c>
      <c r="L3" s="4">
        <f>Kao</f>
        <v>1.39</v>
      </c>
      <c r="M3" t="s">
        <v>33</v>
      </c>
      <c r="N3" s="4" t="s">
        <v>26</v>
      </c>
      <c r="O3" s="4">
        <f>Kbo</f>
        <v>1.038</v>
      </c>
      <c r="P3" t="s">
        <v>33</v>
      </c>
      <c r="Q3" s="2"/>
      <c r="R3" s="2"/>
      <c r="S3" s="2"/>
      <c r="T3" s="2"/>
    </row>
    <row r="4" spans="1:20" x14ac:dyDescent="0.25">
      <c r="A4" s="2"/>
      <c r="B4" s="3" t="s">
        <v>1</v>
      </c>
      <c r="C4" s="32">
        <v>0</v>
      </c>
      <c r="D4" s="2"/>
      <c r="E4" s="3" t="s">
        <v>40</v>
      </c>
      <c r="F4" s="33">
        <v>5.0000000000000002E-5</v>
      </c>
      <c r="G4" t="s">
        <v>41</v>
      </c>
      <c r="H4" s="3" t="s">
        <v>10</v>
      </c>
      <c r="I4" s="33">
        <v>1E-3</v>
      </c>
      <c r="J4" t="s">
        <v>34</v>
      </c>
      <c r="L4" s="2"/>
      <c r="M4" s="2"/>
      <c r="N4" s="2"/>
    </row>
    <row r="5" spans="1:20" x14ac:dyDescent="0.25">
      <c r="A5" s="2"/>
      <c r="B5" s="1" t="s">
        <v>4</v>
      </c>
      <c r="C5" s="1">
        <f>C4*C8</f>
        <v>0</v>
      </c>
      <c r="D5" s="2"/>
      <c r="E5" s="4" t="s">
        <v>29</v>
      </c>
      <c r="F5" s="4">
        <f>B11</f>
        <v>0.6</v>
      </c>
      <c r="G5" t="s">
        <v>31</v>
      </c>
      <c r="H5" s="4" t="s">
        <v>9</v>
      </c>
      <c r="I5" s="12">
        <f>ko*EXP((Ea/8.314)*(-1/T))</f>
        <v>7.2445595772114885E-4</v>
      </c>
      <c r="J5" t="s">
        <v>34</v>
      </c>
      <c r="K5" s="2"/>
      <c r="L5" s="2"/>
      <c r="M5" s="2"/>
      <c r="N5" s="2"/>
      <c r="O5" s="2"/>
      <c r="P5" s="2"/>
    </row>
    <row r="6" spans="1:20" x14ac:dyDescent="0.25">
      <c r="A6" s="2"/>
      <c r="B6" s="2"/>
      <c r="C6" s="2"/>
      <c r="D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31" t="s">
        <v>8</v>
      </c>
      <c r="B7" s="3" t="s">
        <v>17</v>
      </c>
      <c r="C7" s="10" t="s">
        <v>5</v>
      </c>
      <c r="D7" s="10" t="s">
        <v>6</v>
      </c>
      <c r="G7" s="38" t="s">
        <v>35</v>
      </c>
      <c r="H7" s="38"/>
      <c r="I7" s="38"/>
      <c r="J7" s="38"/>
      <c r="M7" s="2"/>
      <c r="N7" s="2"/>
      <c r="O7" s="2"/>
      <c r="P7" s="2"/>
      <c r="Q7" s="2"/>
      <c r="R7" s="2"/>
      <c r="S7" s="2"/>
      <c r="T7" s="2"/>
    </row>
    <row r="8" spans="1:20" x14ac:dyDescent="0.25">
      <c r="A8" s="13" t="s">
        <v>15</v>
      </c>
      <c r="B8" s="32">
        <v>0.1</v>
      </c>
      <c r="C8" s="5">
        <f>B8/B$11</f>
        <v>0.16666666666666669</v>
      </c>
      <c r="D8" s="6">
        <f>C8/C$8</f>
        <v>1</v>
      </c>
      <c r="G8" s="39" t="s">
        <v>36</v>
      </c>
      <c r="H8" s="39"/>
      <c r="I8" s="39"/>
      <c r="J8" s="39"/>
      <c r="M8" s="2"/>
      <c r="N8" s="2"/>
      <c r="O8" s="2"/>
      <c r="P8" s="2"/>
      <c r="Q8" s="2"/>
      <c r="R8" s="2"/>
      <c r="S8" s="2"/>
      <c r="T8" s="2"/>
    </row>
    <row r="9" spans="1:20" x14ac:dyDescent="0.25">
      <c r="A9" s="13" t="s">
        <v>16</v>
      </c>
      <c r="B9" s="32">
        <v>0</v>
      </c>
      <c r="C9" s="5">
        <f>B9/B$11</f>
        <v>0</v>
      </c>
      <c r="D9" s="6">
        <f>C9/C$8</f>
        <v>0</v>
      </c>
      <c r="G9" s="40" t="s">
        <v>37</v>
      </c>
      <c r="H9" s="40"/>
      <c r="I9" s="40"/>
      <c r="J9" s="40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13" t="s">
        <v>2</v>
      </c>
      <c r="B10" s="32">
        <v>0.5</v>
      </c>
      <c r="C10" s="5">
        <f>B10/B$11</f>
        <v>0.83333333333333337</v>
      </c>
      <c r="D10" s="6">
        <f>C10/C$8</f>
        <v>5</v>
      </c>
      <c r="G10" s="2"/>
      <c r="H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1" t="s">
        <v>7</v>
      </c>
      <c r="B11" s="7">
        <f>SUM(B8:B10)</f>
        <v>0.6</v>
      </c>
      <c r="C11" s="8">
        <f>SUM(C8:C10)</f>
        <v>1</v>
      </c>
      <c r="D11" s="7" t="s">
        <v>3</v>
      </c>
      <c r="G11" s="2"/>
      <c r="H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G12" s="2"/>
      <c r="H12" s="2"/>
      <c r="I12" s="3" t="s">
        <v>0</v>
      </c>
      <c r="J12" s="35">
        <v>0.95</v>
      </c>
      <c r="M12" s="2"/>
      <c r="N12" s="2"/>
      <c r="O12" s="2"/>
      <c r="P12" s="2"/>
      <c r="Q12" s="2"/>
      <c r="R12" s="2"/>
      <c r="S12" s="2"/>
      <c r="T12" s="2"/>
    </row>
    <row r="13" spans="1:20" x14ac:dyDescent="0.25">
      <c r="G13" s="2"/>
      <c r="H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G14" s="2"/>
      <c r="H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5.75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B26" s="14" t="s">
        <v>43</v>
      </c>
      <c r="C26" s="15"/>
      <c r="D26" s="15"/>
      <c r="E26" s="15"/>
      <c r="F26" s="15"/>
      <c r="G26" s="16"/>
      <c r="H26" s="14" t="s">
        <v>42</v>
      </c>
      <c r="I26" s="15"/>
      <c r="J26" s="15"/>
      <c r="K26" s="19"/>
      <c r="L26" s="19"/>
      <c r="M26" s="20"/>
      <c r="N26" s="14" t="s">
        <v>44</v>
      </c>
      <c r="O26" s="15"/>
      <c r="P26" s="15"/>
      <c r="Q26" s="19"/>
      <c r="R26" s="19"/>
      <c r="S26" s="20"/>
      <c r="T26" s="2"/>
    </row>
    <row r="27" spans="1:20" x14ac:dyDescent="0.25">
      <c r="A27" s="21" t="s">
        <v>0</v>
      </c>
      <c r="B27" s="17" t="s">
        <v>19</v>
      </c>
      <c r="C27" s="10" t="s">
        <v>20</v>
      </c>
      <c r="D27" s="10" t="s">
        <v>18</v>
      </c>
      <c r="E27" s="21" t="s">
        <v>22</v>
      </c>
      <c r="F27" s="10" t="s">
        <v>21</v>
      </c>
      <c r="G27" s="18" t="s">
        <v>39</v>
      </c>
      <c r="H27" s="17" t="s">
        <v>19</v>
      </c>
      <c r="I27" s="10" t="s">
        <v>20</v>
      </c>
      <c r="J27" s="10" t="s">
        <v>18</v>
      </c>
      <c r="K27" s="21" t="s">
        <v>22</v>
      </c>
      <c r="L27" s="10" t="s">
        <v>21</v>
      </c>
      <c r="M27" s="18" t="s">
        <v>39</v>
      </c>
      <c r="N27" s="17" t="s">
        <v>19</v>
      </c>
      <c r="O27" s="10" t="s">
        <v>20</v>
      </c>
      <c r="P27" s="10" t="s">
        <v>18</v>
      </c>
      <c r="Q27" s="21" t="s">
        <v>22</v>
      </c>
      <c r="R27" s="10" t="s">
        <v>21</v>
      </c>
      <c r="S27" s="18" t="s">
        <v>39</v>
      </c>
      <c r="T27" s="29" t="s">
        <v>46</v>
      </c>
    </row>
    <row r="28" spans="1:20" x14ac:dyDescent="0.25">
      <c r="A28" s="27">
        <v>0</v>
      </c>
      <c r="B28" s="25">
        <f>$B$8*(1-$A28)/(1+e*$A28)</f>
        <v>0.1</v>
      </c>
      <c r="C28" s="5">
        <f t="shared" ref="C28:C48" si="0">$B$8*($D$9+$A28)/(1+e*$A28)</f>
        <v>0</v>
      </c>
      <c r="D28" s="5">
        <f t="shared" ref="D28:D48" si="1">$B$8*($D$10)/(1+e*$A28)</f>
        <v>0.5</v>
      </c>
      <c r="E28" s="22">
        <f t="shared" ref="E28:E48" si="2">k*B28/(1+Ka*B28+Kb*C28)</f>
        <v>6.3604561696325624E-5</v>
      </c>
      <c r="F28" s="23">
        <v>0</v>
      </c>
      <c r="G28" s="24">
        <f t="shared" ref="G28:G48" si="3">(1-alpha*F28)^0.5</f>
        <v>1</v>
      </c>
      <c r="H28" s="25">
        <f t="shared" ref="H28:H48" si="4">$B$8*G28*(1-$A28)/(1+e*$A28)</f>
        <v>0.1</v>
      </c>
      <c r="I28" s="5">
        <f t="shared" ref="I28:I48" si="5">$B$8*G28*($D$9+$A28)/(1+e*$A28)</f>
        <v>0</v>
      </c>
      <c r="J28" s="5">
        <f t="shared" ref="J28:J48" si="6">$B$8*G28*($D$10)/(1+e*$A28)</f>
        <v>0.5</v>
      </c>
      <c r="K28" s="22">
        <f t="shared" ref="K28:K48" si="7">k*H28/(1+Ka*H28+Kb*I28)</f>
        <v>6.3604561696325624E-5</v>
      </c>
      <c r="L28" s="23">
        <v>0</v>
      </c>
      <c r="M28" s="28">
        <f t="shared" ref="M28:M48" si="8">(1-alpha*L28)^0.5</f>
        <v>1</v>
      </c>
      <c r="N28" s="25">
        <f t="shared" ref="N28:N48" si="9">$B$8*M28*(1-$A28)/(1+e*$A28)</f>
        <v>0.1</v>
      </c>
      <c r="O28" s="5">
        <f t="shared" ref="O28:O48" si="10">$B$8*M28*($D$9+$A28)/(1+e*$A28)</f>
        <v>0</v>
      </c>
      <c r="P28" s="5">
        <f t="shared" ref="P28:P48" si="11">$B$8*M28*($D$10)/(1+e*$A28)</f>
        <v>0.5</v>
      </c>
      <c r="Q28" s="22">
        <f t="shared" ref="Q28:Q48" si="12">k*N28/(1+Ka*N28+Kb*O28)</f>
        <v>6.3604561696325624E-5</v>
      </c>
      <c r="R28" s="9">
        <v>0</v>
      </c>
      <c r="S28" s="26">
        <f t="shared" ref="S28:S48" si="13">(1-alpha*R28)^0.5</f>
        <v>1</v>
      </c>
      <c r="T28" s="30">
        <f t="shared" ref="T28:T48" si="14">Po*S28</f>
        <v>0.6</v>
      </c>
    </row>
    <row r="29" spans="1:20" x14ac:dyDescent="0.25">
      <c r="A29" s="27">
        <f>$J$12/20+A28</f>
        <v>4.7500000000000001E-2</v>
      </c>
      <c r="B29" s="25">
        <f t="shared" ref="B29:B48" si="15">$B$8*(1-$A29)/(1+e*$A29)</f>
        <v>9.5250000000000001E-2</v>
      </c>
      <c r="C29" s="5">
        <f t="shared" si="0"/>
        <v>4.7500000000000007E-3</v>
      </c>
      <c r="D29" s="5">
        <f t="shared" si="1"/>
        <v>0.5</v>
      </c>
      <c r="E29" s="22">
        <f t="shared" si="2"/>
        <v>6.0672409342722097E-5</v>
      </c>
      <c r="F29" s="23">
        <f t="shared" ref="F29:F48" si="16">F28+$B$8*($A29-$A28)*(1/E29+1/E28)/2</f>
        <v>76.484735321626758</v>
      </c>
      <c r="G29" s="24">
        <f t="shared" si="3"/>
        <v>0.9980860500146862</v>
      </c>
      <c r="H29" s="25">
        <f t="shared" si="4"/>
        <v>9.5067696263898868E-2</v>
      </c>
      <c r="I29" s="5">
        <f t="shared" si="5"/>
        <v>4.7409087375697599E-3</v>
      </c>
      <c r="J29" s="5">
        <f t="shared" si="6"/>
        <v>0.4990430250073431</v>
      </c>
      <c r="K29" s="22">
        <f t="shared" si="7"/>
        <v>6.0570283307253258E-5</v>
      </c>
      <c r="L29" s="23">
        <f t="shared" ref="L29:L48" si="17">L28+$B$8*($A29-$A28)*(1/K29+1/K28)/2</f>
        <v>76.550736127824464</v>
      </c>
      <c r="M29" s="28">
        <f t="shared" si="8"/>
        <v>0.99808439682905015</v>
      </c>
      <c r="N29" s="25">
        <f t="shared" si="9"/>
        <v>9.5067538797967033E-2</v>
      </c>
      <c r="O29" s="5">
        <f t="shared" si="10"/>
        <v>4.7409008849379885E-3</v>
      </c>
      <c r="P29" s="5">
        <f t="shared" si="11"/>
        <v>0.49904219841452513</v>
      </c>
      <c r="Q29" s="22">
        <f t="shared" si="12"/>
        <v>6.0570195074876931E-5</v>
      </c>
      <c r="R29" s="9">
        <f t="shared" ref="R29:R48" si="18">R28+$B$8*($A29-$A28)*(1/Q29+1/Q28)/2</f>
        <v>76.550793245827165</v>
      </c>
      <c r="S29" s="26">
        <f t="shared" si="13"/>
        <v>0.99808439539835947</v>
      </c>
      <c r="T29" s="30">
        <f t="shared" si="14"/>
        <v>0.59885063723901566</v>
      </c>
    </row>
    <row r="30" spans="1:20" x14ac:dyDescent="0.25">
      <c r="A30" s="27">
        <f t="shared" ref="A30:A48" si="19">$J$12/20+A29</f>
        <v>9.5000000000000001E-2</v>
      </c>
      <c r="B30" s="25">
        <f t="shared" si="15"/>
        <v>9.0500000000000011E-2</v>
      </c>
      <c r="C30" s="5">
        <f t="shared" si="0"/>
        <v>9.5000000000000015E-3</v>
      </c>
      <c r="D30" s="5">
        <f t="shared" si="1"/>
        <v>0.5</v>
      </c>
      <c r="E30" s="22">
        <f t="shared" si="2"/>
        <v>5.7731623109254901E-5</v>
      </c>
      <c r="F30" s="23">
        <f t="shared" si="16"/>
        <v>156.76801359468357</v>
      </c>
      <c r="G30" s="24">
        <f t="shared" si="3"/>
        <v>0.99607308934649263</v>
      </c>
      <c r="H30" s="25">
        <f t="shared" si="4"/>
        <v>9.0144614585857583E-2</v>
      </c>
      <c r="I30" s="5">
        <f t="shared" si="5"/>
        <v>9.4626943487916802E-3</v>
      </c>
      <c r="J30" s="5">
        <f t="shared" si="6"/>
        <v>0.49803654467324632</v>
      </c>
      <c r="K30" s="22">
        <f t="shared" si="7"/>
        <v>5.753190301926308E-5</v>
      </c>
      <c r="L30" s="23">
        <f t="shared" si="17"/>
        <v>157.04282660147788</v>
      </c>
      <c r="M30" s="28">
        <f t="shared" si="8"/>
        <v>0.99606619191192614</v>
      </c>
      <c r="N30" s="25">
        <f t="shared" si="9"/>
        <v>9.0143990368029323E-2</v>
      </c>
      <c r="O30" s="5">
        <f t="shared" si="10"/>
        <v>9.4626288231632986E-3</v>
      </c>
      <c r="P30" s="5">
        <f t="shared" si="11"/>
        <v>0.49803309595596312</v>
      </c>
      <c r="Q30" s="22">
        <f t="shared" si="12"/>
        <v>5.7531552055365033E-5</v>
      </c>
      <c r="R30" s="9">
        <f t="shared" si="18"/>
        <v>157.04319266966559</v>
      </c>
      <c r="S30" s="26">
        <f t="shared" si="13"/>
        <v>0.99606618272407821</v>
      </c>
      <c r="T30" s="30">
        <f t="shared" si="14"/>
        <v>0.5976397096344469</v>
      </c>
    </row>
    <row r="31" spans="1:20" x14ac:dyDescent="0.25">
      <c r="A31" s="27">
        <f t="shared" si="19"/>
        <v>0.14250000000000002</v>
      </c>
      <c r="B31" s="25">
        <f t="shared" si="15"/>
        <v>8.5749999999999993E-2</v>
      </c>
      <c r="C31" s="5">
        <f t="shared" si="0"/>
        <v>1.4250000000000002E-2</v>
      </c>
      <c r="D31" s="5">
        <f t="shared" si="1"/>
        <v>0.5</v>
      </c>
      <c r="E31" s="22">
        <f t="shared" si="2"/>
        <v>5.478216480531339E-5</v>
      </c>
      <c r="F31" s="23">
        <f t="shared" si="16"/>
        <v>241.26017151824647</v>
      </c>
      <c r="G31" s="24">
        <f t="shared" si="3"/>
        <v>0.9939501956456811</v>
      </c>
      <c r="H31" s="25">
        <f t="shared" si="4"/>
        <v>8.5231229276617151E-2</v>
      </c>
      <c r="I31" s="5">
        <f t="shared" si="5"/>
        <v>1.4163790287950957E-2</v>
      </c>
      <c r="J31" s="5">
        <f t="shared" si="6"/>
        <v>0.49697509782284055</v>
      </c>
      <c r="K31" s="22">
        <f t="shared" si="7"/>
        <v>5.4489692909619913E-5</v>
      </c>
      <c r="L31" s="23">
        <f t="shared" si="17"/>
        <v>241.91049475152928</v>
      </c>
      <c r="M31" s="28">
        <f t="shared" si="8"/>
        <v>0.99393383847337824</v>
      </c>
      <c r="N31" s="25">
        <f t="shared" si="9"/>
        <v>8.5229826649092177E-2</v>
      </c>
      <c r="O31" s="5">
        <f t="shared" si="10"/>
        <v>1.4163557198245642E-2</v>
      </c>
      <c r="P31" s="5">
        <f t="shared" si="11"/>
        <v>0.49696691923668912</v>
      </c>
      <c r="Q31" s="22">
        <f t="shared" si="12"/>
        <v>5.4488901570883803E-5</v>
      </c>
      <c r="R31" s="9">
        <f t="shared" si="18"/>
        <v>241.91174565177607</v>
      </c>
      <c r="S31" s="26">
        <f t="shared" si="13"/>
        <v>0.99393380701000977</v>
      </c>
      <c r="T31" s="30">
        <f t="shared" si="14"/>
        <v>0.59636028420600584</v>
      </c>
    </row>
    <row r="32" spans="1:20" x14ac:dyDescent="0.25">
      <c r="A32" s="27">
        <f t="shared" si="19"/>
        <v>0.19</v>
      </c>
      <c r="B32" s="25">
        <f t="shared" si="15"/>
        <v>8.1000000000000016E-2</v>
      </c>
      <c r="C32" s="5">
        <f t="shared" si="0"/>
        <v>1.9000000000000003E-2</v>
      </c>
      <c r="D32" s="5">
        <f t="shared" si="1"/>
        <v>0.5</v>
      </c>
      <c r="E32" s="22">
        <f t="shared" si="2"/>
        <v>5.1823996014714202E-5</v>
      </c>
      <c r="F32" s="23">
        <f t="shared" si="16"/>
        <v>330.44188864110572</v>
      </c>
      <c r="G32" s="24">
        <f t="shared" si="3"/>
        <v>0.99170454550130238</v>
      </c>
      <c r="H32" s="25">
        <f t="shared" si="4"/>
        <v>8.0328068185605492E-2</v>
      </c>
      <c r="I32" s="5">
        <f t="shared" si="5"/>
        <v>1.8842386364524746E-2</v>
      </c>
      <c r="J32" s="5">
        <f t="shared" si="6"/>
        <v>0.49585227275065119</v>
      </c>
      <c r="K32" s="22">
        <f t="shared" si="7"/>
        <v>5.1443958776515092E-5</v>
      </c>
      <c r="L32" s="23">
        <f t="shared" si="17"/>
        <v>331.66346200858197</v>
      </c>
      <c r="M32" s="28">
        <f t="shared" si="8"/>
        <v>0.9916737502321874</v>
      </c>
      <c r="N32" s="25">
        <f t="shared" si="9"/>
        <v>8.0325573768807196E-2</v>
      </c>
      <c r="O32" s="5">
        <f t="shared" si="10"/>
        <v>1.8841801254411563E-2</v>
      </c>
      <c r="P32" s="5">
        <f t="shared" si="11"/>
        <v>0.49583687511609376</v>
      </c>
      <c r="Q32" s="22">
        <f t="shared" si="12"/>
        <v>5.1442546587866534E-5</v>
      </c>
      <c r="R32" s="9">
        <f t="shared" si="18"/>
        <v>331.66661326722647</v>
      </c>
      <c r="S32" s="26">
        <f t="shared" si="13"/>
        <v>0.9916736707892565</v>
      </c>
      <c r="T32" s="30">
        <f t="shared" si="14"/>
        <v>0.5950042024735539</v>
      </c>
    </row>
    <row r="33" spans="1:20" x14ac:dyDescent="0.25">
      <c r="A33" s="27">
        <f t="shared" si="19"/>
        <v>0.23749999999999999</v>
      </c>
      <c r="B33" s="25">
        <f t="shared" si="15"/>
        <v>7.6249999999999998E-2</v>
      </c>
      <c r="C33" s="5">
        <f t="shared" si="0"/>
        <v>2.375E-2</v>
      </c>
      <c r="D33" s="5">
        <f t="shared" si="1"/>
        <v>0.5</v>
      </c>
      <c r="E33" s="22">
        <f t="shared" si="2"/>
        <v>4.8857078094033122E-5</v>
      </c>
      <c r="F33" s="23">
        <f t="shared" si="16"/>
        <v>424.8812554257446</v>
      </c>
      <c r="G33" s="24">
        <f t="shared" si="3"/>
        <v>0.98932094753356592</v>
      </c>
      <c r="H33" s="25">
        <f t="shared" si="4"/>
        <v>7.54357222494344E-2</v>
      </c>
      <c r="I33" s="5">
        <f t="shared" si="5"/>
        <v>2.349637250392219E-2</v>
      </c>
      <c r="J33" s="5">
        <f t="shared" si="6"/>
        <v>0.49466047376678302</v>
      </c>
      <c r="K33" s="22">
        <f t="shared" si="7"/>
        <v>4.8395046071044495E-5</v>
      </c>
      <c r="L33" s="23">
        <f t="shared" si="17"/>
        <v>426.90547552660928</v>
      </c>
      <c r="M33" s="28">
        <f t="shared" si="8"/>
        <v>0.98926979445633012</v>
      </c>
      <c r="N33" s="25">
        <f t="shared" si="9"/>
        <v>7.5431821827295173E-2</v>
      </c>
      <c r="O33" s="5">
        <f t="shared" si="10"/>
        <v>2.3495157618337838E-2</v>
      </c>
      <c r="P33" s="5">
        <f t="shared" si="11"/>
        <v>0.49463489722816506</v>
      </c>
      <c r="Q33" s="22">
        <f t="shared" si="12"/>
        <v>4.8392830172336108E-5</v>
      </c>
      <c r="R33" s="9">
        <f t="shared" si="18"/>
        <v>426.91214129132089</v>
      </c>
      <c r="S33" s="26">
        <f t="shared" si="13"/>
        <v>0.98926962600467727</v>
      </c>
      <c r="T33" s="30">
        <f t="shared" si="14"/>
        <v>0.59356177560280632</v>
      </c>
    </row>
    <row r="34" spans="1:20" x14ac:dyDescent="0.25">
      <c r="A34" s="27">
        <f t="shared" si="19"/>
        <v>0.28499999999999998</v>
      </c>
      <c r="B34" s="25">
        <f t="shared" si="15"/>
        <v>7.1500000000000008E-2</v>
      </c>
      <c r="C34" s="5">
        <f t="shared" si="0"/>
        <v>2.8499999999999998E-2</v>
      </c>
      <c r="D34" s="5">
        <f t="shared" si="1"/>
        <v>0.5</v>
      </c>
      <c r="E34" s="22">
        <f t="shared" si="2"/>
        <v>4.5881372170922603E-5</v>
      </c>
      <c r="F34" s="23">
        <f t="shared" si="16"/>
        <v>525.25635798012229</v>
      </c>
      <c r="G34" s="24">
        <f t="shared" si="3"/>
        <v>0.98678122301804772</v>
      </c>
      <c r="H34" s="25">
        <f t="shared" si="4"/>
        <v>7.0554857445790431E-2</v>
      </c>
      <c r="I34" s="5">
        <f t="shared" si="5"/>
        <v>2.8123264856014362E-2</v>
      </c>
      <c r="J34" s="5">
        <f t="shared" si="6"/>
        <v>0.49339061150902391</v>
      </c>
      <c r="K34" s="22">
        <f t="shared" si="7"/>
        <v>4.534334731041177E-5</v>
      </c>
      <c r="L34" s="23">
        <f t="shared" si="17"/>
        <v>528.35888223877657</v>
      </c>
      <c r="M34" s="28">
        <f t="shared" si="8"/>
        <v>0.98670261775676926</v>
      </c>
      <c r="N34" s="25">
        <f t="shared" si="9"/>
        <v>7.0549237169609022E-2</v>
      </c>
      <c r="O34" s="5">
        <f t="shared" si="10"/>
        <v>2.8121024606067923E-2</v>
      </c>
      <c r="P34" s="5">
        <f t="shared" si="11"/>
        <v>0.49335130887838469</v>
      </c>
      <c r="Q34" s="22">
        <f t="shared" si="12"/>
        <v>4.5340143086243933E-5</v>
      </c>
      <c r="R34" s="9">
        <f t="shared" si="18"/>
        <v>528.37149675577052</v>
      </c>
      <c r="S34" s="26">
        <f t="shared" si="13"/>
        <v>0.98670229814377719</v>
      </c>
      <c r="T34" s="30">
        <f t="shared" si="14"/>
        <v>0.59202137888626627</v>
      </c>
    </row>
    <row r="35" spans="1:20" x14ac:dyDescent="0.25">
      <c r="A35" s="27">
        <f t="shared" si="19"/>
        <v>0.33249999999999996</v>
      </c>
      <c r="B35" s="25">
        <f t="shared" si="15"/>
        <v>6.6750000000000004E-2</v>
      </c>
      <c r="C35" s="5">
        <f t="shared" si="0"/>
        <v>3.3249999999999995E-2</v>
      </c>
      <c r="D35" s="5">
        <f t="shared" si="1"/>
        <v>0.5</v>
      </c>
      <c r="E35" s="22">
        <f t="shared" si="2"/>
        <v>4.2896839142413959E-5</v>
      </c>
      <c r="F35" s="23">
        <f t="shared" si="16"/>
        <v>632.38566965056896</v>
      </c>
      <c r="G35" s="24">
        <f t="shared" si="3"/>
        <v>0.98406337017362433</v>
      </c>
      <c r="H35" s="25">
        <f t="shared" si="4"/>
        <v>6.5686229959089432E-2</v>
      </c>
      <c r="I35" s="5">
        <f t="shared" si="5"/>
        <v>3.272010705827301E-2</v>
      </c>
      <c r="J35" s="5">
        <f t="shared" si="6"/>
        <v>0.49203168508681222</v>
      </c>
      <c r="K35" s="22">
        <f t="shared" si="7"/>
        <v>4.2289311466597882E-5</v>
      </c>
      <c r="L35" s="23">
        <f t="shared" si="17"/>
        <v>636.8977810020159</v>
      </c>
      <c r="M35" s="28">
        <f t="shared" si="8"/>
        <v>0.98394873390329596</v>
      </c>
      <c r="N35" s="25">
        <f t="shared" si="9"/>
        <v>6.5678577988045009E-2</v>
      </c>
      <c r="O35" s="5">
        <f t="shared" si="10"/>
        <v>3.2716295402284587E-2</v>
      </c>
      <c r="P35" s="5">
        <f t="shared" si="11"/>
        <v>0.49197436695164798</v>
      </c>
      <c r="Q35" s="22">
        <f t="shared" si="12"/>
        <v>4.2284933428692024E-5</v>
      </c>
      <c r="R35" s="9">
        <f t="shared" si="18"/>
        <v>636.91991181776177</v>
      </c>
      <c r="S35" s="26">
        <f t="shared" si="13"/>
        <v>0.98394817160717973</v>
      </c>
      <c r="T35" s="30">
        <f t="shared" si="14"/>
        <v>0.59036890296430777</v>
      </c>
    </row>
    <row r="36" spans="1:20" x14ac:dyDescent="0.25">
      <c r="A36" s="27">
        <f t="shared" si="19"/>
        <v>0.37999999999999995</v>
      </c>
      <c r="B36" s="25">
        <f t="shared" si="15"/>
        <v>6.2000000000000013E-2</v>
      </c>
      <c r="C36" s="5">
        <f t="shared" si="0"/>
        <v>3.7999999999999999E-2</v>
      </c>
      <c r="D36" s="5">
        <f t="shared" si="1"/>
        <v>0.5</v>
      </c>
      <c r="E36" s="22">
        <f t="shared" si="2"/>
        <v>3.990343967320459E-5</v>
      </c>
      <c r="F36" s="23">
        <f t="shared" si="16"/>
        <v>747.26973289115824</v>
      </c>
      <c r="G36" s="24">
        <f t="shared" si="3"/>
        <v>0.98114041469885549</v>
      </c>
      <c r="H36" s="25">
        <f t="shared" si="4"/>
        <v>6.0830705711329057E-2</v>
      </c>
      <c r="I36" s="5">
        <f t="shared" si="5"/>
        <v>3.728333575855651E-2</v>
      </c>
      <c r="J36" s="5">
        <f t="shared" si="6"/>
        <v>0.4905702073494278</v>
      </c>
      <c r="K36" s="22">
        <f t="shared" si="7"/>
        <v>3.9233456036891615E-5</v>
      </c>
      <c r="L36" s="23">
        <f t="shared" si="17"/>
        <v>753.5936138404893</v>
      </c>
      <c r="M36" s="28">
        <f t="shared" si="8"/>
        <v>0.98097926548320868</v>
      </c>
      <c r="N36" s="25">
        <f t="shared" si="9"/>
        <v>6.0820714459958951E-2</v>
      </c>
      <c r="O36" s="5">
        <f t="shared" si="10"/>
        <v>3.7277212088361926E-2</v>
      </c>
      <c r="P36" s="5">
        <f t="shared" si="11"/>
        <v>0.4904896327416044</v>
      </c>
      <c r="Q36" s="22">
        <f t="shared" si="12"/>
        <v>3.9227719059378381E-5</v>
      </c>
      <c r="R36" s="9">
        <f t="shared" si="18"/>
        <v>753.63041248631339</v>
      </c>
      <c r="S36" s="26">
        <f t="shared" si="13"/>
        <v>0.98097832767889648</v>
      </c>
      <c r="T36" s="30">
        <f t="shared" si="14"/>
        <v>0.58858699660733782</v>
      </c>
    </row>
    <row r="37" spans="1:20" x14ac:dyDescent="0.25">
      <c r="A37" s="27">
        <f t="shared" si="19"/>
        <v>0.42749999999999994</v>
      </c>
      <c r="B37" s="25">
        <f t="shared" si="15"/>
        <v>5.7250000000000002E-2</v>
      </c>
      <c r="C37" s="5">
        <f t="shared" si="0"/>
        <v>4.2749999999999996E-2</v>
      </c>
      <c r="D37" s="5">
        <f t="shared" si="1"/>
        <v>0.5</v>
      </c>
      <c r="E37" s="22">
        <f t="shared" si="2"/>
        <v>3.690113419392979E-5</v>
      </c>
      <c r="F37" s="23">
        <f t="shared" si="16"/>
        <v>871.1495768321887</v>
      </c>
      <c r="G37" s="24">
        <f t="shared" si="3"/>
        <v>0.97797879381834785</v>
      </c>
      <c r="H37" s="25">
        <f t="shared" si="4"/>
        <v>5.598928594610042E-2</v>
      </c>
      <c r="I37" s="5">
        <f t="shared" si="5"/>
        <v>4.1808593435734363E-2</v>
      </c>
      <c r="J37" s="5">
        <f t="shared" si="6"/>
        <v>0.48898939690917398</v>
      </c>
      <c r="K37" s="22">
        <f t="shared" si="7"/>
        <v>3.6176382829235402E-5</v>
      </c>
      <c r="L37" s="23">
        <f t="shared" si="17"/>
        <v>879.77924941148001</v>
      </c>
      <c r="M37" s="28">
        <f t="shared" si="8"/>
        <v>0.97775816924709247</v>
      </c>
      <c r="N37" s="25">
        <f t="shared" si="9"/>
        <v>5.5976655189396048E-2</v>
      </c>
      <c r="O37" s="5">
        <f t="shared" si="10"/>
        <v>4.1799161735313201E-2</v>
      </c>
      <c r="P37" s="5">
        <f t="shared" si="11"/>
        <v>0.48887908462354629</v>
      </c>
      <c r="Q37" s="22">
        <f t="shared" si="12"/>
        <v>3.6169103884898715E-5</v>
      </c>
      <c r="R37" s="9">
        <f t="shared" si="18"/>
        <v>879.83811321032397</v>
      </c>
      <c r="S37" s="26">
        <f t="shared" si="13"/>
        <v>0.97775666417543983</v>
      </c>
      <c r="T37" s="30">
        <f t="shared" si="14"/>
        <v>0.5866539985052639</v>
      </c>
    </row>
    <row r="38" spans="1:20" x14ac:dyDescent="0.25">
      <c r="A38" s="27">
        <f t="shared" si="19"/>
        <v>0.47499999999999992</v>
      </c>
      <c r="B38" s="25">
        <f t="shared" si="15"/>
        <v>5.2500000000000019E-2</v>
      </c>
      <c r="C38" s="5">
        <f t="shared" si="0"/>
        <v>4.7499999999999994E-2</v>
      </c>
      <c r="D38" s="5">
        <f t="shared" si="1"/>
        <v>0.5</v>
      </c>
      <c r="E38" s="22">
        <f t="shared" si="2"/>
        <v>3.3889882899419339E-5</v>
      </c>
      <c r="F38" s="23">
        <f t="shared" si="16"/>
        <v>1005.5906538639848</v>
      </c>
      <c r="G38" s="24">
        <f t="shared" si="3"/>
        <v>0.97453602668490436</v>
      </c>
      <c r="H38" s="25">
        <f t="shared" si="4"/>
        <v>5.1163141400957499E-2</v>
      </c>
      <c r="I38" s="5">
        <f t="shared" si="5"/>
        <v>4.6290461267532952E-2</v>
      </c>
      <c r="J38" s="5">
        <f t="shared" si="6"/>
        <v>0.48726801334245223</v>
      </c>
      <c r="K38" s="22">
        <f t="shared" si="7"/>
        <v>3.3118799012667238E-5</v>
      </c>
      <c r="L38" s="23">
        <f t="shared" si="17"/>
        <v>1017.1413527544894</v>
      </c>
      <c r="M38" s="28">
        <f t="shared" si="8"/>
        <v>0.97423966885067637</v>
      </c>
      <c r="N38" s="25">
        <f t="shared" si="9"/>
        <v>5.1147582614660528E-2</v>
      </c>
      <c r="O38" s="5">
        <f t="shared" si="10"/>
        <v>4.6276384270407124E-2</v>
      </c>
      <c r="P38" s="5">
        <f t="shared" si="11"/>
        <v>0.48711983442533824</v>
      </c>
      <c r="Q38" s="22">
        <f t="shared" si="12"/>
        <v>3.3109799633608288E-5</v>
      </c>
      <c r="R38" s="9">
        <f t="shared" si="18"/>
        <v>1017.2329200597205</v>
      </c>
      <c r="S38" s="26">
        <f t="shared" si="13"/>
        <v>0.97423731913585299</v>
      </c>
      <c r="T38" s="30">
        <f t="shared" si="14"/>
        <v>0.58454239148151177</v>
      </c>
    </row>
    <row r="39" spans="1:20" x14ac:dyDescent="0.25">
      <c r="A39" s="27">
        <f t="shared" si="19"/>
        <v>0.52249999999999996</v>
      </c>
      <c r="B39" s="25">
        <f t="shared" si="15"/>
        <v>4.7750000000000008E-2</v>
      </c>
      <c r="C39" s="5">
        <f t="shared" si="0"/>
        <v>5.2249999999999998E-2</v>
      </c>
      <c r="D39" s="5">
        <f t="shared" si="1"/>
        <v>0.5</v>
      </c>
      <c r="E39" s="22">
        <f t="shared" si="2"/>
        <v>3.0869645746938145E-5</v>
      </c>
      <c r="F39" s="23">
        <f t="shared" si="16"/>
        <v>1152.6069845450891</v>
      </c>
      <c r="G39" s="24">
        <f t="shared" si="3"/>
        <v>0.97075725635853249</v>
      </c>
      <c r="H39" s="25">
        <f t="shared" si="4"/>
        <v>4.6353658991119935E-2</v>
      </c>
      <c r="I39" s="5">
        <f t="shared" si="5"/>
        <v>5.0722066644733325E-2</v>
      </c>
      <c r="J39" s="5">
        <f t="shared" si="6"/>
        <v>0.4853786281792663</v>
      </c>
      <c r="K39" s="22">
        <f t="shared" si="7"/>
        <v>3.0061545830099346E-5</v>
      </c>
      <c r="L39" s="23">
        <f t="shared" si="17"/>
        <v>1167.8574769057093</v>
      </c>
      <c r="M39" s="28">
        <f t="shared" si="8"/>
        <v>0.97036442955969615</v>
      </c>
      <c r="N39" s="25">
        <f t="shared" si="9"/>
        <v>4.6334901511475499E-2</v>
      </c>
      <c r="O39" s="5">
        <f t="shared" si="10"/>
        <v>5.0701541444494125E-2</v>
      </c>
      <c r="P39" s="5">
        <f t="shared" si="11"/>
        <v>0.48518221477984813</v>
      </c>
      <c r="Q39" s="22">
        <f t="shared" si="12"/>
        <v>3.0050655639249199E-5</v>
      </c>
      <c r="R39" s="9">
        <f t="shared" si="18"/>
        <v>1167.9971665241408</v>
      </c>
      <c r="S39" s="26">
        <f t="shared" si="13"/>
        <v>0.97036083065723178</v>
      </c>
      <c r="T39" s="30">
        <f t="shared" si="14"/>
        <v>0.58221649839433909</v>
      </c>
    </row>
    <row r="40" spans="1:20" x14ac:dyDescent="0.25">
      <c r="A40" s="27">
        <f t="shared" si="19"/>
        <v>0.56999999999999995</v>
      </c>
      <c r="B40" s="25">
        <f t="shared" si="15"/>
        <v>4.300000000000001E-2</v>
      </c>
      <c r="C40" s="5">
        <f t="shared" si="0"/>
        <v>5.6999999999999995E-2</v>
      </c>
      <c r="D40" s="5">
        <f t="shared" si="1"/>
        <v>0.5</v>
      </c>
      <c r="E40" s="22">
        <f t="shared" si="2"/>
        <v>2.7840382454411515E-5</v>
      </c>
      <c r="F40" s="23">
        <f t="shared" si="16"/>
        <v>1314.8511396826459</v>
      </c>
      <c r="G40" s="24">
        <f t="shared" si="3"/>
        <v>0.96656993695017623</v>
      </c>
      <c r="H40" s="25">
        <f t="shared" si="4"/>
        <v>4.1562507288857582E-2</v>
      </c>
      <c r="I40" s="5">
        <f t="shared" si="5"/>
        <v>5.5094486406160041E-2</v>
      </c>
      <c r="J40" s="5">
        <f t="shared" si="6"/>
        <v>0.48328496847508812</v>
      </c>
      <c r="K40" s="22">
        <f t="shared" si="7"/>
        <v>2.7005638811155412E-5</v>
      </c>
      <c r="L40" s="23">
        <f t="shared" si="17"/>
        <v>1334.8066596632648</v>
      </c>
      <c r="M40" s="28">
        <f t="shared" si="8"/>
        <v>0.96605365638603979</v>
      </c>
      <c r="N40" s="25">
        <f t="shared" si="9"/>
        <v>4.1540307224599719E-2</v>
      </c>
      <c r="O40" s="5">
        <f t="shared" si="10"/>
        <v>5.5065058414004268E-2</v>
      </c>
      <c r="P40" s="5">
        <f t="shared" si="11"/>
        <v>0.48302682819301995</v>
      </c>
      <c r="Q40" s="22">
        <f t="shared" si="12"/>
        <v>2.6992700678670776E-5</v>
      </c>
      <c r="R40" s="9">
        <f t="shared" si="18"/>
        <v>1335.0171336806245</v>
      </c>
      <c r="S40" s="26">
        <f t="shared" si="13"/>
        <v>0.96604820962308535</v>
      </c>
      <c r="T40" s="30">
        <f t="shared" si="14"/>
        <v>0.57962892577385117</v>
      </c>
    </row>
    <row r="41" spans="1:20" x14ac:dyDescent="0.25">
      <c r="A41" s="27">
        <f t="shared" si="19"/>
        <v>0.61749999999999994</v>
      </c>
      <c r="B41" s="25">
        <f t="shared" si="15"/>
        <v>3.8250000000000006E-2</v>
      </c>
      <c r="C41" s="5">
        <f t="shared" si="0"/>
        <v>6.1749999999999999E-2</v>
      </c>
      <c r="D41" s="5">
        <f t="shared" si="1"/>
        <v>0.5</v>
      </c>
      <c r="E41" s="22">
        <f t="shared" si="2"/>
        <v>2.4802052498634113E-5</v>
      </c>
      <c r="F41" s="23">
        <f t="shared" si="16"/>
        <v>1495.9170796940034</v>
      </c>
      <c r="G41" s="24">
        <f t="shared" si="3"/>
        <v>0.96187532768820916</v>
      </c>
      <c r="H41" s="25">
        <f t="shared" si="4"/>
        <v>3.6791731284074009E-2</v>
      </c>
      <c r="I41" s="5">
        <f t="shared" si="5"/>
        <v>5.9395801484746907E-2</v>
      </c>
      <c r="J41" s="5">
        <f t="shared" si="6"/>
        <v>0.48093766384410458</v>
      </c>
      <c r="K41" s="22">
        <f t="shared" si="7"/>
        <v>2.3952325884516858E-5</v>
      </c>
      <c r="L41" s="23">
        <f t="shared" si="17"/>
        <v>1521.9065533956423</v>
      </c>
      <c r="M41" s="28">
        <f t="shared" si="8"/>
        <v>0.96119960067106658</v>
      </c>
      <c r="N41" s="25">
        <f t="shared" si="9"/>
        <v>3.6765884725668302E-2</v>
      </c>
      <c r="O41" s="5">
        <f t="shared" si="10"/>
        <v>5.9354075341438356E-2</v>
      </c>
      <c r="P41" s="5">
        <f t="shared" si="11"/>
        <v>0.48059980033553329</v>
      </c>
      <c r="Q41" s="22">
        <f t="shared" si="12"/>
        <v>2.3937203628201938E-5</v>
      </c>
      <c r="R41" s="9">
        <f t="shared" si="18"/>
        <v>1522.2218220488182</v>
      </c>
      <c r="S41" s="26">
        <f t="shared" si="13"/>
        <v>0.96119140076134635</v>
      </c>
      <c r="T41" s="30">
        <f t="shared" si="14"/>
        <v>0.57671484045680776</v>
      </c>
    </row>
    <row r="42" spans="1:20" x14ac:dyDescent="0.25">
      <c r="A42" s="27">
        <f t="shared" si="19"/>
        <v>0.66499999999999992</v>
      </c>
      <c r="B42" s="25">
        <f t="shared" si="15"/>
        <v>3.3500000000000009E-2</v>
      </c>
      <c r="C42" s="5">
        <f t="shared" si="0"/>
        <v>6.649999999999999E-2</v>
      </c>
      <c r="D42" s="5">
        <f t="shared" si="1"/>
        <v>0.5</v>
      </c>
      <c r="E42" s="22">
        <f t="shared" si="2"/>
        <v>2.175461511346307E-5</v>
      </c>
      <c r="F42" s="23">
        <f t="shared" si="16"/>
        <v>1700.847520719205</v>
      </c>
      <c r="G42" s="24">
        <f t="shared" si="3"/>
        <v>0.9565341729201523</v>
      </c>
      <c r="H42" s="25">
        <f t="shared" si="4"/>
        <v>3.2043894792825114E-2</v>
      </c>
      <c r="I42" s="5">
        <f t="shared" si="5"/>
        <v>6.3609522499190121E-2</v>
      </c>
      <c r="J42" s="5">
        <f t="shared" si="6"/>
        <v>0.47826708646007621</v>
      </c>
      <c r="K42" s="22">
        <f t="shared" si="7"/>
        <v>2.090317459316487E-5</v>
      </c>
      <c r="L42" s="23">
        <f t="shared" si="17"/>
        <v>1734.6809564711116</v>
      </c>
      <c r="M42" s="28">
        <f t="shared" si="8"/>
        <v>0.95564949232260066</v>
      </c>
      <c r="N42" s="25">
        <f t="shared" si="9"/>
        <v>3.2014257992807132E-2</v>
      </c>
      <c r="O42" s="5">
        <f t="shared" si="10"/>
        <v>6.3550691239452936E-2</v>
      </c>
      <c r="P42" s="5">
        <f t="shared" si="11"/>
        <v>0.47782474616130033</v>
      </c>
      <c r="Q42" s="22">
        <f t="shared" si="12"/>
        <v>2.0885764815895373E-5</v>
      </c>
      <c r="R42" s="9">
        <f t="shared" si="18"/>
        <v>1735.1535758275313</v>
      </c>
      <c r="S42" s="26">
        <f t="shared" si="13"/>
        <v>0.95563712841675608</v>
      </c>
      <c r="T42" s="30">
        <f t="shared" si="14"/>
        <v>0.57338227705005362</v>
      </c>
    </row>
    <row r="43" spans="1:20" x14ac:dyDescent="0.25">
      <c r="A43" s="27">
        <f t="shared" si="19"/>
        <v>0.71249999999999991</v>
      </c>
      <c r="B43" s="25">
        <f t="shared" si="15"/>
        <v>2.8750000000000012E-2</v>
      </c>
      <c r="C43" s="5">
        <f t="shared" si="0"/>
        <v>7.1249999999999994E-2</v>
      </c>
      <c r="D43" s="5">
        <f t="shared" si="1"/>
        <v>0.5</v>
      </c>
      <c r="E43" s="22">
        <f t="shared" si="2"/>
        <v>1.8698029287994684E-5</v>
      </c>
      <c r="F43" s="23">
        <f t="shared" si="16"/>
        <v>1937.0384914043711</v>
      </c>
      <c r="G43" s="24">
        <f t="shared" si="3"/>
        <v>0.95034103111976675</v>
      </c>
      <c r="H43" s="25">
        <f t="shared" si="4"/>
        <v>2.7322304644693304E-2</v>
      </c>
      <c r="I43" s="5">
        <f t="shared" si="5"/>
        <v>6.7711798467283382E-2</v>
      </c>
      <c r="J43" s="5">
        <f t="shared" si="6"/>
        <v>0.47517051555988343</v>
      </c>
      <c r="K43" s="22">
        <f t="shared" si="7"/>
        <v>1.7860209221832525E-5</v>
      </c>
      <c r="L43" s="23">
        <f t="shared" si="17"/>
        <v>1981.277227637325</v>
      </c>
      <c r="M43" s="28">
        <f t="shared" si="8"/>
        <v>0.94917655819037883</v>
      </c>
      <c r="N43" s="25">
        <f t="shared" si="9"/>
        <v>2.7288826047973398E-2</v>
      </c>
      <c r="O43" s="5">
        <f t="shared" si="10"/>
        <v>6.7628829771064478E-2</v>
      </c>
      <c r="P43" s="5">
        <f t="shared" si="11"/>
        <v>0.47458827909518941</v>
      </c>
      <c r="Q43" s="22">
        <f t="shared" si="12"/>
        <v>1.7840460196348746E-5</v>
      </c>
      <c r="R43" s="9">
        <f t="shared" si="18"/>
        <v>1981.9917596458945</v>
      </c>
      <c r="S43" s="26">
        <f t="shared" si="13"/>
        <v>0.94915773821726035</v>
      </c>
      <c r="T43" s="30">
        <f t="shared" si="14"/>
        <v>0.56949464293035623</v>
      </c>
    </row>
    <row r="44" spans="1:20" x14ac:dyDescent="0.25">
      <c r="A44" s="27">
        <f t="shared" si="19"/>
        <v>0.7599999999999999</v>
      </c>
      <c r="B44" s="25">
        <f t="shared" si="15"/>
        <v>2.4000000000000011E-2</v>
      </c>
      <c r="C44" s="5">
        <f t="shared" si="0"/>
        <v>7.5999999999999998E-2</v>
      </c>
      <c r="D44" s="5">
        <f t="shared" si="1"/>
        <v>0.5</v>
      </c>
      <c r="E44" s="22">
        <f t="shared" si="2"/>
        <v>1.5632253764724754E-5</v>
      </c>
      <c r="F44" s="23">
        <f t="shared" si="16"/>
        <v>2215.9866930726744</v>
      </c>
      <c r="G44" s="24">
        <f t="shared" si="3"/>
        <v>0.9429743715214991</v>
      </c>
      <c r="H44" s="25">
        <f t="shared" si="4"/>
        <v>2.2631384916515989E-2</v>
      </c>
      <c r="I44" s="5">
        <f t="shared" si="5"/>
        <v>7.1666052235633923E-2</v>
      </c>
      <c r="J44" s="5">
        <f t="shared" si="6"/>
        <v>0.47148718576074955</v>
      </c>
      <c r="K44" s="22">
        <f t="shared" si="7"/>
        <v>1.4826139441727872E-5</v>
      </c>
      <c r="L44" s="23">
        <f t="shared" si="17"/>
        <v>2274.4444420278824</v>
      </c>
      <c r="M44" s="28">
        <f t="shared" si="8"/>
        <v>0.9414232724437005</v>
      </c>
      <c r="N44" s="25">
        <f t="shared" si="9"/>
        <v>2.2594158538648823E-2</v>
      </c>
      <c r="O44" s="5">
        <f t="shared" si="10"/>
        <v>7.1548168705721227E-2</v>
      </c>
      <c r="P44" s="5">
        <f t="shared" si="11"/>
        <v>0.47071163622185025</v>
      </c>
      <c r="Q44" s="22">
        <f t="shared" si="12"/>
        <v>1.480408271444675E-5</v>
      </c>
      <c r="R44" s="9">
        <f t="shared" si="18"/>
        <v>2275.544845546231</v>
      </c>
      <c r="S44" s="26">
        <f t="shared" si="13"/>
        <v>0.94139405018445299</v>
      </c>
      <c r="T44" s="30">
        <f t="shared" si="14"/>
        <v>0.56483643011067175</v>
      </c>
    </row>
    <row r="45" spans="1:20" x14ac:dyDescent="0.25">
      <c r="A45" s="27">
        <f t="shared" si="19"/>
        <v>0.80749999999999988</v>
      </c>
      <c r="B45" s="25">
        <f t="shared" si="15"/>
        <v>1.9250000000000014E-2</v>
      </c>
      <c r="C45" s="5">
        <f t="shared" si="0"/>
        <v>8.0749999999999988E-2</v>
      </c>
      <c r="D45" s="5">
        <f t="shared" si="1"/>
        <v>0.5</v>
      </c>
      <c r="E45" s="22">
        <f t="shared" si="2"/>
        <v>1.2557247037692266E-5</v>
      </c>
      <c r="F45" s="23">
        <f t="shared" si="16"/>
        <v>2557.0499731562318</v>
      </c>
      <c r="G45" s="24">
        <f t="shared" si="3"/>
        <v>0.93388837734613039</v>
      </c>
      <c r="H45" s="25">
        <f t="shared" si="4"/>
        <v>1.7977351263913022E-2</v>
      </c>
      <c r="I45" s="5">
        <f t="shared" si="5"/>
        <v>7.541148647070002E-2</v>
      </c>
      <c r="J45" s="5">
        <f t="shared" si="6"/>
        <v>0.4669441886730652</v>
      </c>
      <c r="K45" s="22">
        <f t="shared" si="7"/>
        <v>1.1804771888720654E-5</v>
      </c>
      <c r="L45" s="23">
        <f t="shared" si="17"/>
        <v>2635.8243165900467</v>
      </c>
      <c r="M45" s="28">
        <f t="shared" si="8"/>
        <v>0.93177721810017311</v>
      </c>
      <c r="N45" s="25">
        <f t="shared" si="9"/>
        <v>1.7936711448428344E-2</v>
      </c>
      <c r="O45" s="5">
        <f t="shared" si="10"/>
        <v>7.5241010361588978E-2</v>
      </c>
      <c r="P45" s="5">
        <f t="shared" si="11"/>
        <v>0.46588860905008661</v>
      </c>
      <c r="Q45" s="22">
        <f t="shared" si="12"/>
        <v>1.1780578570783123E-5</v>
      </c>
      <c r="R45" s="9">
        <f t="shared" si="18"/>
        <v>2637.5765643615946</v>
      </c>
      <c r="S45" s="26">
        <f t="shared" si="13"/>
        <v>0.93173020332171275</v>
      </c>
      <c r="T45" s="30">
        <f t="shared" si="14"/>
        <v>0.5590381219930276</v>
      </c>
    </row>
    <row r="46" spans="1:20" x14ac:dyDescent="0.25">
      <c r="A46" s="27">
        <f t="shared" si="19"/>
        <v>0.85499999999999987</v>
      </c>
      <c r="B46" s="25">
        <f t="shared" si="15"/>
        <v>1.4500000000000013E-2</v>
      </c>
      <c r="C46" s="5">
        <f t="shared" si="0"/>
        <v>8.5499999999999993E-2</v>
      </c>
      <c r="D46" s="5">
        <f t="shared" si="1"/>
        <v>0.5</v>
      </c>
      <c r="E46" s="22">
        <f t="shared" si="2"/>
        <v>9.4729673506062462E-6</v>
      </c>
      <c r="F46" s="23">
        <f t="shared" si="16"/>
        <v>2996.8972006835888</v>
      </c>
      <c r="G46" s="24">
        <f t="shared" si="3"/>
        <v>0.9220385783500713</v>
      </c>
      <c r="H46" s="25">
        <f t="shared" si="4"/>
        <v>1.3369559386076046E-2</v>
      </c>
      <c r="I46" s="5">
        <f t="shared" si="5"/>
        <v>7.8834298448931084E-2</v>
      </c>
      <c r="J46" s="5">
        <f t="shared" si="6"/>
        <v>0.46101928917503565</v>
      </c>
      <c r="K46" s="22">
        <f t="shared" si="7"/>
        <v>8.8018324773734087E-6</v>
      </c>
      <c r="L46" s="23">
        <f t="shared" si="17"/>
        <v>3106.8443176608857</v>
      </c>
      <c r="M46" s="28">
        <f t="shared" si="8"/>
        <v>0.91905265579125317</v>
      </c>
      <c r="N46" s="25">
        <f t="shared" si="9"/>
        <v>1.3326263508973183E-2</v>
      </c>
      <c r="O46" s="5">
        <f t="shared" si="10"/>
        <v>7.8579002070152129E-2</v>
      </c>
      <c r="P46" s="5">
        <f t="shared" si="11"/>
        <v>0.45952632789562659</v>
      </c>
      <c r="Q46" s="22">
        <f t="shared" si="12"/>
        <v>8.77592202967057E-6</v>
      </c>
      <c r="R46" s="9">
        <f t="shared" si="18"/>
        <v>3109.8064005701699</v>
      </c>
      <c r="S46" s="26">
        <f t="shared" si="13"/>
        <v>0.91897207790633739</v>
      </c>
      <c r="T46" s="30">
        <f t="shared" si="14"/>
        <v>0.55138324674380246</v>
      </c>
    </row>
    <row r="47" spans="1:20" x14ac:dyDescent="0.25">
      <c r="A47" s="27">
        <f t="shared" si="19"/>
        <v>0.90249999999999986</v>
      </c>
      <c r="B47" s="25">
        <f t="shared" si="15"/>
        <v>9.7500000000000156E-3</v>
      </c>
      <c r="C47" s="5">
        <f t="shared" si="0"/>
        <v>9.0249999999999997E-2</v>
      </c>
      <c r="D47" s="5">
        <f t="shared" si="1"/>
        <v>0.5</v>
      </c>
      <c r="E47" s="22">
        <f t="shared" si="2"/>
        <v>6.3793726949557214E-6</v>
      </c>
      <c r="F47" s="23">
        <f t="shared" si="16"/>
        <v>3619.9042748200286</v>
      </c>
      <c r="G47" s="24">
        <f t="shared" si="3"/>
        <v>0.9049888321183851</v>
      </c>
      <c r="H47" s="25">
        <f t="shared" si="4"/>
        <v>8.8236411131542691E-3</v>
      </c>
      <c r="I47" s="5">
        <f t="shared" si="5"/>
        <v>8.167524209868425E-2</v>
      </c>
      <c r="J47" s="5">
        <f t="shared" si="6"/>
        <v>0.45249441605919261</v>
      </c>
      <c r="K47" s="22">
        <f t="shared" si="7"/>
        <v>5.8268772787759872E-6</v>
      </c>
      <c r="L47" s="23">
        <f t="shared" si="17"/>
        <v>3784.2684555850378</v>
      </c>
      <c r="M47" s="28">
        <f t="shared" si="8"/>
        <v>0.90043688130859456</v>
      </c>
      <c r="N47" s="25">
        <f t="shared" si="9"/>
        <v>8.7792595927588101E-3</v>
      </c>
      <c r="O47" s="5">
        <f t="shared" si="10"/>
        <v>8.1264428538100647E-2</v>
      </c>
      <c r="P47" s="5">
        <f t="shared" si="11"/>
        <v>0.45021844065429728</v>
      </c>
      <c r="Q47" s="22">
        <f t="shared" si="12"/>
        <v>5.8001497050764498E-6</v>
      </c>
      <c r="R47" s="9">
        <f t="shared" si="18"/>
        <v>3789.9054248612138</v>
      </c>
      <c r="S47" s="26">
        <f t="shared" si="13"/>
        <v>0.90028036119696586</v>
      </c>
      <c r="T47" s="30">
        <f t="shared" si="14"/>
        <v>0.54016821671817949</v>
      </c>
    </row>
    <row r="48" spans="1:20" x14ac:dyDescent="0.25">
      <c r="A48" s="27">
        <f t="shared" si="19"/>
        <v>0.94999999999999984</v>
      </c>
      <c r="B48" s="25">
        <f t="shared" si="15"/>
        <v>5.0000000000000157E-3</v>
      </c>
      <c r="C48" s="5">
        <f t="shared" si="0"/>
        <v>9.4999999999999987E-2</v>
      </c>
      <c r="D48" s="5">
        <f t="shared" si="1"/>
        <v>0.5</v>
      </c>
      <c r="E48" s="22">
        <f t="shared" si="2"/>
        <v>3.2764208081024598E-6</v>
      </c>
      <c r="F48" s="23">
        <f t="shared" si="16"/>
        <v>4717.0742966867047</v>
      </c>
      <c r="G48" s="24">
        <f t="shared" si="3"/>
        <v>0.87415461170531195</v>
      </c>
      <c r="H48" s="25">
        <f t="shared" si="4"/>
        <v>4.3707730585265739E-3</v>
      </c>
      <c r="I48" s="5">
        <f t="shared" si="5"/>
        <v>8.3044688112004633E-2</v>
      </c>
      <c r="J48" s="5">
        <f t="shared" si="6"/>
        <v>0.43707730585265603</v>
      </c>
      <c r="K48" s="22">
        <f t="shared" si="7"/>
        <v>2.8989314747256264E-6</v>
      </c>
      <c r="L48" s="23">
        <f t="shared" si="17"/>
        <v>5011.129800282707</v>
      </c>
      <c r="M48" s="28">
        <f t="shared" si="8"/>
        <v>0.86570405450469312</v>
      </c>
      <c r="N48" s="25">
        <f t="shared" si="9"/>
        <v>4.3285202725234792E-3</v>
      </c>
      <c r="O48" s="5">
        <f t="shared" si="10"/>
        <v>8.2241885177945839E-2</v>
      </c>
      <c r="P48" s="5">
        <f t="shared" si="11"/>
        <v>0.43285202725234662</v>
      </c>
      <c r="Q48" s="22">
        <f t="shared" si="12"/>
        <v>2.8732536889638022E-6</v>
      </c>
      <c r="R48" s="9">
        <f t="shared" si="18"/>
        <v>5025.9666515686913</v>
      </c>
      <c r="S48" s="26">
        <f t="shared" si="13"/>
        <v>0.86527548643282703</v>
      </c>
      <c r="T48" s="30">
        <f t="shared" si="14"/>
        <v>0.51916529185969618</v>
      </c>
    </row>
  </sheetData>
  <sheetProtection algorithmName="SHA-512" hashValue="HADAZdf1osAyJR5+ewrrh/GoBwN1Cu7jbzfO87kubjve5YhLtFhwWPbtKymLvdyy7ptoHLsFu9CDuLjvGG4kJw==" saltValue="PpI/E+HpCqJoLJgs0eUlgw==" spinCount="100000" sheet="1" objects="1" scenarios="1"/>
  <mergeCells count="4">
    <mergeCell ref="B2:C2"/>
    <mergeCell ref="G7:J7"/>
    <mergeCell ref="G8:J8"/>
    <mergeCell ref="G9:J9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B2:L4"/>
  <sheetViews>
    <sheetView showGridLines="0" workbookViewId="0">
      <selection activeCell="P11" sqref="P11"/>
    </sheetView>
  </sheetViews>
  <sheetFormatPr defaultRowHeight="15" x14ac:dyDescent="0.25"/>
  <cols>
    <col min="1" max="1" width="9.140625" customWidth="1"/>
  </cols>
  <sheetData>
    <row r="2" spans="2:12" x14ac:dyDescent="0.25">
      <c r="B2" s="44" t="s">
        <v>47</v>
      </c>
      <c r="C2" s="45"/>
      <c r="D2" s="45"/>
      <c r="E2" s="45"/>
      <c r="F2" s="46"/>
    </row>
    <row r="3" spans="2:12" ht="15.75" thickBot="1" x14ac:dyDescent="0.3"/>
    <row r="4" spans="2:12" ht="15.75" thickBot="1" x14ac:dyDescent="0.3">
      <c r="C4" s="41" t="s">
        <v>45</v>
      </c>
      <c r="D4" s="42"/>
      <c r="E4" s="43"/>
      <c r="H4" s="11"/>
      <c r="I4" s="11"/>
      <c r="J4" s="11"/>
      <c r="K4" s="11"/>
      <c r="L4" s="11"/>
    </row>
  </sheetData>
  <sheetProtection algorithmName="SHA-512" hashValue="LS03I0GJ8kZaRmvyQ46vkZgd/wE179+CTCPeOUgANk/z7SX28mslzVlCfHk9oM0leKcwPJ8W8tS7KDK3ZrWTog==" saltValue="5efzaVulVQ950V1t7Kwtfg==" spinCount="100000" sheet="1" objects="1" scenarios="1"/>
  <mergeCells count="2">
    <mergeCell ref="C4:E4"/>
    <mergeCell ref="B2:F2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B2:E5"/>
  <sheetViews>
    <sheetView showGridLines="0" workbookViewId="0">
      <selection activeCell="H19" sqref="H19"/>
    </sheetView>
  </sheetViews>
  <sheetFormatPr defaultRowHeight="15" x14ac:dyDescent="0.25"/>
  <sheetData>
    <row r="2" spans="2:5" ht="15.75" thickBot="1" x14ac:dyDescent="0.3"/>
    <row r="3" spans="2:5" x14ac:dyDescent="0.25">
      <c r="B3" s="47" t="s">
        <v>48</v>
      </c>
      <c r="C3" s="48"/>
      <c r="D3" s="48"/>
      <c r="E3" s="49"/>
    </row>
    <row r="4" spans="2:5" x14ac:dyDescent="0.25">
      <c r="B4" s="50" t="s">
        <v>49</v>
      </c>
      <c r="C4" s="51" t="s">
        <v>50</v>
      </c>
      <c r="D4" s="51"/>
      <c r="E4" s="52"/>
    </row>
    <row r="5" spans="2:5" ht="15.75" thickBot="1" x14ac:dyDescent="0.3">
      <c r="B5" s="53" t="s">
        <v>51</v>
      </c>
      <c r="C5" s="54">
        <v>2017</v>
      </c>
      <c r="D5" s="55"/>
      <c r="E5" s="56"/>
    </row>
  </sheetData>
  <sheetProtection algorithmName="SHA-512" hashValue="qM1nm1Wx3t6vojzoiK7CL8DHDIQiUVYo72MotQbmeK+DSwR/OnT2MGXWvauQIOtOLR/08SFUvwelRbGHRIdtHA==" saltValue="SWX+d6wIdJ8D3NFLgyyBQQ==" spinCount="100000" sheet="1" objects="1" scenarios="1"/>
  <mergeCells count="1">
    <mergeCell ref="B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15</vt:i4>
      </vt:variant>
    </vt:vector>
  </HeadingPairs>
  <TitlesOfParts>
    <vt:vector size="18" baseType="lpstr">
      <vt:lpstr>PBR</vt:lpstr>
      <vt:lpstr>Graphs</vt:lpstr>
      <vt:lpstr>Credits</vt:lpstr>
      <vt:lpstr>alpha</vt:lpstr>
      <vt:lpstr>delta</vt:lpstr>
      <vt:lpstr>e</vt:lpstr>
      <vt:lpstr>Ea</vt:lpstr>
      <vt:lpstr>k</vt:lpstr>
      <vt:lpstr>Ka</vt:lpstr>
      <vt:lpstr>Kao</vt:lpstr>
      <vt:lpstr>Kb</vt:lpstr>
      <vt:lpstr>Kbo</vt:lpstr>
      <vt:lpstr>ko</vt:lpstr>
      <vt:lpstr>Po</vt:lpstr>
      <vt:lpstr>Qo</vt:lpstr>
      <vt:lpstr>T</vt:lpstr>
      <vt:lpstr>uo</vt:lpstr>
      <vt:lpstr>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2017-03-27T04:12:57Z</dcterms:modified>
</cp:coreProperties>
</file>