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codeName="EstaPastaDeTrabalho" defaultThemeVersion="124226"/>
  <workbookProtection workbookAlgorithmName="SHA-512" workbookHashValue="ScpmBCZXbZNdNlPysbyRmh24529Bpby+v+4ZO+HVbIsMFHoLDEnLc791M7yrNpXVcayaxxX/0ka56oOSxERrxQ==" workbookSaltValue="2jCFfMBAj4fvbULWvf5J4g==" workbookSpinCount="100000" lockStructure="1"/>
  <bookViews>
    <workbookView xWindow="360" yWindow="300" windowWidth="18735" windowHeight="11700"/>
  </bookViews>
  <sheets>
    <sheet name="CSTR" sheetId="5" r:id="rId1"/>
    <sheet name="Graphs" sheetId="10" r:id="rId2"/>
    <sheet name="Credits" sheetId="11" r:id="rId3"/>
  </sheets>
  <externalReferences>
    <externalReference r:id="rId4"/>
    <externalReference r:id="rId5"/>
  </externalReferences>
  <definedNames>
    <definedName name="A.">[2]Operation!$C$3</definedName>
    <definedName name="B.">[2]Operation!$C$4</definedName>
    <definedName name="C.">[2]Operation!$C$5</definedName>
    <definedName name="D.">[2]Equilibrium!$R$3</definedName>
    <definedName name="E.">[2]Equilibrium!$R$4</definedName>
    <definedName name="F.">[2]Equilibrium!$R$5</definedName>
    <definedName name="k" localSheetId="1">[1]Batch!$I$4</definedName>
    <definedName name="k">CSTR!$I$4</definedName>
    <definedName name="k." localSheetId="0">CSTR!#REF!</definedName>
    <definedName name="k." localSheetId="1">[1]PFR!#REF!</definedName>
    <definedName name="k.">#REF!</definedName>
    <definedName name="k.." localSheetId="1">[1]PFR!$I$4</definedName>
    <definedName name="k..">#REF!</definedName>
    <definedName name="k_x.a">[2]Absorption_packed!#REF!</definedName>
    <definedName name="k…">#REF!</definedName>
    <definedName name="L.">[2]Absorption_packed!$B$6</definedName>
    <definedName name="MM.a">[2]Absorption_packed!#REF!</definedName>
    <definedName name="MM.b">[2]Absorption_packed!#REF!</definedName>
    <definedName name="MM.c">[2]Absorption_packed!#REF!</definedName>
    <definedName name="MM_a">[2]Absorption_packed!$E$7</definedName>
    <definedName name="MM_b">[2]Absorption_packed!$E$8</definedName>
    <definedName name="MM_c">[2]Absorption_packed!$E$9</definedName>
    <definedName name="S">[2]Absorption_packed!$E$2</definedName>
    <definedName name="V.">[2]Absorption_packed!$B$2</definedName>
    <definedName name="X" localSheetId="1">[1]Batch!$I$2</definedName>
    <definedName name="X">CSTR!$F$5</definedName>
    <definedName name="X." localSheetId="0">CSTR!#REF!</definedName>
    <definedName name="X." localSheetId="1">[1]PFR!#REF!</definedName>
    <definedName name="X.">#REF!</definedName>
    <definedName name="X.." localSheetId="1">[1]PFR!$I$2</definedName>
    <definedName name="X..">#REF!</definedName>
    <definedName name="X…">#REF!</definedName>
    <definedName name="x1.">[2]Absorption_packed!$B$9</definedName>
    <definedName name="x2.">[2]Absorption_packed!$B$7</definedName>
    <definedName name="Xo">#REF!</definedName>
    <definedName name="Xoo">#REF!</definedName>
    <definedName name="Xooo">#REF!</definedName>
    <definedName name="Xoooo">#REF!</definedName>
    <definedName name="XX">#REF!</definedName>
    <definedName name="y1.">[2]Absorption_packed!$B$3</definedName>
    <definedName name="y2.">[2]Absorption_packed!$B$4</definedName>
  </definedNames>
  <calcPr calcId="171027"/>
</workbook>
</file>

<file path=xl/calcChain.xml><?xml version="1.0" encoding="utf-8"?>
<calcChain xmlns="http://schemas.openxmlformats.org/spreadsheetml/2006/main">
  <c r="A29" i="5" l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G8" i="5" l="1"/>
  <c r="P3" i="5"/>
  <c r="C13" i="5"/>
  <c r="E10" i="5" s="1"/>
  <c r="G12" i="5"/>
  <c r="D12" i="5"/>
  <c r="D11" i="5"/>
  <c r="D10" i="5"/>
  <c r="D9" i="5"/>
  <c r="D8" i="5"/>
  <c r="C4" i="5"/>
  <c r="E8" i="5" l="1"/>
  <c r="C5" i="5" s="1"/>
  <c r="E12" i="5"/>
  <c r="E11" i="5"/>
  <c r="E9" i="5"/>
  <c r="D13" i="5"/>
  <c r="F8" i="5" l="1"/>
  <c r="F9" i="5"/>
  <c r="G9" i="5" s="1"/>
  <c r="F12" i="5"/>
  <c r="F10" i="5"/>
  <c r="G10" i="5" s="1"/>
  <c r="F11" i="5"/>
  <c r="G11" i="5" s="1"/>
  <c r="E13" i="5"/>
  <c r="M4" i="5" l="1"/>
  <c r="F3" i="5" s="1"/>
  <c r="H46" i="5"/>
  <c r="F46" i="5" s="1"/>
  <c r="H32" i="5"/>
  <c r="B32" i="5" s="1"/>
  <c r="H41" i="5"/>
  <c r="C41" i="5" s="1"/>
  <c r="H33" i="5"/>
  <c r="H47" i="5"/>
  <c r="H43" i="5"/>
  <c r="H28" i="5"/>
  <c r="H31" i="5"/>
  <c r="H37" i="5"/>
  <c r="H40" i="5"/>
  <c r="H42" i="5"/>
  <c r="H36" i="5"/>
  <c r="H39" i="5"/>
  <c r="H35" i="5"/>
  <c r="H45" i="5"/>
  <c r="H48" i="5"/>
  <c r="H29" i="5"/>
  <c r="H30" i="5"/>
  <c r="H38" i="5"/>
  <c r="H44" i="5"/>
  <c r="H34" i="5"/>
  <c r="G13" i="5"/>
  <c r="I11" i="5" s="1"/>
  <c r="I4" i="5" l="1"/>
  <c r="C32" i="5"/>
  <c r="C46" i="5"/>
  <c r="I32" i="5"/>
  <c r="E41" i="5"/>
  <c r="D46" i="5"/>
  <c r="B46" i="5"/>
  <c r="F32" i="5"/>
  <c r="E32" i="5"/>
  <c r="I46" i="5"/>
  <c r="E46" i="5"/>
  <c r="D32" i="5"/>
  <c r="B41" i="5"/>
  <c r="D41" i="5"/>
  <c r="F41" i="5"/>
  <c r="I41" i="5"/>
  <c r="Q41" i="5" s="1"/>
  <c r="R41" i="5" s="1"/>
  <c r="D29" i="5"/>
  <c r="E29" i="5"/>
  <c r="F29" i="5"/>
  <c r="I29" i="5"/>
  <c r="C29" i="5"/>
  <c r="B29" i="5"/>
  <c r="D42" i="5"/>
  <c r="F42" i="5"/>
  <c r="I42" i="5"/>
  <c r="C42" i="5"/>
  <c r="E42" i="5"/>
  <c r="B42" i="5"/>
  <c r="B30" i="5"/>
  <c r="I30" i="5"/>
  <c r="E30" i="5"/>
  <c r="D30" i="5"/>
  <c r="C30" i="5"/>
  <c r="F30" i="5"/>
  <c r="B36" i="5"/>
  <c r="E36" i="5"/>
  <c r="I36" i="5"/>
  <c r="D36" i="5"/>
  <c r="F36" i="5"/>
  <c r="C36" i="5"/>
  <c r="D43" i="5"/>
  <c r="C43" i="5"/>
  <c r="E43" i="5"/>
  <c r="F43" i="5"/>
  <c r="I43" i="5"/>
  <c r="B43" i="5"/>
  <c r="D48" i="5"/>
  <c r="I48" i="5"/>
  <c r="E48" i="5"/>
  <c r="B48" i="5"/>
  <c r="F48" i="5"/>
  <c r="C48" i="5"/>
  <c r="F47" i="5"/>
  <c r="C47" i="5"/>
  <c r="I47" i="5"/>
  <c r="E47" i="5"/>
  <c r="B47" i="5"/>
  <c r="D47" i="5"/>
  <c r="D34" i="5"/>
  <c r="E34" i="5"/>
  <c r="B34" i="5"/>
  <c r="F34" i="5"/>
  <c r="C34" i="5"/>
  <c r="I34" i="5"/>
  <c r="E39" i="5"/>
  <c r="C39" i="5"/>
  <c r="F39" i="5"/>
  <c r="I39" i="5"/>
  <c r="B39" i="5"/>
  <c r="D39" i="5"/>
  <c r="E28" i="5"/>
  <c r="D28" i="5"/>
  <c r="F28" i="5"/>
  <c r="C28" i="5"/>
  <c r="B28" i="5"/>
  <c r="I28" i="5"/>
  <c r="F40" i="5"/>
  <c r="D40" i="5"/>
  <c r="E40" i="5"/>
  <c r="I40" i="5"/>
  <c r="B40" i="5"/>
  <c r="C40" i="5"/>
  <c r="E33" i="5"/>
  <c r="D33" i="5"/>
  <c r="F33" i="5"/>
  <c r="B33" i="5"/>
  <c r="I33" i="5"/>
  <c r="C33" i="5"/>
  <c r="I35" i="5"/>
  <c r="E35" i="5"/>
  <c r="F35" i="5"/>
  <c r="C35" i="5"/>
  <c r="D35" i="5"/>
  <c r="B35" i="5"/>
  <c r="B31" i="5"/>
  <c r="E31" i="5"/>
  <c r="D31" i="5"/>
  <c r="F31" i="5"/>
  <c r="C31" i="5"/>
  <c r="I31" i="5"/>
  <c r="D37" i="5"/>
  <c r="I37" i="5"/>
  <c r="B37" i="5"/>
  <c r="E37" i="5"/>
  <c r="C37" i="5"/>
  <c r="F37" i="5"/>
  <c r="E44" i="5"/>
  <c r="F44" i="5"/>
  <c r="I44" i="5"/>
  <c r="C44" i="5"/>
  <c r="B44" i="5"/>
  <c r="D44" i="5"/>
  <c r="D38" i="5"/>
  <c r="B38" i="5"/>
  <c r="C38" i="5"/>
  <c r="I38" i="5"/>
  <c r="E38" i="5"/>
  <c r="F38" i="5"/>
  <c r="D45" i="5"/>
  <c r="I45" i="5"/>
  <c r="C45" i="5"/>
  <c r="E45" i="5"/>
  <c r="F45" i="5"/>
  <c r="B45" i="5"/>
  <c r="I9" i="5"/>
  <c r="I8" i="5"/>
  <c r="I12" i="5"/>
  <c r="I10" i="5"/>
  <c r="S46" i="5" l="1"/>
  <c r="T46" i="5" s="1"/>
  <c r="Q32" i="5"/>
  <c r="R32" i="5" s="1"/>
  <c r="M46" i="5"/>
  <c r="N46" i="5" s="1"/>
  <c r="K46" i="5"/>
  <c r="L46" i="5" s="1"/>
  <c r="O46" i="5"/>
  <c r="P46" i="5" s="1"/>
  <c r="O32" i="5"/>
  <c r="P32" i="5" s="1"/>
  <c r="M41" i="5"/>
  <c r="N41" i="5" s="1"/>
  <c r="S32" i="5"/>
  <c r="T32" i="5" s="1"/>
  <c r="S41" i="5"/>
  <c r="T41" i="5" s="1"/>
  <c r="M32" i="5"/>
  <c r="N32" i="5" s="1"/>
  <c r="K32" i="5"/>
  <c r="L32" i="5" s="1"/>
  <c r="Q46" i="5"/>
  <c r="R46" i="5" s="1"/>
  <c r="K41" i="5"/>
  <c r="L41" i="5" s="1"/>
  <c r="O41" i="5"/>
  <c r="P41" i="5" s="1"/>
  <c r="K42" i="5"/>
  <c r="L42" i="5" s="1"/>
  <c r="Q42" i="5"/>
  <c r="R42" i="5" s="1"/>
  <c r="O42" i="5"/>
  <c r="P42" i="5" s="1"/>
  <c r="M42" i="5"/>
  <c r="N42" i="5" s="1"/>
  <c r="S42" i="5"/>
  <c r="T42" i="5" s="1"/>
  <c r="K35" i="5"/>
  <c r="L35" i="5" s="1"/>
  <c r="Q35" i="5"/>
  <c r="R35" i="5" s="1"/>
  <c r="O35" i="5"/>
  <c r="P35" i="5" s="1"/>
  <c r="S35" i="5"/>
  <c r="T35" i="5" s="1"/>
  <c r="M35" i="5"/>
  <c r="N35" i="5" s="1"/>
  <c r="Q38" i="5"/>
  <c r="R38" i="5" s="1"/>
  <c r="O38" i="5"/>
  <c r="P38" i="5" s="1"/>
  <c r="S38" i="5"/>
  <c r="T38" i="5" s="1"/>
  <c r="M38" i="5"/>
  <c r="N38" i="5" s="1"/>
  <c r="K38" i="5"/>
  <c r="L38" i="5" s="1"/>
  <c r="K31" i="5"/>
  <c r="L31" i="5" s="1"/>
  <c r="S31" i="5"/>
  <c r="T31" i="5" s="1"/>
  <c r="M31" i="5"/>
  <c r="N31" i="5" s="1"/>
  <c r="O31" i="5"/>
  <c r="P31" i="5" s="1"/>
  <c r="Q31" i="5"/>
  <c r="R31" i="5" s="1"/>
  <c r="S45" i="5"/>
  <c r="T45" i="5" s="1"/>
  <c r="K45" i="5"/>
  <c r="L45" i="5" s="1"/>
  <c r="M45" i="5"/>
  <c r="N45" i="5" s="1"/>
  <c r="Q45" i="5"/>
  <c r="R45" i="5" s="1"/>
  <c r="O45" i="5"/>
  <c r="P45" i="5" s="1"/>
  <c r="O36" i="5"/>
  <c r="P36" i="5" s="1"/>
  <c r="Q36" i="5"/>
  <c r="R36" i="5" s="1"/>
  <c r="M36" i="5"/>
  <c r="N36" i="5" s="1"/>
  <c r="S36" i="5"/>
  <c r="T36" i="5" s="1"/>
  <c r="K36" i="5"/>
  <c r="L36" i="5" s="1"/>
  <c r="M47" i="5"/>
  <c r="N47" i="5" s="1"/>
  <c r="K47" i="5"/>
  <c r="L47" i="5" s="1"/>
  <c r="S47" i="5"/>
  <c r="T47" i="5" s="1"/>
  <c r="O47" i="5"/>
  <c r="P47" i="5" s="1"/>
  <c r="Q47" i="5"/>
  <c r="R47" i="5" s="1"/>
  <c r="Q48" i="5"/>
  <c r="R48" i="5" s="1"/>
  <c r="K48" i="5"/>
  <c r="L48" i="5" s="1"/>
  <c r="S48" i="5"/>
  <c r="T48" i="5" s="1"/>
  <c r="O48" i="5"/>
  <c r="P48" i="5" s="1"/>
  <c r="M48" i="5"/>
  <c r="N48" i="5" s="1"/>
  <c r="S29" i="5"/>
  <c r="T29" i="5" s="1"/>
  <c r="Q29" i="5"/>
  <c r="R29" i="5" s="1"/>
  <c r="M29" i="5"/>
  <c r="N29" i="5" s="1"/>
  <c r="K29" i="5"/>
  <c r="L29" i="5" s="1"/>
  <c r="O29" i="5"/>
  <c r="P29" i="5" s="1"/>
  <c r="S44" i="5"/>
  <c r="T44" i="5" s="1"/>
  <c r="Q44" i="5"/>
  <c r="R44" i="5" s="1"/>
  <c r="M44" i="5"/>
  <c r="N44" i="5" s="1"/>
  <c r="O44" i="5"/>
  <c r="P44" i="5" s="1"/>
  <c r="K44" i="5"/>
  <c r="L44" i="5" s="1"/>
  <c r="M30" i="5"/>
  <c r="N30" i="5" s="1"/>
  <c r="S30" i="5"/>
  <c r="T30" i="5" s="1"/>
  <c r="K30" i="5"/>
  <c r="L30" i="5" s="1"/>
  <c r="Q30" i="5"/>
  <c r="R30" i="5" s="1"/>
  <c r="O30" i="5"/>
  <c r="P30" i="5" s="1"/>
  <c r="O40" i="5"/>
  <c r="P40" i="5" s="1"/>
  <c r="S40" i="5"/>
  <c r="T40" i="5" s="1"/>
  <c r="K40" i="5"/>
  <c r="L40" i="5" s="1"/>
  <c r="Q40" i="5"/>
  <c r="R40" i="5" s="1"/>
  <c r="M40" i="5"/>
  <c r="N40" i="5" s="1"/>
  <c r="S34" i="5"/>
  <c r="T34" i="5" s="1"/>
  <c r="M34" i="5"/>
  <c r="N34" i="5" s="1"/>
  <c r="O34" i="5"/>
  <c r="P34" i="5" s="1"/>
  <c r="K34" i="5"/>
  <c r="L34" i="5" s="1"/>
  <c r="Q34" i="5"/>
  <c r="R34" i="5" s="1"/>
  <c r="S37" i="5"/>
  <c r="T37" i="5" s="1"/>
  <c r="K37" i="5"/>
  <c r="L37" i="5" s="1"/>
  <c r="M37" i="5"/>
  <c r="N37" i="5" s="1"/>
  <c r="Q37" i="5"/>
  <c r="R37" i="5" s="1"/>
  <c r="O37" i="5"/>
  <c r="P37" i="5" s="1"/>
  <c r="K43" i="5"/>
  <c r="L43" i="5" s="1"/>
  <c r="Q43" i="5"/>
  <c r="R43" i="5" s="1"/>
  <c r="O43" i="5"/>
  <c r="P43" i="5" s="1"/>
  <c r="S43" i="5"/>
  <c r="T43" i="5" s="1"/>
  <c r="M43" i="5"/>
  <c r="N43" i="5" s="1"/>
  <c r="Q33" i="5"/>
  <c r="R33" i="5" s="1"/>
  <c r="S33" i="5"/>
  <c r="T33" i="5" s="1"/>
  <c r="K33" i="5"/>
  <c r="L33" i="5" s="1"/>
  <c r="M33" i="5"/>
  <c r="N33" i="5" s="1"/>
  <c r="O33" i="5"/>
  <c r="P33" i="5" s="1"/>
  <c r="M28" i="5"/>
  <c r="N28" i="5" s="1"/>
  <c r="K28" i="5"/>
  <c r="L28" i="5" s="1"/>
  <c r="S28" i="5"/>
  <c r="T28" i="5" s="1"/>
  <c r="Q28" i="5"/>
  <c r="R28" i="5" s="1"/>
  <c r="O28" i="5"/>
  <c r="P28" i="5" s="1"/>
  <c r="K39" i="5"/>
  <c r="L39" i="5" s="1"/>
  <c r="M39" i="5"/>
  <c r="N39" i="5" s="1"/>
  <c r="Q39" i="5"/>
  <c r="R39" i="5" s="1"/>
  <c r="O39" i="5"/>
  <c r="P39" i="5" s="1"/>
  <c r="S39" i="5"/>
  <c r="T39" i="5" s="1"/>
  <c r="I13" i="5"/>
  <c r="H10" i="5" l="1"/>
  <c r="H11" i="5"/>
  <c r="H12" i="5"/>
  <c r="H9" i="5"/>
  <c r="H8" i="5"/>
  <c r="F23" i="5" l="1"/>
  <c r="F24" i="5" s="1"/>
  <c r="G23" i="5"/>
  <c r="G24" i="5" s="1"/>
  <c r="D23" i="5"/>
  <c r="D24" i="5" s="1"/>
  <c r="C23" i="5"/>
  <c r="C24" i="5" s="1"/>
  <c r="E23" i="5"/>
  <c r="E24" i="5" s="1"/>
  <c r="H13" i="5"/>
</calcChain>
</file>

<file path=xl/sharedStrings.xml><?xml version="1.0" encoding="utf-8"?>
<sst xmlns="http://schemas.openxmlformats.org/spreadsheetml/2006/main" count="83" uniqueCount="69">
  <si>
    <t>aA+bB -&gt; cC + dD</t>
  </si>
  <si>
    <t>a</t>
  </si>
  <si>
    <t>vi</t>
  </si>
  <si>
    <t>X</t>
  </si>
  <si>
    <t>delta</t>
  </si>
  <si>
    <t>inert</t>
  </si>
  <si>
    <t>-</t>
  </si>
  <si>
    <t>Fio</t>
  </si>
  <si>
    <t>Qo</t>
  </si>
  <si>
    <t>L/h</t>
  </si>
  <si>
    <t>e</t>
  </si>
  <si>
    <t>yio</t>
  </si>
  <si>
    <t>Fi</t>
  </si>
  <si>
    <t>theta_i</t>
  </si>
  <si>
    <t>Ca</t>
  </si>
  <si>
    <t>Cio</t>
  </si>
  <si>
    <t>Ci</t>
  </si>
  <si>
    <t>TOTAL</t>
  </si>
  <si>
    <t>yi</t>
  </si>
  <si>
    <t>Cb</t>
  </si>
  <si>
    <t>Cc</t>
  </si>
  <si>
    <t>Cd</t>
  </si>
  <si>
    <t>Species</t>
  </si>
  <si>
    <t>kCa</t>
  </si>
  <si>
    <t>kCaCb</t>
  </si>
  <si>
    <t>kCb</t>
  </si>
  <si>
    <t>ra (X)</t>
  </si>
  <si>
    <t>ra1</t>
  </si>
  <si>
    <t>ra2</t>
  </si>
  <si>
    <t>ra3</t>
  </si>
  <si>
    <t>ra4</t>
  </si>
  <si>
    <t>ra5</t>
  </si>
  <si>
    <t>V1(X)</t>
  </si>
  <si>
    <t>V2(X)</t>
  </si>
  <si>
    <t>V3(X)</t>
  </si>
  <si>
    <t>V4(X)</t>
  </si>
  <si>
    <t>V5(X)</t>
  </si>
  <si>
    <t>k</t>
  </si>
  <si>
    <t>ko</t>
  </si>
  <si>
    <t>Ea</t>
  </si>
  <si>
    <t>To</t>
  </si>
  <si>
    <t>T</t>
  </si>
  <si>
    <t>K</t>
  </si>
  <si>
    <t>dHrxn</t>
  </si>
  <si>
    <t>Cpi</t>
  </si>
  <si>
    <t>dCp</t>
  </si>
  <si>
    <t>J/mol</t>
  </si>
  <si>
    <t>Tref</t>
  </si>
  <si>
    <t>J/mol.K</t>
  </si>
  <si>
    <t>Cinert</t>
  </si>
  <si>
    <t>Continuous Stirring Tank Reactor</t>
  </si>
  <si>
    <t>U</t>
  </si>
  <si>
    <t>J/m².K</t>
  </si>
  <si>
    <t>m²/m³</t>
  </si>
  <si>
    <t>Ta</t>
  </si>
  <si>
    <t>A</t>
  </si>
  <si>
    <t>B</t>
  </si>
  <si>
    <t>C</t>
  </si>
  <si>
    <t>D</t>
  </si>
  <si>
    <t>kCa²</t>
  </si>
  <si>
    <t>kCb²</t>
  </si>
  <si>
    <t>k (X)</t>
  </si>
  <si>
    <t>Q (X)</t>
  </si>
  <si>
    <t>T (X)</t>
  </si>
  <si>
    <t>V (X)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</si>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</sst>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0" fillId="0" borderId="0" xfId="0" applyFont="1"/>
    <xf numFmtId="0" fontId="3" fillId="6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4" fillId="13" borderId="1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13" borderId="12" xfId="0" applyNumberFormat="1" applyFont="1" applyFill="1" applyBorder="1" applyAlignment="1">
      <alignment horizontal="center"/>
    </xf>
    <xf numFmtId="1" fontId="1" fillId="13" borderId="13" xfId="0" applyNumberFormat="1" applyFont="1" applyFill="1" applyBorder="1" applyAlignment="1">
      <alignment horizontal="center"/>
    </xf>
    <xf numFmtId="0" fontId="0" fillId="4" borderId="6" xfId="0" applyFont="1" applyFill="1" applyBorder="1"/>
    <xf numFmtId="2" fontId="1" fillId="14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2" fontId="1" fillId="2" borderId="1" xfId="0" applyNumberFormat="1" applyFont="1" applyFill="1" applyBorder="1" applyAlignment="1" applyProtection="1">
      <alignment horizontal="center"/>
      <protection locked="0"/>
    </xf>
    <xf numFmtId="164" fontId="1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66" fontId="0" fillId="0" borderId="10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 applyProtection="1">
      <alignment horizontal="center"/>
      <protection locked="0"/>
    </xf>
    <xf numFmtId="0" fontId="0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9" fontId="1" fillId="2" borderId="1" xfId="0" applyNumberFormat="1" applyFont="1" applyFill="1" applyBorder="1" applyAlignment="1" applyProtection="1">
      <alignment horizontal="center"/>
      <protection locked="0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0" fontId="0" fillId="0" borderId="0" xfId="0" applyBorder="1"/>
    <xf numFmtId="0" fontId="0" fillId="0" borderId="19" xfId="0" applyBorder="1"/>
    <xf numFmtId="0" fontId="1" fillId="0" borderId="20" xfId="0" applyFont="1" applyBorder="1"/>
    <xf numFmtId="0" fontId="0" fillId="0" borderId="21" xfId="0" applyBorder="1" applyAlignment="1">
      <alignment horizontal="left"/>
    </xf>
    <xf numFmtId="0" fontId="0" fillId="0" borderId="21" xfId="0" applyBorder="1"/>
    <xf numFmtId="0" fontId="0" fillId="0" borderId="2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Ca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CSTR!$A$28:$A$48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CSTR!$B$28:$B$48</c:f>
              <c:numCache>
                <c:formatCode>0.000</c:formatCode>
                <c:ptCount val="21"/>
                <c:pt idx="0">
                  <c:v>1.000218933137986</c:v>
                </c:pt>
                <c:pt idx="1">
                  <c:v>0.97116359215784254</c:v>
                </c:pt>
                <c:pt idx="2">
                  <c:v>0.94096181698988035</c:v>
                </c:pt>
                <c:pt idx="3">
                  <c:v>0.90954425940210626</c:v>
                </c:pt>
                <c:pt idx="4">
                  <c:v>0.87683584869258602</c:v>
                </c:pt>
                <c:pt idx="5">
                  <c:v>0.84275518702621877</c:v>
                </c:pt>
                <c:pt idx="6">
                  <c:v>0.80721386610842683</c:v>
                </c:pt>
                <c:pt idx="7">
                  <c:v>0.77011569292264903</c:v>
                </c:pt>
                <c:pt idx="8">
                  <c:v>0.73135581000356686</c:v>
                </c:pt>
                <c:pt idx="9">
                  <c:v>0.69081969298134638</c:v>
                </c:pt>
                <c:pt idx="10">
                  <c:v>0.64838200479532682</c:v>
                </c:pt>
                <c:pt idx="11">
                  <c:v>0.6039052818865065</c:v>
                </c:pt>
                <c:pt idx="12">
                  <c:v>0.55723842264075674</c:v>
                </c:pt>
                <c:pt idx="13">
                  <c:v>0.50821494211385077</c:v>
                </c:pt>
                <c:pt idx="14">
                  <c:v>0.45665094929098349</c:v>
                </c:pt>
                <c:pt idx="15">
                  <c:v>0.40234279337582224</c:v>
                </c:pt>
                <c:pt idx="16">
                  <c:v>0.34506431327830589</c:v>
                </c:pt>
                <c:pt idx="17">
                  <c:v>0.28456360878306536</c:v>
                </c:pt>
                <c:pt idx="18">
                  <c:v>0.22055923175120462</c:v>
                </c:pt>
                <c:pt idx="19">
                  <c:v>0.1527356696486423</c:v>
                </c:pt>
                <c:pt idx="20">
                  <c:v>8.0737959625865732E-2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D3-481F-A308-15D4192847C9}"/>
            </c:ext>
          </c:extLst>
        </c:ser>
        <c:ser>
          <c:idx val="1"/>
          <c:order val="1"/>
          <c:tx>
            <c:v>Cb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CSTR!$A$28:$A$48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CSTR!$C$28:$C$48</c:f>
              <c:numCache>
                <c:formatCode>0.000</c:formatCode>
                <c:ptCount val="21"/>
                <c:pt idx="0">
                  <c:v>2.0004378662759721</c:v>
                </c:pt>
                <c:pt idx="1">
                  <c:v>1.9423271843156851</c:v>
                </c:pt>
                <c:pt idx="2">
                  <c:v>1.8819236339797607</c:v>
                </c:pt>
                <c:pt idx="3">
                  <c:v>1.8190885188042125</c:v>
                </c:pt>
                <c:pt idx="4">
                  <c:v>1.753671697385172</c:v>
                </c:pt>
                <c:pt idx="5">
                  <c:v>1.6855103740524375</c:v>
                </c:pt>
                <c:pt idx="6">
                  <c:v>1.6144277322168537</c:v>
                </c:pt>
                <c:pt idx="7">
                  <c:v>1.5402313858452981</c:v>
                </c:pt>
                <c:pt idx="8">
                  <c:v>1.4627116200071337</c:v>
                </c:pt>
                <c:pt idx="9">
                  <c:v>1.3816393859626928</c:v>
                </c:pt>
                <c:pt idx="10">
                  <c:v>1.2967640095906536</c:v>
                </c:pt>
                <c:pt idx="11">
                  <c:v>1.207810563773013</c:v>
                </c:pt>
                <c:pt idx="12">
                  <c:v>1.1144768452815135</c:v>
                </c:pt>
                <c:pt idx="13">
                  <c:v>1.0164298842277015</c:v>
                </c:pt>
                <c:pt idx="14">
                  <c:v>0.91330189858196698</c:v>
                </c:pt>
                <c:pt idx="15">
                  <c:v>0.80468558675164448</c:v>
                </c:pt>
                <c:pt idx="16">
                  <c:v>0.69012862655661178</c:v>
                </c:pt>
                <c:pt idx="17">
                  <c:v>0.56912721756613072</c:v>
                </c:pt>
                <c:pt idx="18">
                  <c:v>0.44111846350240924</c:v>
                </c:pt>
                <c:pt idx="19">
                  <c:v>0.30547133929728459</c:v>
                </c:pt>
                <c:pt idx="20">
                  <c:v>0.16147591925173146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D3-481F-A308-15D4192847C9}"/>
            </c:ext>
          </c:extLst>
        </c:ser>
        <c:ser>
          <c:idx val="2"/>
          <c:order val="2"/>
          <c:tx>
            <c:v>Cc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CSTR!$A$28:$A$48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CSTR!$D$28:$D$48</c:f>
              <c:numCache>
                <c:formatCode>0.000</c:formatCode>
                <c:ptCount val="21"/>
                <c:pt idx="0">
                  <c:v>0</c:v>
                </c:pt>
                <c:pt idx="1">
                  <c:v>4.8430730317582701E-2</c:v>
                </c:pt>
                <c:pt idx="2">
                  <c:v>9.8774997363578601E-2</c:v>
                </c:pt>
                <c:pt idx="3">
                  <c:v>0.15114875447790105</c:v>
                </c:pt>
                <c:pt idx="4">
                  <c:v>0.20567754475505104</c:v>
                </c:pt>
                <c:pt idx="5">
                  <c:v>0.26249751727046161</c:v>
                </c:pt>
                <c:pt idx="6">
                  <c:v>0.32175657600126101</c:v>
                </c:pt>
                <c:pt idx="7">
                  <c:v>0.38361568224236819</c:v>
                </c:pt>
                <c:pt idx="8">
                  <c:v>0.44825033516347629</c:v>
                </c:pt>
                <c:pt idx="9">
                  <c:v>0.51585225982449878</c:v>
                </c:pt>
                <c:pt idx="10">
                  <c:v>0.58663133767196218</c:v>
                </c:pt>
                <c:pt idx="11">
                  <c:v>0.66081782154073221</c:v>
                </c:pt>
                <c:pt idx="12">
                  <c:v>0.73866488582611922</c:v>
                </c:pt>
                <c:pt idx="13">
                  <c:v>0.82045157321647788</c:v>
                </c:pt>
                <c:pt idx="14">
                  <c:v>0.90648621277165353</c:v>
                </c:pt>
                <c:pt idx="15">
                  <c:v>0.99711040097486325</c:v>
                </c:pt>
                <c:pt idx="16">
                  <c:v>1.0927036587146346</c:v>
                </c:pt>
                <c:pt idx="17">
                  <c:v>1.1936889043757148</c:v>
                </c:pt>
                <c:pt idx="18">
                  <c:v>1.3005389182571019</c:v>
                </c:pt>
                <c:pt idx="19">
                  <c:v>1.4137840190553788</c:v>
                </c:pt>
                <c:pt idx="20">
                  <c:v>1.534021232891444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D3-481F-A308-15D4192847C9}"/>
            </c:ext>
          </c:extLst>
        </c:ser>
        <c:ser>
          <c:idx val="3"/>
          <c:order val="3"/>
          <c:tx>
            <c:v>Cd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CSTR!$A$28:$A$48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CSTR!$E$28:$E$48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D3-481F-A308-15D4192847C9}"/>
            </c:ext>
          </c:extLst>
        </c:ser>
        <c:ser>
          <c:idx val="4"/>
          <c:order val="4"/>
          <c:tx>
            <c:v>Cinert</c:v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CSTR!$A$28:$A$48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CSTR!$F$28:$F$48</c:f>
              <c:numCache>
                <c:formatCode>0.000</c:formatCode>
                <c:ptCount val="21"/>
                <c:pt idx="0">
                  <c:v>1.000218933137986</c:v>
                </c:pt>
                <c:pt idx="1">
                  <c:v>1.0195943224754251</c:v>
                </c:pt>
                <c:pt idx="2">
                  <c:v>1.0397368143534591</c:v>
                </c:pt>
                <c:pt idx="3">
                  <c:v>1.0606930138800075</c:v>
                </c:pt>
                <c:pt idx="4">
                  <c:v>1.082513393447637</c:v>
                </c:pt>
                <c:pt idx="5">
                  <c:v>1.1052527042966804</c:v>
                </c:pt>
                <c:pt idx="6">
                  <c:v>1.1289704421096878</c:v>
                </c:pt>
                <c:pt idx="7">
                  <c:v>1.1537313751650173</c:v>
                </c:pt>
                <c:pt idx="8">
                  <c:v>1.179606145167043</c:v>
                </c:pt>
                <c:pt idx="9">
                  <c:v>1.2066719528058454</c:v>
                </c:pt>
                <c:pt idx="10">
                  <c:v>1.2350133424672889</c:v>
                </c:pt>
                <c:pt idx="11">
                  <c:v>1.2647231034272386</c:v>
                </c:pt>
                <c:pt idx="12">
                  <c:v>1.2959033084668758</c:v>
                </c:pt>
                <c:pt idx="13">
                  <c:v>1.3286665153303285</c:v>
                </c:pt>
                <c:pt idx="14">
                  <c:v>1.3631371620626369</c:v>
                </c:pt>
                <c:pt idx="15">
                  <c:v>1.3994531943506856</c:v>
                </c:pt>
                <c:pt idx="16">
                  <c:v>1.4377679719929406</c:v>
                </c:pt>
                <c:pt idx="17">
                  <c:v>1.4782525131587803</c:v>
                </c:pt>
                <c:pt idx="18">
                  <c:v>1.5210981500083065</c:v>
                </c:pt>
                <c:pt idx="19">
                  <c:v>1.5665196887040209</c:v>
                </c:pt>
                <c:pt idx="20">
                  <c:v>1.6147591925173097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D3-481F-A308-15D419284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2432"/>
        <c:axId val="53524352"/>
      </c:scatterChart>
      <c:valAx>
        <c:axId val="53522432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Conversão, 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3524352"/>
        <c:crosses val="autoZero"/>
        <c:crossBetween val="midCat"/>
      </c:valAx>
      <c:valAx>
        <c:axId val="535243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Concentrações, C (mol/L)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3522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158" footer="0.3149606200000015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 (k.Ca)</c:v>
          </c:tx>
          <c:marker>
            <c:symbol val="none"/>
          </c:marker>
          <c:xVal>
            <c:numRef>
              <c:f>CSTR!$A$28:$A$48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CSTR!$L$28:$L$48</c:f>
              <c:numCache>
                <c:formatCode>0.0</c:formatCode>
                <c:ptCount val="21"/>
                <c:pt idx="0">
                  <c:v>0</c:v>
                </c:pt>
                <c:pt idx="1">
                  <c:v>0.48187268728402</c:v>
                </c:pt>
                <c:pt idx="2">
                  <c:v>0.97868245676327292</c:v>
                </c:pt>
                <c:pt idx="3">
                  <c:v>1.4933407029195116</c:v>
                </c:pt>
                <c:pt idx="4">
                  <c:v>2.029468009153089</c:v>
                </c:pt>
                <c:pt idx="5">
                  <c:v>2.5916170004035113</c:v>
                </c:pt>
                <c:pt idx="6">
                  <c:v>3.1855841913460505</c:v>
                </c:pt>
                <c:pt idx="7">
                  <c:v>3.8188551760261222</c:v>
                </c:pt>
                <c:pt idx="8">
                  <c:v>4.5012546856073614</c:v>
                </c:pt>
                <c:pt idx="9">
                  <c:v>5.2459205182899966</c:v>
                </c:pt>
                <c:pt idx="10">
                  <c:v>6.0708064829135635</c:v>
                </c:pt>
                <c:pt idx="11">
                  <c:v>7.0010827528840593</c:v>
                </c:pt>
                <c:pt idx="12">
                  <c:v>8.0731275878659652</c:v>
                </c:pt>
                <c:pt idx="13">
                  <c:v>9.3414938030421197</c:v>
                </c:pt>
                <c:pt idx="14">
                  <c:v>10.891802572503089</c:v>
                </c:pt>
                <c:pt idx="15">
                  <c:v>12.866419700876605</c:v>
                </c:pt>
                <c:pt idx="16">
                  <c:v>15.520623455263433</c:v>
                </c:pt>
                <c:pt idx="17">
                  <c:v>19.361931247611924</c:v>
                </c:pt>
                <c:pt idx="18">
                  <c:v>25.563277059648613</c:v>
                </c:pt>
                <c:pt idx="19">
                  <c:v>37.583940882324505</c:v>
                </c:pt>
                <c:pt idx="20">
                  <c:v>72.029780978346878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7-40FA-8560-A25F55F88A2D}"/>
            </c:ext>
          </c:extLst>
        </c:ser>
        <c:ser>
          <c:idx val="1"/>
          <c:order val="1"/>
          <c:tx>
            <c:v>V (k.Ca²)</c:v>
          </c:tx>
          <c:marker>
            <c:symbol val="none"/>
          </c:marker>
          <c:xVal>
            <c:numRef>
              <c:f>CSTR!$A$28:$A$48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CSTR!$N$28:$N$48</c:f>
              <c:numCache>
                <c:formatCode>0.0</c:formatCode>
                <c:ptCount val="21"/>
                <c:pt idx="0">
                  <c:v>0</c:v>
                </c:pt>
                <c:pt idx="1">
                  <c:v>0.49618075798469752</c:v>
                </c:pt>
                <c:pt idx="2">
                  <c:v>1.0400873224527434</c:v>
                </c:pt>
                <c:pt idx="3">
                  <c:v>1.6418560036882286</c:v>
                </c:pt>
                <c:pt idx="4">
                  <c:v>2.3145358531806672</c:v>
                </c:pt>
                <c:pt idx="5">
                  <c:v>3.0751718177474525</c:v>
                </c:pt>
                <c:pt idx="6">
                  <c:v>3.9463942891661818</c:v>
                </c:pt>
                <c:pt idx="7">
                  <c:v>4.9588071131666842</c:v>
                </c:pt>
                <c:pt idx="8">
                  <c:v>6.1546713980236358</c:v>
                </c:pt>
                <c:pt idx="9">
                  <c:v>7.5937622676191543</c:v>
                </c:pt>
                <c:pt idx="10">
                  <c:v>9.3630089021824716</c:v>
                </c:pt>
                <c:pt idx="11">
                  <c:v>11.593014604895924</c:v>
                </c:pt>
                <c:pt idx="12">
                  <c:v>14.48774395277224</c:v>
                </c:pt>
                <c:pt idx="13">
                  <c:v>18.380990067288163</c:v>
                </c:pt>
                <c:pt idx="14">
                  <c:v>23.851483478604791</c:v>
                </c:pt>
                <c:pt idx="15">
                  <c:v>31.978750241608726</c:v>
                </c:pt>
                <c:pt idx="16">
                  <c:v>44.978929602452205</c:v>
                </c:pt>
                <c:pt idx="17">
                  <c:v>68.040784731445839</c:v>
                </c:pt>
                <c:pt idx="18">
                  <c:v>115.90209512737385</c:v>
                </c:pt>
                <c:pt idx="19">
                  <c:v>246.07179821703554</c:v>
                </c:pt>
                <c:pt idx="20">
                  <c:v>892.14269610141275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07-40FA-8560-A25F55F88A2D}"/>
            </c:ext>
          </c:extLst>
        </c:ser>
        <c:ser>
          <c:idx val="2"/>
          <c:order val="2"/>
          <c:tx>
            <c:v>V (k.Ca.Cb)</c:v>
          </c:tx>
          <c:marker>
            <c:symbol val="none"/>
          </c:marker>
          <c:xVal>
            <c:numRef>
              <c:f>CSTR!$A$28:$A$48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CSTR!$P$28:$P$48</c:f>
              <c:numCache>
                <c:formatCode>0.0</c:formatCode>
                <c:ptCount val="21"/>
                <c:pt idx="0">
                  <c:v>0</c:v>
                </c:pt>
                <c:pt idx="1">
                  <c:v>0.24809037899234879</c:v>
                </c:pt>
                <c:pt idx="2">
                  <c:v>0.52004366122637169</c:v>
                </c:pt>
                <c:pt idx="3">
                  <c:v>0.8209280018441143</c:v>
                </c:pt>
                <c:pt idx="4">
                  <c:v>1.1572679265903336</c:v>
                </c:pt>
                <c:pt idx="5">
                  <c:v>1.5375859088737263</c:v>
                </c:pt>
                <c:pt idx="6">
                  <c:v>1.9731971445830909</c:v>
                </c:pt>
                <c:pt idx="7">
                  <c:v>2.4794035565833421</c:v>
                </c:pt>
                <c:pt idx="8">
                  <c:v>3.0773356990118179</c:v>
                </c:pt>
                <c:pt idx="9">
                  <c:v>3.7968811338095771</c:v>
                </c:pt>
                <c:pt idx="10">
                  <c:v>4.6815044510912358</c:v>
                </c:pt>
                <c:pt idx="11">
                  <c:v>5.7965073024479619</c:v>
                </c:pt>
                <c:pt idx="12">
                  <c:v>7.2438719763861208</c:v>
                </c:pt>
                <c:pt idx="13">
                  <c:v>9.1904950336440816</c:v>
                </c:pt>
                <c:pt idx="14">
                  <c:v>11.925741739302396</c:v>
                </c:pt>
                <c:pt idx="15">
                  <c:v>15.989375120804363</c:v>
                </c:pt>
                <c:pt idx="16">
                  <c:v>22.489464801226102</c:v>
                </c:pt>
                <c:pt idx="17">
                  <c:v>34.020392365722927</c:v>
                </c:pt>
                <c:pt idx="18">
                  <c:v>57.951047563686927</c:v>
                </c:pt>
                <c:pt idx="19">
                  <c:v>123.03589910851777</c:v>
                </c:pt>
                <c:pt idx="20">
                  <c:v>446.07134805070649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07-40FA-8560-A25F55F88A2D}"/>
            </c:ext>
          </c:extLst>
        </c:ser>
        <c:ser>
          <c:idx val="3"/>
          <c:order val="3"/>
          <c:tx>
            <c:v>V (k.Cb)</c:v>
          </c:tx>
          <c:marker>
            <c:symbol val="none"/>
          </c:marker>
          <c:xVal>
            <c:numRef>
              <c:f>CSTR!$A$28:$A$48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CSTR!$R$28:$R$48</c:f>
              <c:numCache>
                <c:formatCode>0.0</c:formatCode>
                <c:ptCount val="21"/>
                <c:pt idx="0">
                  <c:v>0</c:v>
                </c:pt>
                <c:pt idx="1">
                  <c:v>0.24093634364201</c:v>
                </c:pt>
                <c:pt idx="2">
                  <c:v>0.48934122838163646</c:v>
                </c:pt>
                <c:pt idx="3">
                  <c:v>0.7466703514597558</c:v>
                </c:pt>
                <c:pt idx="4">
                  <c:v>1.0147340045765445</c:v>
                </c:pt>
                <c:pt idx="5">
                  <c:v>1.2958085002017556</c:v>
                </c:pt>
                <c:pt idx="6">
                  <c:v>1.5927920956730253</c:v>
                </c:pt>
                <c:pt idx="7">
                  <c:v>1.9094275880130611</c:v>
                </c:pt>
                <c:pt idx="8">
                  <c:v>2.2506273428036807</c:v>
                </c:pt>
                <c:pt idx="9">
                  <c:v>2.6229602591449983</c:v>
                </c:pt>
                <c:pt idx="10">
                  <c:v>3.0354032414567818</c:v>
                </c:pt>
                <c:pt idx="11">
                  <c:v>3.5005413764420297</c:v>
                </c:pt>
                <c:pt idx="12">
                  <c:v>4.0365637939329826</c:v>
                </c:pt>
                <c:pt idx="13">
                  <c:v>4.6707469015210599</c:v>
                </c:pt>
                <c:pt idx="14">
                  <c:v>5.4459012862515443</c:v>
                </c:pt>
                <c:pt idx="15">
                  <c:v>6.4332098504383026</c:v>
                </c:pt>
                <c:pt idx="16">
                  <c:v>7.7603117276317164</c:v>
                </c:pt>
                <c:pt idx="17">
                  <c:v>9.680965623805962</c:v>
                </c:pt>
                <c:pt idx="18">
                  <c:v>12.781638529824306</c:v>
                </c:pt>
                <c:pt idx="19">
                  <c:v>18.791970441162253</c:v>
                </c:pt>
                <c:pt idx="20">
                  <c:v>36.014890489173439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07-40FA-8560-A25F55F88A2D}"/>
            </c:ext>
          </c:extLst>
        </c:ser>
        <c:ser>
          <c:idx val="4"/>
          <c:order val="4"/>
          <c:tx>
            <c:v>V (k.Cb²)</c:v>
          </c:tx>
          <c:marker>
            <c:symbol val="none"/>
          </c:marker>
          <c:xVal>
            <c:numRef>
              <c:f>CSTR!$A$28:$A$48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CSTR!$T$28:$T$48</c:f>
              <c:numCache>
                <c:formatCode>0.0</c:formatCode>
                <c:ptCount val="21"/>
                <c:pt idx="0">
                  <c:v>0</c:v>
                </c:pt>
                <c:pt idx="1">
                  <c:v>0.12404518949617438</c:v>
                </c:pt>
                <c:pt idx="2">
                  <c:v>0.26002183061318584</c:v>
                </c:pt>
                <c:pt idx="3">
                  <c:v>0.41046400092205715</c:v>
                </c:pt>
                <c:pt idx="4">
                  <c:v>0.57863396329516681</c:v>
                </c:pt>
                <c:pt idx="5">
                  <c:v>0.76879295443686313</c:v>
                </c:pt>
                <c:pt idx="6">
                  <c:v>0.98659857229154546</c:v>
                </c:pt>
                <c:pt idx="7">
                  <c:v>1.2397017782916711</c:v>
                </c:pt>
                <c:pt idx="8">
                  <c:v>1.538667849505909</c:v>
                </c:pt>
                <c:pt idx="9">
                  <c:v>1.8984405669047886</c:v>
                </c:pt>
                <c:pt idx="10">
                  <c:v>2.3407522255456179</c:v>
                </c:pt>
                <c:pt idx="11">
                  <c:v>2.8982536512239809</c:v>
                </c:pt>
                <c:pt idx="12">
                  <c:v>3.62193598819306</c:v>
                </c:pt>
                <c:pt idx="13">
                  <c:v>4.5952475168220408</c:v>
                </c:pt>
                <c:pt idx="14">
                  <c:v>5.9628708696511978</c:v>
                </c:pt>
                <c:pt idx="15">
                  <c:v>7.9946875604021814</c:v>
                </c:pt>
                <c:pt idx="16">
                  <c:v>11.244732400613051</c:v>
                </c:pt>
                <c:pt idx="17">
                  <c:v>17.01019618286146</c:v>
                </c:pt>
                <c:pt idx="18">
                  <c:v>28.975523781843464</c:v>
                </c:pt>
                <c:pt idx="19">
                  <c:v>61.517949554258884</c:v>
                </c:pt>
                <c:pt idx="20">
                  <c:v>223.03567402535319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07-40FA-8560-A25F55F88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1456"/>
        <c:axId val="54933376"/>
      </c:scatterChart>
      <c:valAx>
        <c:axId val="54931456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3376"/>
        <c:crosses val="autoZero"/>
        <c:crossBetween val="midCat"/>
      </c:valAx>
      <c:valAx>
        <c:axId val="54933376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V (L)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493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 w="28575"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286" footer="0.3149606200000028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</c:v>
          </c:tx>
          <c:spPr>
            <a:ln w="28575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CSTR!$A$28:$A$48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CSTR!$H$28:$H$48</c:f>
              <c:numCache>
                <c:formatCode>0.00</c:formatCode>
                <c:ptCount val="21"/>
                <c:pt idx="0">
                  <c:v>373.06832298136646</c:v>
                </c:pt>
                <c:pt idx="1">
                  <c:v>374.88234732824429</c:v>
                </c:pt>
                <c:pt idx="2">
                  <c:v>376.78624511082137</c:v>
                </c:pt>
                <c:pt idx="3">
                  <c:v>378.78686497326203</c:v>
                </c:pt>
                <c:pt idx="4">
                  <c:v>380.89176954732511</c:v>
                </c:pt>
                <c:pt idx="5">
                  <c:v>383.10933098591551</c:v>
                </c:pt>
                <c:pt idx="6">
                  <c:v>385.44884225759768</c:v>
                </c:pt>
                <c:pt idx="7">
                  <c:v>387.92064732142859</c:v>
                </c:pt>
                <c:pt idx="8">
                  <c:v>390.53629402756508</c:v>
                </c:pt>
                <c:pt idx="9">
                  <c:v>393.30871451104099</c:v>
                </c:pt>
                <c:pt idx="10">
                  <c:v>396.25243902439024</c:v>
                </c:pt>
                <c:pt idx="11">
                  <c:v>399.38385067114092</c:v>
                </c:pt>
                <c:pt idx="12">
                  <c:v>402.7214904679376</c:v>
                </c:pt>
                <c:pt idx="13">
                  <c:v>406.28642473118282</c:v>
                </c:pt>
                <c:pt idx="14">
                  <c:v>410.10269016697589</c:v>
                </c:pt>
                <c:pt idx="15">
                  <c:v>414.19783653846156</c:v>
                </c:pt>
                <c:pt idx="16">
                  <c:v>418.60359281437127</c:v>
                </c:pt>
                <c:pt idx="17">
                  <c:v>423.35669087136927</c:v>
                </c:pt>
                <c:pt idx="18">
                  <c:v>428.49989200863934</c:v>
                </c:pt>
                <c:pt idx="19">
                  <c:v>434.08327702702712</c:v>
                </c:pt>
                <c:pt idx="20">
                  <c:v>440.16588235294125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A7-4C94-BEEE-423E9F0F9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7664"/>
        <c:axId val="53459584"/>
      </c:scatterChart>
      <c:valAx>
        <c:axId val="53457664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3459584"/>
        <c:crosses val="autoZero"/>
        <c:crossBetween val="midCat"/>
      </c:valAx>
      <c:valAx>
        <c:axId val="534595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 (K)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3457664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308" footer="0.314960620000003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41449</xdr:colOff>
      <xdr:row>14</xdr:row>
      <xdr:rowOff>39565</xdr:rowOff>
    </xdr:from>
    <xdr:to>
      <xdr:col>4</xdr:col>
      <xdr:colOff>0</xdr:colOff>
      <xdr:row>18</xdr:row>
      <xdr:rowOff>133350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443" t="4443" r="4443" b="4443"/>
        <a:stretch>
          <a:fillRect/>
        </a:stretch>
      </xdr:blipFill>
      <xdr:spPr bwMode="auto">
        <a:xfrm>
          <a:off x="651049" y="2725615"/>
          <a:ext cx="1787351" cy="855785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  <xdr:twoCellAnchor>
    <xdr:from>
      <xdr:col>11</xdr:col>
      <xdr:colOff>0</xdr:colOff>
      <xdr:row>5</xdr:row>
      <xdr:rowOff>1</xdr:rowOff>
    </xdr:from>
    <xdr:to>
      <xdr:col>19</xdr:col>
      <xdr:colOff>9525</xdr:colOff>
      <xdr:row>22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ED105E-92AF-479D-836F-AE93F0239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314325</xdr:colOff>
      <xdr:row>14</xdr:row>
      <xdr:rowOff>47625</xdr:rowOff>
    </xdr:from>
    <xdr:to>
      <xdr:col>10</xdr:col>
      <xdr:colOff>177662</xdr:colOff>
      <xdr:row>21</xdr:row>
      <xdr:rowOff>186627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C2783F66-BC97-4C26-8D51-0F5ECD9DA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lum contrast="20000"/>
        </a:blip>
        <a:srcRect/>
        <a:stretch>
          <a:fillRect/>
        </a:stretch>
      </xdr:blipFill>
      <xdr:spPr bwMode="auto">
        <a:xfrm>
          <a:off x="4581525" y="2733675"/>
          <a:ext cx="1692137" cy="148202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542925</xdr:colOff>
      <xdr:row>20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1238DFD-76EB-4330-8E54-7254C8236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8</xdr:col>
      <xdr:colOff>9525</xdr:colOff>
      <xdr:row>20</xdr:row>
      <xdr:rowOff>28575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8EB833C-B63D-471B-8047-86A084B4D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othermal_ideal_homogeneous_reac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.PROJETOS%20pessoais/planilhas/chemeng/unit%20operations/absorption_concentrated_packed_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"/>
      <sheetName val="CSTR"/>
      <sheetName val="PFR"/>
      <sheetName val="Graphs"/>
    </sheetNames>
    <sheetDataSet>
      <sheetData sheetId="0">
        <row r="2">
          <cell r="I2">
            <v>0.9</v>
          </cell>
        </row>
        <row r="4">
          <cell r="I4">
            <v>1</v>
          </cell>
        </row>
      </sheetData>
      <sheetData sheetId="1">
        <row r="28">
          <cell r="A28">
            <v>0</v>
          </cell>
        </row>
      </sheetData>
      <sheetData sheetId="2">
        <row r="2">
          <cell r="I2">
            <v>0.9</v>
          </cell>
        </row>
        <row r="4">
          <cell r="I4">
            <v>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T48"/>
  <sheetViews>
    <sheetView showGridLines="0" tabSelected="1" zoomScaleNormal="100" workbookViewId="0">
      <selection activeCell="F15" sqref="F15"/>
    </sheetView>
  </sheetViews>
  <sheetFormatPr defaultRowHeight="15" x14ac:dyDescent="0.25"/>
  <sheetData>
    <row r="1" spans="1:20" ht="15.75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.75" thickBot="1" x14ac:dyDescent="0.3">
      <c r="A2" s="3"/>
      <c r="B2" s="39" t="s">
        <v>0</v>
      </c>
      <c r="C2" s="40"/>
      <c r="D2" s="3"/>
      <c r="E2" s="4" t="s">
        <v>8</v>
      </c>
      <c r="F2" s="30">
        <v>10</v>
      </c>
      <c r="G2" s="3" t="s">
        <v>9</v>
      </c>
      <c r="H2" s="4" t="s">
        <v>39</v>
      </c>
      <c r="I2" s="30">
        <v>10000</v>
      </c>
      <c r="J2" s="3" t="s">
        <v>46</v>
      </c>
      <c r="K2" s="3"/>
      <c r="L2" s="4" t="s">
        <v>47</v>
      </c>
      <c r="M2" s="31">
        <v>298.14999999999998</v>
      </c>
      <c r="N2" s="3" t="s">
        <v>42</v>
      </c>
      <c r="O2" s="4" t="s">
        <v>43</v>
      </c>
      <c r="P2" s="30">
        <v>-1000</v>
      </c>
      <c r="Q2" s="3" t="s">
        <v>46</v>
      </c>
      <c r="R2" s="4" t="s">
        <v>51</v>
      </c>
      <c r="S2" s="30">
        <v>1000</v>
      </c>
      <c r="T2" s="3" t="s">
        <v>52</v>
      </c>
    </row>
    <row r="3" spans="1:20" x14ac:dyDescent="0.25">
      <c r="A3" s="3"/>
      <c r="B3" s="3"/>
      <c r="C3" s="3"/>
      <c r="D3" s="3"/>
      <c r="E3" s="1" t="s">
        <v>62</v>
      </c>
      <c r="F3" s="32">
        <f>F2*(1+C5*X)*(M4/M3)</f>
        <v>6.1928738640035945</v>
      </c>
      <c r="G3" s="3" t="s">
        <v>9</v>
      </c>
      <c r="H3" s="4" t="s">
        <v>38</v>
      </c>
      <c r="I3" s="30">
        <v>1</v>
      </c>
      <c r="J3" s="3"/>
      <c r="K3" s="3"/>
      <c r="L3" s="4" t="s">
        <v>40</v>
      </c>
      <c r="M3" s="31">
        <v>373.15</v>
      </c>
      <c r="N3" s="3" t="s">
        <v>42</v>
      </c>
      <c r="O3" s="1" t="s">
        <v>45</v>
      </c>
      <c r="P3" s="1">
        <f>(B11/B8)*J11+(B10/B8)*J10-(B9/B8)*J9-J8</f>
        <v>-8000</v>
      </c>
      <c r="Q3" s="3" t="s">
        <v>48</v>
      </c>
      <c r="R3" s="4" t="s">
        <v>1</v>
      </c>
      <c r="S3" s="30">
        <v>1</v>
      </c>
      <c r="T3" s="5" t="s">
        <v>53</v>
      </c>
    </row>
    <row r="4" spans="1:20" x14ac:dyDescent="0.25">
      <c r="A4" s="3"/>
      <c r="B4" s="1" t="s">
        <v>4</v>
      </c>
      <c r="C4" s="1">
        <f>(B11+B10-B9-B8)/B8</f>
        <v>-2</v>
      </c>
      <c r="D4" s="3"/>
      <c r="E4" s="3"/>
      <c r="F4" s="3"/>
      <c r="G4" s="3"/>
      <c r="H4" s="6" t="s">
        <v>61</v>
      </c>
      <c r="I4" s="1">
        <f>I3*EXP((I2/8.314)*(1/M3-1/M4))</f>
        <v>1.633554924336637</v>
      </c>
      <c r="K4" s="3"/>
      <c r="L4" s="6" t="s">
        <v>63</v>
      </c>
      <c r="M4" s="19">
        <f>(S2*S3*S4+C8*(X*(-P2+P3*M2)+M3*(F8*J8+F9*J9+F10*J10+F11*J11+F12*J12)))/(S2*S3+C8*((F8*J8+F9*J9+F10*J10+F11*J11+F12*J12)+X*P3))</f>
        <v>440.1658823529412</v>
      </c>
      <c r="N4" s="3" t="s">
        <v>42</v>
      </c>
      <c r="O4" s="3"/>
      <c r="P4" s="3"/>
      <c r="Q4" s="3"/>
      <c r="R4" s="4" t="s">
        <v>54</v>
      </c>
      <c r="S4" s="30">
        <v>360</v>
      </c>
      <c r="T4" s="3" t="s">
        <v>42</v>
      </c>
    </row>
    <row r="5" spans="1:20" x14ac:dyDescent="0.25">
      <c r="A5" s="3"/>
      <c r="B5" s="1" t="s">
        <v>10</v>
      </c>
      <c r="C5" s="1">
        <f>C4*E8</f>
        <v>-0.5</v>
      </c>
      <c r="D5" s="3"/>
      <c r="E5" s="4" t="s">
        <v>3</v>
      </c>
      <c r="F5" s="38">
        <v>0.95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37" t="s">
        <v>22</v>
      </c>
      <c r="B7" s="4" t="s">
        <v>2</v>
      </c>
      <c r="C7" s="4" t="s">
        <v>7</v>
      </c>
      <c r="D7" s="28" t="s">
        <v>15</v>
      </c>
      <c r="E7" s="28" t="s">
        <v>11</v>
      </c>
      <c r="F7" s="28" t="s">
        <v>13</v>
      </c>
      <c r="G7" s="28" t="s">
        <v>12</v>
      </c>
      <c r="H7" s="28" t="s">
        <v>16</v>
      </c>
      <c r="I7" s="28" t="s">
        <v>18</v>
      </c>
      <c r="J7" s="4" t="s">
        <v>44</v>
      </c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8" t="s">
        <v>55</v>
      </c>
      <c r="B8" s="30">
        <v>1</v>
      </c>
      <c r="C8" s="30">
        <v>10</v>
      </c>
      <c r="D8" s="9">
        <f>C8/F$2</f>
        <v>1</v>
      </c>
      <c r="E8" s="9">
        <f>C8/C$13</f>
        <v>0.25</v>
      </c>
      <c r="F8" s="10">
        <f>E8/E$8</f>
        <v>1</v>
      </c>
      <c r="G8" s="7">
        <f>C$8*(1-X)</f>
        <v>0.50000000000000044</v>
      </c>
      <c r="H8" s="9">
        <f>G8/F$3</f>
        <v>8.0737959625865593E-2</v>
      </c>
      <c r="I8" s="9">
        <f>G8/G$13</f>
        <v>2.3809523809523829E-2</v>
      </c>
      <c r="J8" s="35">
        <v>4000</v>
      </c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11" t="s">
        <v>56</v>
      </c>
      <c r="B9" s="30">
        <v>2</v>
      </c>
      <c r="C9" s="30">
        <v>20</v>
      </c>
      <c r="D9" s="9">
        <f>C9/F$2</f>
        <v>2</v>
      </c>
      <c r="E9" s="9">
        <f>C9/C$13</f>
        <v>0.5</v>
      </c>
      <c r="F9" s="10">
        <f>E9/E$8</f>
        <v>2</v>
      </c>
      <c r="G9" s="7">
        <f>C$8*(F9-(B9/B$8)*X)</f>
        <v>1.0000000000000009</v>
      </c>
      <c r="H9" s="9">
        <f>G9/F$3</f>
        <v>0.16147591925173119</v>
      </c>
      <c r="I9" s="9">
        <f>G9/G$13</f>
        <v>4.7619047619047658E-2</v>
      </c>
      <c r="J9" s="35">
        <v>4000</v>
      </c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12" t="s">
        <v>57</v>
      </c>
      <c r="B10" s="30">
        <v>1</v>
      </c>
      <c r="C10" s="30">
        <v>0</v>
      </c>
      <c r="D10" s="9">
        <f>C10/F$2</f>
        <v>0</v>
      </c>
      <c r="E10" s="9">
        <f>C10/C$13</f>
        <v>0</v>
      </c>
      <c r="F10" s="10">
        <f>E10/E$8</f>
        <v>0</v>
      </c>
      <c r="G10" s="7">
        <f>C$8*(F10+(B10/B$8)*X)</f>
        <v>9.5</v>
      </c>
      <c r="H10" s="9">
        <f>G10/F$3</f>
        <v>1.5340212328914449</v>
      </c>
      <c r="I10" s="9">
        <f>G10/G$13</f>
        <v>0.45238095238095238</v>
      </c>
      <c r="J10" s="35">
        <v>4000</v>
      </c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13" t="s">
        <v>58</v>
      </c>
      <c r="B11" s="30">
        <v>0</v>
      </c>
      <c r="C11" s="30">
        <v>0</v>
      </c>
      <c r="D11" s="9">
        <f>C11/F$2</f>
        <v>0</v>
      </c>
      <c r="E11" s="9">
        <f>C11/C$13</f>
        <v>0</v>
      </c>
      <c r="F11" s="10">
        <f>E11/E$8</f>
        <v>0</v>
      </c>
      <c r="G11" s="7">
        <f>C$8*(F11+(B11/B$8)*X)</f>
        <v>0</v>
      </c>
      <c r="H11" s="9">
        <f>G11/F$3</f>
        <v>0</v>
      </c>
      <c r="I11" s="9">
        <f>G11/G$13</f>
        <v>0</v>
      </c>
      <c r="J11" s="35">
        <v>4000</v>
      </c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14" t="s">
        <v>5</v>
      </c>
      <c r="B12" s="15" t="s">
        <v>6</v>
      </c>
      <c r="C12" s="30">
        <v>10</v>
      </c>
      <c r="D12" s="9">
        <f>C12/F$2</f>
        <v>1</v>
      </c>
      <c r="E12" s="9">
        <f>C12/C$13</f>
        <v>0.25</v>
      </c>
      <c r="F12" s="10">
        <f>E12/E$8</f>
        <v>1</v>
      </c>
      <c r="G12" s="7">
        <f>C12</f>
        <v>10</v>
      </c>
      <c r="H12" s="9">
        <f>G12/F$3</f>
        <v>1.6147591925173104</v>
      </c>
      <c r="I12" s="9">
        <f>G12/G$13</f>
        <v>0.47619047619047616</v>
      </c>
      <c r="J12" s="35">
        <v>4000</v>
      </c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1" t="s">
        <v>17</v>
      </c>
      <c r="B13" s="15" t="s">
        <v>6</v>
      </c>
      <c r="C13" s="16">
        <f>SUM(C8:C12)</f>
        <v>40</v>
      </c>
      <c r="D13" s="17">
        <f>SUM(D8:D12)</f>
        <v>4</v>
      </c>
      <c r="E13" s="17">
        <f>SUM(E8:E12)</f>
        <v>1</v>
      </c>
      <c r="F13" s="16" t="s">
        <v>6</v>
      </c>
      <c r="G13" s="16">
        <f>SUM(G8:G12)</f>
        <v>21</v>
      </c>
      <c r="H13" s="17">
        <f>SUM(H8:H12)</f>
        <v>3.3909943042863517</v>
      </c>
      <c r="I13" s="17">
        <f>SUM(I8:I12)</f>
        <v>1</v>
      </c>
      <c r="J13" s="16" t="s">
        <v>6</v>
      </c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3"/>
      <c r="B16" s="3"/>
      <c r="C16" s="3"/>
      <c r="D16" s="3"/>
      <c r="E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5.75" thickBo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3"/>
      <c r="B22" s="26"/>
      <c r="C22" s="20" t="s">
        <v>23</v>
      </c>
      <c r="D22" s="20" t="s">
        <v>59</v>
      </c>
      <c r="E22" s="20" t="s">
        <v>24</v>
      </c>
      <c r="F22" s="20" t="s">
        <v>25</v>
      </c>
      <c r="G22" s="21" t="s">
        <v>60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/>
      <c r="B23" s="22" t="s">
        <v>26</v>
      </c>
      <c r="C23" s="33">
        <f>k*H8</f>
        <v>0.13188989152772532</v>
      </c>
      <c r="D23" s="33">
        <f>k*H8^2</f>
        <v>1.0648520737225279E-2</v>
      </c>
      <c r="E23" s="33">
        <f>k*H8*H9</f>
        <v>2.1297041474450558E-2</v>
      </c>
      <c r="F23" s="33">
        <f>k*H9</f>
        <v>0.26377978305545063</v>
      </c>
      <c r="G23" s="34">
        <f>k*H9^2</f>
        <v>4.2594082948901116E-2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5.75" thickBot="1" x14ac:dyDescent="0.3">
      <c r="A24" s="3"/>
      <c r="B24" s="23" t="s">
        <v>64</v>
      </c>
      <c r="C24" s="24">
        <f>$C$8*X/C23</f>
        <v>72.02978097834702</v>
      </c>
      <c r="D24" s="24">
        <f>$C$8*X/D23</f>
        <v>892.14269610141616</v>
      </c>
      <c r="E24" s="24">
        <f>$C$8*X/E23</f>
        <v>446.07134805070808</v>
      </c>
      <c r="F24" s="24">
        <f>$C$8*X/F23</f>
        <v>36.01489048917351</v>
      </c>
      <c r="G24" s="25">
        <f>$C$8*X/G23</f>
        <v>223.03567402535404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6" t="s">
        <v>27</v>
      </c>
      <c r="L26" s="36"/>
      <c r="M26" s="36" t="s">
        <v>28</v>
      </c>
      <c r="N26" s="36"/>
      <c r="O26" s="36" t="s">
        <v>29</v>
      </c>
      <c r="P26" s="36"/>
      <c r="Q26" s="36" t="s">
        <v>30</v>
      </c>
      <c r="R26" s="36"/>
      <c r="S26" s="36" t="s">
        <v>31</v>
      </c>
      <c r="T26" s="36"/>
    </row>
    <row r="27" spans="1:20" x14ac:dyDescent="0.25">
      <c r="A27" s="28" t="s">
        <v>3</v>
      </c>
      <c r="B27" s="28" t="s">
        <v>14</v>
      </c>
      <c r="C27" s="28" t="s">
        <v>19</v>
      </c>
      <c r="D27" s="28" t="s">
        <v>20</v>
      </c>
      <c r="E27" s="28" t="s">
        <v>21</v>
      </c>
      <c r="F27" s="28" t="s">
        <v>49</v>
      </c>
      <c r="H27" s="28" t="s">
        <v>41</v>
      </c>
      <c r="I27" s="28" t="s">
        <v>37</v>
      </c>
      <c r="J27" s="3"/>
      <c r="K27" s="28" t="s">
        <v>23</v>
      </c>
      <c r="L27" s="28" t="s">
        <v>32</v>
      </c>
      <c r="M27" s="28" t="s">
        <v>59</v>
      </c>
      <c r="N27" s="28" t="s">
        <v>33</v>
      </c>
      <c r="O27" s="28" t="s">
        <v>24</v>
      </c>
      <c r="P27" s="28" t="s">
        <v>34</v>
      </c>
      <c r="Q27" s="28" t="s">
        <v>25</v>
      </c>
      <c r="R27" s="28" t="s">
        <v>35</v>
      </c>
      <c r="S27" s="28" t="s">
        <v>60</v>
      </c>
      <c r="T27" s="28" t="s">
        <v>36</v>
      </c>
    </row>
    <row r="28" spans="1:20" x14ac:dyDescent="0.25">
      <c r="A28" s="18">
        <v>0</v>
      </c>
      <c r="B28" s="9">
        <f t="shared" ref="B28:B48" si="0">D$8*(M$3/H28)*(1-A28)/(1+C$5*A28)</f>
        <v>1.000218933137986</v>
      </c>
      <c r="C28" s="9">
        <f t="shared" ref="C28:C48" si="1">D$8*(M$3/H28)*(F$9-(B$9/B$8)*A28)/(1+C$5*A28)</f>
        <v>2.0004378662759721</v>
      </c>
      <c r="D28" s="9">
        <f t="shared" ref="D28:D48" si="2">D$8*(M$3/H28)*(F$10+(B$10/B$8)*A28)/(1+C$5*A28)</f>
        <v>0</v>
      </c>
      <c r="E28" s="9">
        <f t="shared" ref="E28:E48" si="3">D$8*(M$3/H28)*(F$11+(B$11/B$8)*A28)/(1+C$5*A28)</f>
        <v>0</v>
      </c>
      <c r="F28" s="9">
        <f t="shared" ref="F28:F48" si="4">D$8*(M$3/H28)*(F$12)/(1+C$5*A28)</f>
        <v>1.000218933137986</v>
      </c>
      <c r="H28" s="27">
        <f t="shared" ref="H28:H48" si="5">(S$2*S$3*S$4+C$8*(A28*(-P$2+P$3*M$2)+M$3*(F$8*J$8+F$9*J$9+F$10*J$10+F$11*J$11+F$12*J$12)))/(S$2*S$3+C$8*((F$8*J$8+F$9*J$9+F$10*J$10+F$11*J$11+F$12*J$12)+A28*P$3))</f>
        <v>373.06832298136646</v>
      </c>
      <c r="I28" s="29">
        <f t="shared" ref="I28:I48" si="6">I$3*EXP((I$2/8.314)*(1/M$3-1/H28))</f>
        <v>0.9992945523278739</v>
      </c>
      <c r="J28" s="3"/>
      <c r="K28" s="33">
        <f t="shared" ref="K28:K48" si="7">I28*B28</f>
        <v>0.99951333101998741</v>
      </c>
      <c r="L28" s="2">
        <f>C$8*A28/K28</f>
        <v>0</v>
      </c>
      <c r="M28" s="33">
        <f t="shared" ref="M28:M48" si="8">I28*B28^2</f>
        <v>0.99973215761000644</v>
      </c>
      <c r="N28" s="2">
        <f>C$8*A28/M28</f>
        <v>0</v>
      </c>
      <c r="O28" s="33">
        <f t="shared" ref="O28:O48" si="9">I28*B28*C28</f>
        <v>1.9994643152200129</v>
      </c>
      <c r="P28" s="2">
        <f>C$8*A28/O28</f>
        <v>0</v>
      </c>
      <c r="Q28" s="33">
        <f t="shared" ref="Q28:Q48" si="10">I28*C28</f>
        <v>1.9990266620399748</v>
      </c>
      <c r="R28" s="2">
        <f>C$8*A28/Q28</f>
        <v>0</v>
      </c>
      <c r="S28" s="33">
        <f t="shared" ref="S28:S48" si="11">I28*C28^2</f>
        <v>3.9989286304400258</v>
      </c>
      <c r="T28" s="2">
        <f>C$8*A28/S28</f>
        <v>0</v>
      </c>
    </row>
    <row r="29" spans="1:20" x14ac:dyDescent="0.25">
      <c r="A29" s="18">
        <f t="shared" ref="A29:A48" si="12">X/20+A28</f>
        <v>4.7500000000000001E-2</v>
      </c>
      <c r="B29" s="9">
        <f t="shared" si="0"/>
        <v>0.97116359215784254</v>
      </c>
      <c r="C29" s="9">
        <f t="shared" si="1"/>
        <v>1.9423271843156851</v>
      </c>
      <c r="D29" s="9">
        <f t="shared" si="2"/>
        <v>4.8430730317582701E-2</v>
      </c>
      <c r="E29" s="9">
        <f t="shared" si="3"/>
        <v>0</v>
      </c>
      <c r="F29" s="9">
        <f t="shared" si="4"/>
        <v>1.0195943224754251</v>
      </c>
      <c r="H29" s="27">
        <f t="shared" si="5"/>
        <v>374.88234732824429</v>
      </c>
      <c r="I29" s="29">
        <f t="shared" si="6"/>
        <v>1.0150066924312751</v>
      </c>
      <c r="J29" s="3"/>
      <c r="K29" s="33">
        <f t="shared" si="7"/>
        <v>0.9857375454858075</v>
      </c>
      <c r="L29" s="2">
        <f t="shared" ref="L29:L48" si="13">C$8*A29/K29</f>
        <v>0.48187268728402</v>
      </c>
      <c r="M29" s="33">
        <f t="shared" si="8"/>
        <v>0.95731241559885161</v>
      </c>
      <c r="N29" s="2">
        <f t="shared" ref="N29:N48" si="14">C$8*A29/M29</f>
        <v>0.49618075798469752</v>
      </c>
      <c r="O29" s="33">
        <f t="shared" si="9"/>
        <v>1.914624831197703</v>
      </c>
      <c r="P29" s="2">
        <f t="shared" ref="P29:P48" si="15">C$8*A29/O29</f>
        <v>0.24809037899234879</v>
      </c>
      <c r="Q29" s="33">
        <f t="shared" si="10"/>
        <v>1.971475090971615</v>
      </c>
      <c r="R29" s="2">
        <f t="shared" ref="R29:R48" si="16">C$8*A29/Q29</f>
        <v>0.24093634364201</v>
      </c>
      <c r="S29" s="33">
        <f t="shared" si="11"/>
        <v>3.8292496623954064</v>
      </c>
      <c r="T29" s="2">
        <f t="shared" ref="T29:T48" si="17">C$8*A29/S29</f>
        <v>0.12404518949617438</v>
      </c>
    </row>
    <row r="30" spans="1:20" x14ac:dyDescent="0.25">
      <c r="A30" s="18">
        <f t="shared" si="12"/>
        <v>9.5000000000000001E-2</v>
      </c>
      <c r="B30" s="9">
        <f t="shared" si="0"/>
        <v>0.94096181698988035</v>
      </c>
      <c r="C30" s="9">
        <f t="shared" si="1"/>
        <v>1.8819236339797607</v>
      </c>
      <c r="D30" s="9">
        <f t="shared" si="2"/>
        <v>9.8774997363578601E-2</v>
      </c>
      <c r="E30" s="9">
        <f t="shared" si="3"/>
        <v>0</v>
      </c>
      <c r="F30" s="9">
        <f t="shared" si="4"/>
        <v>1.0397368143534591</v>
      </c>
      <c r="H30" s="27">
        <f t="shared" si="5"/>
        <v>376.78624511082137</v>
      </c>
      <c r="I30" s="29">
        <f t="shared" si="6"/>
        <v>1.0315963601244296</v>
      </c>
      <c r="J30" s="3"/>
      <c r="K30" s="33">
        <f t="shared" si="7"/>
        <v>0.97069278542283022</v>
      </c>
      <c r="L30" s="2">
        <f t="shared" si="13"/>
        <v>0.97868245676327292</v>
      </c>
      <c r="M30" s="33">
        <f t="shared" si="8"/>
        <v>0.91338484711043433</v>
      </c>
      <c r="N30" s="2">
        <f t="shared" si="14"/>
        <v>1.0400873224527434</v>
      </c>
      <c r="O30" s="33">
        <f t="shared" si="9"/>
        <v>1.8267696942208687</v>
      </c>
      <c r="P30" s="2">
        <f t="shared" si="15"/>
        <v>0.52004366122637169</v>
      </c>
      <c r="Q30" s="33">
        <f t="shared" si="10"/>
        <v>1.9413855708456604</v>
      </c>
      <c r="R30" s="2">
        <f t="shared" si="16"/>
        <v>0.48934122838163646</v>
      </c>
      <c r="S30" s="33">
        <f t="shared" si="11"/>
        <v>3.6535393884417373</v>
      </c>
      <c r="T30" s="2">
        <f t="shared" si="17"/>
        <v>0.26002183061318584</v>
      </c>
    </row>
    <row r="31" spans="1:20" x14ac:dyDescent="0.25">
      <c r="A31" s="18">
        <f t="shared" si="12"/>
        <v>0.14250000000000002</v>
      </c>
      <c r="B31" s="9">
        <f t="shared" si="0"/>
        <v>0.90954425940210626</v>
      </c>
      <c r="C31" s="9">
        <f t="shared" si="1"/>
        <v>1.8190885188042125</v>
      </c>
      <c r="D31" s="9">
        <f t="shared" si="2"/>
        <v>0.15114875447790105</v>
      </c>
      <c r="E31" s="9">
        <f t="shared" si="3"/>
        <v>0</v>
      </c>
      <c r="F31" s="9">
        <f t="shared" si="4"/>
        <v>1.0606930138800075</v>
      </c>
      <c r="H31" s="27">
        <f t="shared" si="5"/>
        <v>378.78686497326203</v>
      </c>
      <c r="I31" s="29">
        <f t="shared" si="6"/>
        <v>1.0491368093601383</v>
      </c>
      <c r="J31" s="3"/>
      <c r="K31" s="33">
        <f t="shared" si="7"/>
        <v>0.95423636228095576</v>
      </c>
      <c r="L31" s="2">
        <f t="shared" si="13"/>
        <v>1.4933407029195116</v>
      </c>
      <c r="M31" s="33">
        <f t="shared" si="8"/>
        <v>0.86792020542539183</v>
      </c>
      <c r="N31" s="2">
        <f t="shared" si="14"/>
        <v>1.6418560036882286</v>
      </c>
      <c r="O31" s="33">
        <f t="shared" si="9"/>
        <v>1.7358404108507837</v>
      </c>
      <c r="P31" s="2">
        <f t="shared" si="15"/>
        <v>0.8209280018441143</v>
      </c>
      <c r="Q31" s="33">
        <f t="shared" si="10"/>
        <v>1.9084727245619115</v>
      </c>
      <c r="R31" s="2">
        <f t="shared" si="16"/>
        <v>0.7466703514597558</v>
      </c>
      <c r="S31" s="33">
        <f t="shared" si="11"/>
        <v>3.4716808217015673</v>
      </c>
      <c r="T31" s="2">
        <f t="shared" si="17"/>
        <v>0.41046400092205715</v>
      </c>
    </row>
    <row r="32" spans="1:20" x14ac:dyDescent="0.25">
      <c r="A32" s="18">
        <f t="shared" si="12"/>
        <v>0.19</v>
      </c>
      <c r="B32" s="9">
        <f t="shared" si="0"/>
        <v>0.87683584869258602</v>
      </c>
      <c r="C32" s="9">
        <f t="shared" si="1"/>
        <v>1.753671697385172</v>
      </c>
      <c r="D32" s="9">
        <f t="shared" si="2"/>
        <v>0.20567754475505104</v>
      </c>
      <c r="E32" s="9">
        <f t="shared" si="3"/>
        <v>0</v>
      </c>
      <c r="F32" s="9">
        <f t="shared" si="4"/>
        <v>1.082513393447637</v>
      </c>
      <c r="H32" s="27">
        <f t="shared" si="5"/>
        <v>380.89176954732511</v>
      </c>
      <c r="I32" s="29">
        <f t="shared" si="6"/>
        <v>1.0677094678886685</v>
      </c>
      <c r="J32" s="3"/>
      <c r="K32" s="33">
        <f t="shared" si="7"/>
        <v>0.93620593743327007</v>
      </c>
      <c r="L32" s="2">
        <f t="shared" si="13"/>
        <v>2.029468009153089</v>
      </c>
      <c r="M32" s="33">
        <f t="shared" si="8"/>
        <v>0.82089892770033934</v>
      </c>
      <c r="N32" s="2">
        <f t="shared" si="14"/>
        <v>2.3145358531806672</v>
      </c>
      <c r="O32" s="33">
        <f t="shared" si="9"/>
        <v>1.6417978554006789</v>
      </c>
      <c r="P32" s="2">
        <f t="shared" si="15"/>
        <v>1.1572679265903336</v>
      </c>
      <c r="Q32" s="33">
        <f t="shared" si="10"/>
        <v>1.8724118748665401</v>
      </c>
      <c r="R32" s="2">
        <f t="shared" si="16"/>
        <v>1.0147340045765445</v>
      </c>
      <c r="S32" s="33">
        <f t="shared" si="11"/>
        <v>3.2835957108013574</v>
      </c>
      <c r="T32" s="2">
        <f t="shared" si="17"/>
        <v>0.57863396329516681</v>
      </c>
    </row>
    <row r="33" spans="1:20" x14ac:dyDescent="0.25">
      <c r="A33" s="18">
        <f t="shared" si="12"/>
        <v>0.23749999999999999</v>
      </c>
      <c r="B33" s="9">
        <f t="shared" si="0"/>
        <v>0.84275518702621877</v>
      </c>
      <c r="C33" s="9">
        <f t="shared" si="1"/>
        <v>1.6855103740524375</v>
      </c>
      <c r="D33" s="9">
        <f t="shared" si="2"/>
        <v>0.26249751727046161</v>
      </c>
      <c r="E33" s="9">
        <f t="shared" si="3"/>
        <v>0</v>
      </c>
      <c r="F33" s="9">
        <f t="shared" si="4"/>
        <v>1.1052527042966804</v>
      </c>
      <c r="H33" s="27">
        <f t="shared" si="5"/>
        <v>383.10933098591551</v>
      </c>
      <c r="I33" s="29">
        <f t="shared" si="6"/>
        <v>1.0874050851079462</v>
      </c>
      <c r="J33" s="3"/>
      <c r="K33" s="33">
        <f t="shared" si="7"/>
        <v>0.91641627587340857</v>
      </c>
      <c r="L33" s="2">
        <f t="shared" si="13"/>
        <v>2.5916170004035113</v>
      </c>
      <c r="M33" s="33">
        <f t="shared" si="8"/>
        <v>0.77231456996756531</v>
      </c>
      <c r="N33" s="2">
        <f t="shared" si="14"/>
        <v>3.0751718177474525</v>
      </c>
      <c r="O33" s="33">
        <f t="shared" si="9"/>
        <v>1.5446291399351306</v>
      </c>
      <c r="P33" s="2">
        <f t="shared" si="15"/>
        <v>1.5375859088737263</v>
      </c>
      <c r="Q33" s="33">
        <f t="shared" si="10"/>
        <v>1.8328325517468171</v>
      </c>
      <c r="R33" s="2">
        <f t="shared" si="16"/>
        <v>1.2958085002017556</v>
      </c>
      <c r="S33" s="33">
        <f t="shared" si="11"/>
        <v>3.0892582798702612</v>
      </c>
      <c r="T33" s="2">
        <f t="shared" si="17"/>
        <v>0.76879295443686313</v>
      </c>
    </row>
    <row r="34" spans="1:20" x14ac:dyDescent="0.25">
      <c r="A34" s="18">
        <f t="shared" si="12"/>
        <v>0.28499999999999998</v>
      </c>
      <c r="B34" s="9">
        <f t="shared" si="0"/>
        <v>0.80721386610842683</v>
      </c>
      <c r="C34" s="9">
        <f t="shared" si="1"/>
        <v>1.6144277322168537</v>
      </c>
      <c r="D34" s="9">
        <f t="shared" si="2"/>
        <v>0.32175657600126101</v>
      </c>
      <c r="E34" s="9">
        <f t="shared" si="3"/>
        <v>0</v>
      </c>
      <c r="F34" s="9">
        <f t="shared" si="4"/>
        <v>1.1289704421096878</v>
      </c>
      <c r="H34" s="27">
        <f t="shared" si="5"/>
        <v>385.44884225759768</v>
      </c>
      <c r="I34" s="29">
        <f t="shared" si="6"/>
        <v>1.1083250753034191</v>
      </c>
      <c r="J34" s="3"/>
      <c r="K34" s="33">
        <f t="shared" si="7"/>
        <v>0.89465536894058617</v>
      </c>
      <c r="L34" s="2">
        <f t="shared" si="13"/>
        <v>3.1855841913460505</v>
      </c>
      <c r="M34" s="33">
        <f t="shared" si="8"/>
        <v>0.7221782191971915</v>
      </c>
      <c r="N34" s="2">
        <f t="shared" si="14"/>
        <v>3.9463942891661818</v>
      </c>
      <c r="O34" s="33">
        <f t="shared" si="9"/>
        <v>1.444356438394383</v>
      </c>
      <c r="P34" s="2">
        <f t="shared" si="15"/>
        <v>1.9731971445830909</v>
      </c>
      <c r="Q34" s="33">
        <f t="shared" si="10"/>
        <v>1.7893107378811723</v>
      </c>
      <c r="R34" s="2">
        <f t="shared" si="16"/>
        <v>1.5927920956730253</v>
      </c>
      <c r="S34" s="33">
        <f t="shared" si="11"/>
        <v>2.888712876788766</v>
      </c>
      <c r="T34" s="2">
        <f t="shared" si="17"/>
        <v>0.98659857229154546</v>
      </c>
    </row>
    <row r="35" spans="1:20" x14ac:dyDescent="0.25">
      <c r="A35" s="18">
        <f t="shared" si="12"/>
        <v>0.33249999999999996</v>
      </c>
      <c r="B35" s="9">
        <f t="shared" si="0"/>
        <v>0.77011569292264903</v>
      </c>
      <c r="C35" s="9">
        <f t="shared" si="1"/>
        <v>1.5402313858452981</v>
      </c>
      <c r="D35" s="9">
        <f t="shared" si="2"/>
        <v>0.38361568224236819</v>
      </c>
      <c r="E35" s="9">
        <f t="shared" si="3"/>
        <v>0</v>
      </c>
      <c r="F35" s="9">
        <f t="shared" si="4"/>
        <v>1.1537313751650173</v>
      </c>
      <c r="H35" s="27">
        <f t="shared" si="5"/>
        <v>387.92064732142859</v>
      </c>
      <c r="I35" s="29">
        <f t="shared" si="6"/>
        <v>1.1305830955746008</v>
      </c>
      <c r="J35" s="3"/>
      <c r="K35" s="33">
        <f t="shared" si="7"/>
        <v>0.87067978405506719</v>
      </c>
      <c r="L35" s="2">
        <f t="shared" si="13"/>
        <v>3.8188551760261222</v>
      </c>
      <c r="M35" s="33">
        <f t="shared" si="8"/>
        <v>0.67052416521131053</v>
      </c>
      <c r="N35" s="2">
        <f t="shared" si="14"/>
        <v>4.9588071131666842</v>
      </c>
      <c r="O35" s="33">
        <f t="shared" si="9"/>
        <v>1.3410483304226211</v>
      </c>
      <c r="P35" s="2">
        <f t="shared" si="15"/>
        <v>2.4794035565833421</v>
      </c>
      <c r="Q35" s="33">
        <f t="shared" si="10"/>
        <v>1.7413595681101344</v>
      </c>
      <c r="R35" s="2">
        <f t="shared" si="16"/>
        <v>1.9094275880130611</v>
      </c>
      <c r="S35" s="33">
        <f t="shared" si="11"/>
        <v>2.6820966608452421</v>
      </c>
      <c r="T35" s="2">
        <f t="shared" si="17"/>
        <v>1.2397017782916711</v>
      </c>
    </row>
    <row r="36" spans="1:20" x14ac:dyDescent="0.25">
      <c r="A36" s="18">
        <f t="shared" si="12"/>
        <v>0.37999999999999995</v>
      </c>
      <c r="B36" s="9">
        <f t="shared" si="0"/>
        <v>0.73135581000356686</v>
      </c>
      <c r="C36" s="9">
        <f t="shared" si="1"/>
        <v>1.4627116200071337</v>
      </c>
      <c r="D36" s="9">
        <f t="shared" si="2"/>
        <v>0.44825033516347629</v>
      </c>
      <c r="E36" s="9">
        <f t="shared" si="3"/>
        <v>0</v>
      </c>
      <c r="F36" s="9">
        <f t="shared" si="4"/>
        <v>1.179606145167043</v>
      </c>
      <c r="H36" s="27">
        <f t="shared" si="5"/>
        <v>390.53629402756508</v>
      </c>
      <c r="I36" s="29">
        <f t="shared" si="6"/>
        <v>1.1543069069123519</v>
      </c>
      <c r="J36" s="3"/>
      <c r="K36" s="33">
        <f t="shared" si="7"/>
        <v>0.84420906289759501</v>
      </c>
      <c r="L36" s="2">
        <f t="shared" si="13"/>
        <v>4.5012546856073614</v>
      </c>
      <c r="M36" s="33">
        <f t="shared" si="8"/>
        <v>0.61741720300782277</v>
      </c>
      <c r="N36" s="2">
        <f t="shared" si="14"/>
        <v>6.1546713980236358</v>
      </c>
      <c r="O36" s="33">
        <f t="shared" si="9"/>
        <v>1.2348344060156455</v>
      </c>
      <c r="P36" s="2">
        <f t="shared" si="15"/>
        <v>3.0773356990118179</v>
      </c>
      <c r="Q36" s="33">
        <f t="shared" si="10"/>
        <v>1.68841812579519</v>
      </c>
      <c r="R36" s="2">
        <f t="shared" si="16"/>
        <v>2.2506273428036807</v>
      </c>
      <c r="S36" s="33">
        <f t="shared" si="11"/>
        <v>2.4696688120312911</v>
      </c>
      <c r="T36" s="2">
        <f t="shared" si="17"/>
        <v>1.538667849505909</v>
      </c>
    </row>
    <row r="37" spans="1:20" x14ac:dyDescent="0.25">
      <c r="A37" s="18">
        <f t="shared" si="12"/>
        <v>0.42749999999999994</v>
      </c>
      <c r="B37" s="9">
        <f t="shared" si="0"/>
        <v>0.69081969298134638</v>
      </c>
      <c r="C37" s="9">
        <f t="shared" si="1"/>
        <v>1.3816393859626928</v>
      </c>
      <c r="D37" s="9">
        <f t="shared" si="2"/>
        <v>0.51585225982449878</v>
      </c>
      <c r="E37" s="9">
        <f t="shared" si="3"/>
        <v>0</v>
      </c>
      <c r="F37" s="9">
        <f t="shared" si="4"/>
        <v>1.2066719528058454</v>
      </c>
      <c r="H37" s="27">
        <f t="shared" si="5"/>
        <v>393.30871451104099</v>
      </c>
      <c r="I37" s="29">
        <f t="shared" si="6"/>
        <v>1.1796405785040425</v>
      </c>
      <c r="J37" s="3"/>
      <c r="K37" s="33">
        <f t="shared" si="7"/>
        <v>0.81491894227050043</v>
      </c>
      <c r="L37" s="2">
        <f t="shared" si="13"/>
        <v>5.2459205182899966</v>
      </c>
      <c r="M37" s="33">
        <f t="shared" si="8"/>
        <v>0.56296205350399064</v>
      </c>
      <c r="N37" s="2">
        <f t="shared" si="14"/>
        <v>7.5937622676191543</v>
      </c>
      <c r="O37" s="33">
        <f t="shared" si="9"/>
        <v>1.1259241070079813</v>
      </c>
      <c r="P37" s="2">
        <f t="shared" si="15"/>
        <v>3.7968811338095771</v>
      </c>
      <c r="Q37" s="33">
        <f t="shared" si="10"/>
        <v>1.6298378845410009</v>
      </c>
      <c r="R37" s="2">
        <f t="shared" si="16"/>
        <v>2.6229602591449983</v>
      </c>
      <c r="S37" s="33">
        <f t="shared" si="11"/>
        <v>2.2518482140159626</v>
      </c>
      <c r="T37" s="2">
        <f t="shared" si="17"/>
        <v>1.8984405669047886</v>
      </c>
    </row>
    <row r="38" spans="1:20" x14ac:dyDescent="0.25">
      <c r="A38" s="18">
        <f t="shared" si="12"/>
        <v>0.47499999999999992</v>
      </c>
      <c r="B38" s="9">
        <f t="shared" si="0"/>
        <v>0.64838200479532682</v>
      </c>
      <c r="C38" s="9">
        <f t="shared" si="1"/>
        <v>1.2967640095906536</v>
      </c>
      <c r="D38" s="9">
        <f t="shared" si="2"/>
        <v>0.58663133767196218</v>
      </c>
      <c r="E38" s="9">
        <f t="shared" si="3"/>
        <v>0</v>
      </c>
      <c r="F38" s="9">
        <f t="shared" si="4"/>
        <v>1.2350133424672889</v>
      </c>
      <c r="H38" s="27">
        <f t="shared" si="5"/>
        <v>396.25243902439024</v>
      </c>
      <c r="I38" s="29">
        <f t="shared" si="6"/>
        <v>1.2067471101413572</v>
      </c>
      <c r="J38" s="3"/>
      <c r="K38" s="33">
        <f t="shared" si="7"/>
        <v>0.78243311055442022</v>
      </c>
      <c r="L38" s="2">
        <f t="shared" si="13"/>
        <v>6.0708064829135635</v>
      </c>
      <c r="M38" s="33">
        <f t="shared" si="8"/>
        <v>0.50731554883951857</v>
      </c>
      <c r="N38" s="2">
        <f t="shared" si="14"/>
        <v>9.3630089021824716</v>
      </c>
      <c r="O38" s="33">
        <f t="shared" si="9"/>
        <v>1.0146310976790371</v>
      </c>
      <c r="P38" s="2">
        <f t="shared" si="15"/>
        <v>4.6815044510912358</v>
      </c>
      <c r="Q38" s="33">
        <f t="shared" si="10"/>
        <v>1.5648662211088404</v>
      </c>
      <c r="R38" s="2">
        <f t="shared" si="16"/>
        <v>3.0354032414567818</v>
      </c>
      <c r="S38" s="33">
        <f t="shared" si="11"/>
        <v>2.0292621953580743</v>
      </c>
      <c r="T38" s="2">
        <f t="shared" si="17"/>
        <v>2.3407522255456179</v>
      </c>
    </row>
    <row r="39" spans="1:20" x14ac:dyDescent="0.25">
      <c r="A39" s="18">
        <f t="shared" si="12"/>
        <v>0.52249999999999996</v>
      </c>
      <c r="B39" s="9">
        <f t="shared" si="0"/>
        <v>0.6039052818865065</v>
      </c>
      <c r="C39" s="9">
        <f t="shared" si="1"/>
        <v>1.207810563773013</v>
      </c>
      <c r="D39" s="9">
        <f t="shared" si="2"/>
        <v>0.66081782154073221</v>
      </c>
      <c r="E39" s="9">
        <f t="shared" si="3"/>
        <v>0</v>
      </c>
      <c r="F39" s="9">
        <f t="shared" si="4"/>
        <v>1.2647231034272386</v>
      </c>
      <c r="H39" s="27">
        <f t="shared" si="5"/>
        <v>399.38385067114092</v>
      </c>
      <c r="I39" s="29">
        <f t="shared" si="6"/>
        <v>1.2358115665763816</v>
      </c>
      <c r="J39" s="3"/>
      <c r="K39" s="33">
        <f t="shared" si="7"/>
        <v>0.74631313247191489</v>
      </c>
      <c r="L39" s="2">
        <f t="shared" si="13"/>
        <v>7.0010827528840593</v>
      </c>
      <c r="M39" s="33">
        <f t="shared" si="8"/>
        <v>0.45070244264105341</v>
      </c>
      <c r="N39" s="2">
        <f t="shared" si="14"/>
        <v>11.593014604895924</v>
      </c>
      <c r="O39" s="33">
        <f t="shared" si="9"/>
        <v>0.90140488528210683</v>
      </c>
      <c r="P39" s="2">
        <f t="shared" si="15"/>
        <v>5.7965073024479619</v>
      </c>
      <c r="Q39" s="33">
        <f t="shared" si="10"/>
        <v>1.4926262649438298</v>
      </c>
      <c r="R39" s="2">
        <f t="shared" si="16"/>
        <v>3.5005413764420297</v>
      </c>
      <c r="S39" s="33">
        <f t="shared" si="11"/>
        <v>1.8028097705642137</v>
      </c>
      <c r="T39" s="2">
        <f t="shared" si="17"/>
        <v>2.8982536512239809</v>
      </c>
    </row>
    <row r="40" spans="1:20" x14ac:dyDescent="0.25">
      <c r="A40" s="18">
        <f t="shared" si="12"/>
        <v>0.56999999999999995</v>
      </c>
      <c r="B40" s="9">
        <f t="shared" si="0"/>
        <v>0.55723842264075674</v>
      </c>
      <c r="C40" s="9">
        <f t="shared" si="1"/>
        <v>1.1144768452815135</v>
      </c>
      <c r="D40" s="9">
        <f t="shared" si="2"/>
        <v>0.73866488582611922</v>
      </c>
      <c r="E40" s="9">
        <f t="shared" si="3"/>
        <v>0</v>
      </c>
      <c r="F40" s="9">
        <f t="shared" si="4"/>
        <v>1.2959033084668758</v>
      </c>
      <c r="H40" s="27">
        <f t="shared" si="5"/>
        <v>402.7214904679376</v>
      </c>
      <c r="I40" s="29">
        <f t="shared" si="6"/>
        <v>1.267044842148882</v>
      </c>
      <c r="J40" s="3"/>
      <c r="K40" s="33">
        <f t="shared" si="7"/>
        <v>0.70604606925414959</v>
      </c>
      <c r="L40" s="2">
        <f t="shared" si="13"/>
        <v>8.0731275878659652</v>
      </c>
      <c r="M40" s="33">
        <f t="shared" si="8"/>
        <v>0.39343599794288886</v>
      </c>
      <c r="N40" s="2">
        <f t="shared" si="14"/>
        <v>14.48774395277224</v>
      </c>
      <c r="O40" s="33">
        <f t="shared" si="9"/>
        <v>0.78687199588577761</v>
      </c>
      <c r="P40" s="2">
        <f t="shared" si="15"/>
        <v>7.2438719763861208</v>
      </c>
      <c r="Q40" s="33">
        <f t="shared" si="10"/>
        <v>1.4120921385082992</v>
      </c>
      <c r="R40" s="2">
        <f t="shared" si="16"/>
        <v>4.0365637939329826</v>
      </c>
      <c r="S40" s="33">
        <f t="shared" si="11"/>
        <v>1.5737439917715554</v>
      </c>
      <c r="T40" s="2">
        <f t="shared" si="17"/>
        <v>3.62193598819306</v>
      </c>
    </row>
    <row r="41" spans="1:20" x14ac:dyDescent="0.25">
      <c r="A41" s="18">
        <f t="shared" si="12"/>
        <v>0.61749999999999994</v>
      </c>
      <c r="B41" s="9">
        <f t="shared" si="0"/>
        <v>0.50821494211385077</v>
      </c>
      <c r="C41" s="9">
        <f t="shared" si="1"/>
        <v>1.0164298842277015</v>
      </c>
      <c r="D41" s="9">
        <f t="shared" si="2"/>
        <v>0.82045157321647788</v>
      </c>
      <c r="E41" s="9">
        <f t="shared" si="3"/>
        <v>0</v>
      </c>
      <c r="F41" s="9">
        <f t="shared" si="4"/>
        <v>1.3286665153303285</v>
      </c>
      <c r="H41" s="27">
        <f t="shared" si="5"/>
        <v>406.28642473118282</v>
      </c>
      <c r="I41" s="29">
        <f t="shared" si="6"/>
        <v>1.3006882058030391</v>
      </c>
      <c r="J41" s="3"/>
      <c r="K41" s="33">
        <f t="shared" si="7"/>
        <v>0.66102918122035992</v>
      </c>
      <c r="L41" s="2">
        <f t="shared" si="13"/>
        <v>9.3414938030421197</v>
      </c>
      <c r="M41" s="33">
        <f t="shared" si="8"/>
        <v>0.33594490706947139</v>
      </c>
      <c r="N41" s="2">
        <f t="shared" si="14"/>
        <v>18.380990067288163</v>
      </c>
      <c r="O41" s="33">
        <f t="shared" si="9"/>
        <v>0.67188981413894278</v>
      </c>
      <c r="P41" s="2">
        <f t="shared" si="15"/>
        <v>9.1904950336440816</v>
      </c>
      <c r="Q41" s="33">
        <f t="shared" si="10"/>
        <v>1.3220583624407198</v>
      </c>
      <c r="R41" s="2">
        <f t="shared" si="16"/>
        <v>4.6707469015210599</v>
      </c>
      <c r="S41" s="33">
        <f t="shared" si="11"/>
        <v>1.3437796282778856</v>
      </c>
      <c r="T41" s="2">
        <f t="shared" si="17"/>
        <v>4.5952475168220408</v>
      </c>
    </row>
    <row r="42" spans="1:20" x14ac:dyDescent="0.25">
      <c r="A42" s="18">
        <f t="shared" si="12"/>
        <v>0.66499999999999992</v>
      </c>
      <c r="B42" s="9">
        <f t="shared" si="0"/>
        <v>0.45665094929098349</v>
      </c>
      <c r="C42" s="9">
        <f t="shared" si="1"/>
        <v>0.91330189858196698</v>
      </c>
      <c r="D42" s="9">
        <f t="shared" si="2"/>
        <v>0.90648621277165353</v>
      </c>
      <c r="E42" s="9">
        <f t="shared" si="3"/>
        <v>0</v>
      </c>
      <c r="F42" s="9">
        <f t="shared" si="4"/>
        <v>1.3631371620626369</v>
      </c>
      <c r="H42" s="27">
        <f t="shared" si="5"/>
        <v>410.10269016697589</v>
      </c>
      <c r="I42" s="29">
        <f t="shared" si="6"/>
        <v>1.3370188182067506</v>
      </c>
      <c r="J42" s="3"/>
      <c r="K42" s="33">
        <f t="shared" si="7"/>
        <v>0.6105509125540215</v>
      </c>
      <c r="L42" s="2">
        <f t="shared" si="13"/>
        <v>10.891802572503089</v>
      </c>
      <c r="M42" s="33">
        <f t="shared" si="8"/>
        <v>0.27880865380827019</v>
      </c>
      <c r="N42" s="2">
        <f t="shared" si="14"/>
        <v>23.851483478604791</v>
      </c>
      <c r="O42" s="33">
        <f t="shared" si="9"/>
        <v>0.55761730761654038</v>
      </c>
      <c r="P42" s="2">
        <f t="shared" si="15"/>
        <v>11.925741739302396</v>
      </c>
      <c r="Q42" s="33">
        <f t="shared" si="10"/>
        <v>1.221101825108043</v>
      </c>
      <c r="R42" s="2">
        <f t="shared" si="16"/>
        <v>5.4459012862515443</v>
      </c>
      <c r="S42" s="33">
        <f t="shared" si="11"/>
        <v>1.1152346152330808</v>
      </c>
      <c r="T42" s="2">
        <f t="shared" si="17"/>
        <v>5.9628708696511978</v>
      </c>
    </row>
    <row r="43" spans="1:20" x14ac:dyDescent="0.25">
      <c r="A43" s="18">
        <f t="shared" si="12"/>
        <v>0.71249999999999991</v>
      </c>
      <c r="B43" s="9">
        <f t="shared" si="0"/>
        <v>0.40234279337582224</v>
      </c>
      <c r="C43" s="9">
        <f t="shared" si="1"/>
        <v>0.80468558675164448</v>
      </c>
      <c r="D43" s="9">
        <f t="shared" si="2"/>
        <v>0.99711040097486325</v>
      </c>
      <c r="E43" s="9">
        <f t="shared" si="3"/>
        <v>0</v>
      </c>
      <c r="F43" s="9">
        <f t="shared" si="4"/>
        <v>1.3994531943506856</v>
      </c>
      <c r="H43" s="27">
        <f t="shared" si="5"/>
        <v>414.19783653846156</v>
      </c>
      <c r="I43" s="29">
        <f t="shared" si="6"/>
        <v>1.3763564675090139</v>
      </c>
      <c r="J43" s="3"/>
      <c r="K43" s="33">
        <f t="shared" si="7"/>
        <v>0.55376710581845578</v>
      </c>
      <c r="L43" s="2">
        <f t="shared" si="13"/>
        <v>12.866419700876605</v>
      </c>
      <c r="M43" s="33">
        <f t="shared" si="8"/>
        <v>0.22280420423464203</v>
      </c>
      <c r="N43" s="2">
        <f t="shared" si="14"/>
        <v>31.978750241608726</v>
      </c>
      <c r="O43" s="33">
        <f t="shared" si="9"/>
        <v>0.44560840846928407</v>
      </c>
      <c r="P43" s="2">
        <f t="shared" si="15"/>
        <v>15.989375120804363</v>
      </c>
      <c r="Q43" s="33">
        <f t="shared" si="10"/>
        <v>1.1075342116369116</v>
      </c>
      <c r="R43" s="2">
        <f t="shared" si="16"/>
        <v>6.4332098504383026</v>
      </c>
      <c r="S43" s="33">
        <f t="shared" si="11"/>
        <v>0.89121681693856813</v>
      </c>
      <c r="T43" s="2">
        <f t="shared" si="17"/>
        <v>7.9946875604021814</v>
      </c>
    </row>
    <row r="44" spans="1:20" x14ac:dyDescent="0.25">
      <c r="A44" s="18">
        <f t="shared" si="12"/>
        <v>0.7599999999999999</v>
      </c>
      <c r="B44" s="9">
        <f t="shared" si="0"/>
        <v>0.34506431327830589</v>
      </c>
      <c r="C44" s="9">
        <f t="shared" si="1"/>
        <v>0.69012862655661178</v>
      </c>
      <c r="D44" s="9">
        <f t="shared" si="2"/>
        <v>1.0927036587146346</v>
      </c>
      <c r="E44" s="9">
        <f t="shared" si="3"/>
        <v>0</v>
      </c>
      <c r="F44" s="9">
        <f t="shared" si="4"/>
        <v>1.4377679719929406</v>
      </c>
      <c r="H44" s="27">
        <f t="shared" si="5"/>
        <v>418.60359281437127</v>
      </c>
      <c r="I44" s="29">
        <f t="shared" si="6"/>
        <v>1.4190718430983351</v>
      </c>
      <c r="J44" s="3"/>
      <c r="K44" s="33">
        <f t="shared" si="7"/>
        <v>0.48967105103130687</v>
      </c>
      <c r="L44" s="2">
        <f t="shared" si="13"/>
        <v>15.520623455263433</v>
      </c>
      <c r="M44" s="33">
        <f t="shared" si="8"/>
        <v>0.16896800495638417</v>
      </c>
      <c r="N44" s="2">
        <f t="shared" si="14"/>
        <v>44.978929602452205</v>
      </c>
      <c r="O44" s="33">
        <f t="shared" si="9"/>
        <v>0.33793600991276834</v>
      </c>
      <c r="P44" s="2">
        <f t="shared" si="15"/>
        <v>22.489464801226102</v>
      </c>
      <c r="Q44" s="33">
        <f t="shared" si="10"/>
        <v>0.97934210206261374</v>
      </c>
      <c r="R44" s="2">
        <f t="shared" si="16"/>
        <v>7.7603117276317164</v>
      </c>
      <c r="S44" s="33">
        <f t="shared" si="11"/>
        <v>0.67587201982553669</v>
      </c>
      <c r="T44" s="2">
        <f t="shared" si="17"/>
        <v>11.244732400613051</v>
      </c>
    </row>
    <row r="45" spans="1:20" x14ac:dyDescent="0.25">
      <c r="A45" s="18">
        <f t="shared" si="12"/>
        <v>0.80749999999999988</v>
      </c>
      <c r="B45" s="9">
        <f t="shared" si="0"/>
        <v>0.28456360878306536</v>
      </c>
      <c r="C45" s="9">
        <f t="shared" si="1"/>
        <v>0.56912721756613072</v>
      </c>
      <c r="D45" s="9">
        <f t="shared" si="2"/>
        <v>1.1936889043757148</v>
      </c>
      <c r="E45" s="9">
        <f t="shared" si="3"/>
        <v>0</v>
      </c>
      <c r="F45" s="9">
        <f t="shared" si="4"/>
        <v>1.4782525131587803</v>
      </c>
      <c r="H45" s="27">
        <f t="shared" si="5"/>
        <v>423.35669087136927</v>
      </c>
      <c r="I45" s="29">
        <f t="shared" si="6"/>
        <v>1.4655967642793637</v>
      </c>
      <c r="J45" s="3"/>
      <c r="K45" s="33">
        <f t="shared" si="7"/>
        <v>0.4170555042641193</v>
      </c>
      <c r="L45" s="2">
        <f t="shared" si="13"/>
        <v>19.361931247611924</v>
      </c>
      <c r="M45" s="33">
        <f t="shared" si="8"/>
        <v>0.1186788193562389</v>
      </c>
      <c r="N45" s="2">
        <f t="shared" si="14"/>
        <v>68.040784731445839</v>
      </c>
      <c r="O45" s="33">
        <f t="shared" si="9"/>
        <v>0.23735763871247778</v>
      </c>
      <c r="P45" s="2">
        <f t="shared" si="15"/>
        <v>34.020392365722927</v>
      </c>
      <c r="Q45" s="33">
        <f t="shared" si="10"/>
        <v>0.83411100852823861</v>
      </c>
      <c r="R45" s="2">
        <f t="shared" si="16"/>
        <v>9.680965623805962</v>
      </c>
      <c r="S45" s="33">
        <f t="shared" si="11"/>
        <v>0.47471527742495562</v>
      </c>
      <c r="T45" s="2">
        <f t="shared" si="17"/>
        <v>17.01019618286146</v>
      </c>
    </row>
    <row r="46" spans="1:20" x14ac:dyDescent="0.25">
      <c r="A46" s="18">
        <f t="shared" si="12"/>
        <v>0.85499999999999987</v>
      </c>
      <c r="B46" s="9">
        <f t="shared" si="0"/>
        <v>0.22055923175120462</v>
      </c>
      <c r="C46" s="9">
        <f t="shared" si="1"/>
        <v>0.44111846350240924</v>
      </c>
      <c r="D46" s="9">
        <f t="shared" si="2"/>
        <v>1.3005389182571019</v>
      </c>
      <c r="E46" s="9">
        <f t="shared" si="3"/>
        <v>0</v>
      </c>
      <c r="F46" s="9">
        <f t="shared" si="4"/>
        <v>1.5210981500083065</v>
      </c>
      <c r="H46" s="27">
        <f t="shared" si="5"/>
        <v>428.49989200863934</v>
      </c>
      <c r="I46" s="29">
        <f t="shared" si="6"/>
        <v>1.5164369126164314</v>
      </c>
      <c r="J46" s="3"/>
      <c r="K46" s="33">
        <f t="shared" si="7"/>
        <v>0.33446416044584876</v>
      </c>
      <c r="L46" s="2">
        <f t="shared" si="13"/>
        <v>25.563277059648613</v>
      </c>
      <c r="M46" s="33">
        <f t="shared" si="8"/>
        <v>7.376915827624804E-2</v>
      </c>
      <c r="N46" s="2">
        <f t="shared" si="14"/>
        <v>115.90209512737385</v>
      </c>
      <c r="O46" s="33">
        <f t="shared" si="9"/>
        <v>0.14753831655249608</v>
      </c>
      <c r="P46" s="2">
        <f t="shared" si="15"/>
        <v>57.951047563686927</v>
      </c>
      <c r="Q46" s="33">
        <f t="shared" si="10"/>
        <v>0.66892832089169751</v>
      </c>
      <c r="R46" s="2">
        <f t="shared" si="16"/>
        <v>12.781638529824306</v>
      </c>
      <c r="S46" s="33">
        <f t="shared" si="11"/>
        <v>0.29507663310499216</v>
      </c>
      <c r="T46" s="2">
        <f t="shared" si="17"/>
        <v>28.975523781843464</v>
      </c>
    </row>
    <row r="47" spans="1:20" x14ac:dyDescent="0.25">
      <c r="A47" s="18">
        <f t="shared" si="12"/>
        <v>0.90249999999999986</v>
      </c>
      <c r="B47" s="9">
        <f t="shared" si="0"/>
        <v>0.1527356696486423</v>
      </c>
      <c r="C47" s="9">
        <f t="shared" si="1"/>
        <v>0.30547133929728459</v>
      </c>
      <c r="D47" s="9">
        <f t="shared" si="2"/>
        <v>1.4137840190553788</v>
      </c>
      <c r="E47" s="9">
        <f t="shared" si="3"/>
        <v>0</v>
      </c>
      <c r="F47" s="9">
        <f t="shared" si="4"/>
        <v>1.5665196887040209</v>
      </c>
      <c r="H47" s="27">
        <f t="shared" si="5"/>
        <v>434.08327702702712</v>
      </c>
      <c r="I47" s="29">
        <f t="shared" si="6"/>
        <v>1.5721877965150706</v>
      </c>
      <c r="J47" s="3"/>
      <c r="K47" s="33">
        <f t="shared" si="7"/>
        <v>0.24012915591415268</v>
      </c>
      <c r="L47" s="2">
        <f t="shared" si="13"/>
        <v>37.583940882324505</v>
      </c>
      <c r="M47" s="33">
        <f t="shared" si="8"/>
        <v>3.6676287430711343E-2</v>
      </c>
      <c r="N47" s="2">
        <f t="shared" si="14"/>
        <v>246.07179821703554</v>
      </c>
      <c r="O47" s="33">
        <f t="shared" si="9"/>
        <v>7.3352574861422687E-2</v>
      </c>
      <c r="P47" s="2">
        <f t="shared" si="15"/>
        <v>123.03589910851777</v>
      </c>
      <c r="Q47" s="33">
        <f t="shared" si="10"/>
        <v>0.48025831182830536</v>
      </c>
      <c r="R47" s="2">
        <f t="shared" si="16"/>
        <v>18.791970441162253</v>
      </c>
      <c r="S47" s="33">
        <f t="shared" si="11"/>
        <v>0.14670514972284537</v>
      </c>
      <c r="T47" s="2">
        <f t="shared" si="17"/>
        <v>61.517949554258884</v>
      </c>
    </row>
    <row r="48" spans="1:20" x14ac:dyDescent="0.25">
      <c r="A48" s="18">
        <f t="shared" si="12"/>
        <v>0.94999999999999984</v>
      </c>
      <c r="B48" s="9">
        <f t="shared" si="0"/>
        <v>8.0737959625865732E-2</v>
      </c>
      <c r="C48" s="9">
        <f t="shared" si="1"/>
        <v>0.16147591925173146</v>
      </c>
      <c r="D48" s="9">
        <f t="shared" si="2"/>
        <v>1.534021232891444</v>
      </c>
      <c r="E48" s="9">
        <f t="shared" si="3"/>
        <v>0</v>
      </c>
      <c r="F48" s="9">
        <f t="shared" si="4"/>
        <v>1.6147591925173097</v>
      </c>
      <c r="H48" s="27">
        <f t="shared" si="5"/>
        <v>440.16588235294125</v>
      </c>
      <c r="I48" s="29">
        <f t="shared" si="6"/>
        <v>1.633554924336637</v>
      </c>
      <c r="J48" s="3"/>
      <c r="K48" s="33">
        <f t="shared" si="7"/>
        <v>0.13188989152772554</v>
      </c>
      <c r="L48" s="2">
        <f t="shared" si="13"/>
        <v>72.029780978346878</v>
      </c>
      <c r="M48" s="33">
        <f t="shared" si="8"/>
        <v>1.0648520737225317E-2</v>
      </c>
      <c r="N48" s="2">
        <f t="shared" si="14"/>
        <v>892.14269610141275</v>
      </c>
      <c r="O48" s="33">
        <f t="shared" si="9"/>
        <v>2.1297041474450631E-2</v>
      </c>
      <c r="P48" s="2">
        <f t="shared" si="15"/>
        <v>446.07134805070649</v>
      </c>
      <c r="Q48" s="33">
        <f t="shared" si="10"/>
        <v>0.26377978305545108</v>
      </c>
      <c r="R48" s="2">
        <f t="shared" si="16"/>
        <v>36.014890489173439</v>
      </c>
      <c r="S48" s="33">
        <f t="shared" si="11"/>
        <v>4.2594082948901268E-2</v>
      </c>
      <c r="T48" s="2">
        <f t="shared" si="17"/>
        <v>223.03567402535319</v>
      </c>
    </row>
  </sheetData>
  <sheetProtection algorithmName="SHA-512" hashValue="pSQLhPQDsl/y2YoGIM54yQnQSCSVb+XXfkNH8QccbHgNd1Vnux7uVM6U+q+csQvGofy/HhwbzCWe6zqLpauM9g==" saltValue="xU24LiraDoG9Dcbf8eclAA==" spinCount="100000" sheet="1" objects="1" scenarios="1"/>
  <mergeCells count="1">
    <mergeCell ref="B2:C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1:H2"/>
  <sheetViews>
    <sheetView showGridLines="0" workbookViewId="0">
      <selection activeCell="L22" sqref="L22"/>
    </sheetView>
  </sheetViews>
  <sheetFormatPr defaultRowHeight="15" x14ac:dyDescent="0.25"/>
  <cols>
    <col min="1" max="1" width="9.140625" customWidth="1"/>
  </cols>
  <sheetData>
    <row r="1" spans="2:8" ht="15.75" thickBot="1" x14ac:dyDescent="0.3"/>
    <row r="2" spans="2:8" ht="15.75" thickBot="1" x14ac:dyDescent="0.3">
      <c r="B2" s="41" t="s">
        <v>50</v>
      </c>
      <c r="C2" s="42"/>
      <c r="D2" s="42"/>
      <c r="E2" s="42"/>
      <c r="F2" s="42"/>
      <c r="G2" s="42"/>
      <c r="H2" s="43"/>
    </row>
  </sheetData>
  <sheetProtection algorithmName="SHA-512" hashValue="iNgHqh99nbbCbdOlx4OVcUstPS3Bq0m15FmMCZiN9aOOqlr+W+Bnx8OhsS8AQgRS8AQxpM5RthX7tMBNMv0MZA==" saltValue="TaTIpqfrn4KWRcjPxXL3Cg==" spinCount="100000" sheet="1" objects="1" scenarios="1"/>
  <mergeCells count="1">
    <mergeCell ref="B2:H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B2:E5"/>
  <sheetViews>
    <sheetView showGridLines="0" workbookViewId="0">
      <selection activeCell="H19" sqref="H19"/>
    </sheetView>
  </sheetViews>
  <sheetFormatPr defaultRowHeight="15" x14ac:dyDescent="0.25"/>
  <sheetData>
    <row r="2" spans="2:5" ht="15.75" thickBot="1" x14ac:dyDescent="0.3"/>
    <row r="3" spans="2:5" x14ac:dyDescent="0.25">
      <c r="B3" s="44" t="s">
        <v>65</v>
      </c>
      <c r="C3" s="45"/>
      <c r="D3" s="45"/>
      <c r="E3" s="46"/>
    </row>
    <row r="4" spans="2:5" x14ac:dyDescent="0.25">
      <c r="B4" s="47" t="s">
        <v>66</v>
      </c>
      <c r="C4" s="48" t="s">
        <v>67</v>
      </c>
      <c r="D4" s="48"/>
      <c r="E4" s="49"/>
    </row>
    <row r="5" spans="2:5" ht="15.75" thickBot="1" x14ac:dyDescent="0.3">
      <c r="B5" s="50" t="s">
        <v>68</v>
      </c>
      <c r="C5" s="51">
        <v>2017</v>
      </c>
      <c r="D5" s="52"/>
      <c r="E5" s="53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CSTR</vt:lpstr>
      <vt:lpstr>Graphs</vt:lpstr>
      <vt:lpstr>Credits</vt:lpstr>
      <vt:lpstr>k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2017-03-27T04:13:13Z</dcterms:modified>
</cp:coreProperties>
</file>