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2UygFc0E4G/0Dx3zxhBY2BemmXJafYdZjI7ZiYgCdDW6lfH8GSJhhaIKDQOiB2r6TtTMZzR4qE2CdLuaHiZ5VQ==" workbookSaltValue="IbN4CDFKwzz+a2TCPNBiBw==" workbookSpinCount="100000" lockStructure="1"/>
  <bookViews>
    <workbookView xWindow="360" yWindow="300" windowWidth="18735" windowHeight="11700"/>
  </bookViews>
  <sheets>
    <sheet name="Batch" sheetId="9" r:id="rId1"/>
    <sheet name="CSTR" sheetId="5" r:id="rId2"/>
    <sheet name="PFR" sheetId="1" r:id="rId3"/>
    <sheet name="Graphs" sheetId="10" r:id="rId4"/>
    <sheet name="Credits" sheetId="11" r:id="rId5"/>
  </sheets>
  <externalReferences>
    <externalReference r:id="rId6"/>
    <externalReference r:id="rId7"/>
  </externalReferences>
  <definedNames>
    <definedName name="A.">[2]Operation!$C$3</definedName>
    <definedName name="B.">[2]Operation!$C$4</definedName>
    <definedName name="C.">[2]Operation!$C$5</definedName>
    <definedName name="D.">[2]Equilibrium!$R$3</definedName>
    <definedName name="E.">[2]Equilibrium!$R$4</definedName>
    <definedName name="F.">[2]Equilibrium!$R$5</definedName>
    <definedName name="k" localSheetId="3">[1]Batch!$I$4</definedName>
    <definedName name="k">Batch!$I$4</definedName>
    <definedName name="k." localSheetId="0">Batch!#REF!</definedName>
    <definedName name="k." localSheetId="1">CSTR!$I$4</definedName>
    <definedName name="k." localSheetId="3">[1]PFR!#REF!</definedName>
    <definedName name="k.">PFR!#REF!</definedName>
    <definedName name="k.." localSheetId="0">Batch!#REF!</definedName>
    <definedName name="k.." localSheetId="3">[1]PFR!$I$4</definedName>
    <definedName name="k..">PFR!$I$4</definedName>
    <definedName name="k_x.a">[2]Absorption_packed!#REF!</definedName>
    <definedName name="k…">#REF!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S">[2]Absorption_packed!$E$2</definedName>
    <definedName name="V.">[2]Absorption_packed!$B$2</definedName>
    <definedName name="X" localSheetId="3">[1]Batch!$I$2</definedName>
    <definedName name="X">Batch!$F$5</definedName>
    <definedName name="X." localSheetId="0">Batch!#REF!</definedName>
    <definedName name="X." localSheetId="1">CSTR!$F$5</definedName>
    <definedName name="X." localSheetId="3">[1]PFR!#REF!</definedName>
    <definedName name="X.">PFR!#REF!</definedName>
    <definedName name="X.." localSheetId="0">Batch!#REF!</definedName>
    <definedName name="X.." localSheetId="3">[1]PFR!$I$2</definedName>
    <definedName name="X..">PFR!$F$5</definedName>
    <definedName name="X…">#REF!</definedName>
    <definedName name="x1.">[2]Absorption_packed!$B$9</definedName>
    <definedName name="x2.">[2]Absorption_packed!$B$7</definedName>
    <definedName name="Xo">Batch!$F$5</definedName>
    <definedName name="Xoo">PFR!$F$5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C54" i="5" l="1"/>
  <c r="C53" i="5"/>
  <c r="C52" i="5"/>
  <c r="C51" i="5"/>
  <c r="C50" i="5"/>
  <c r="C54" i="1"/>
  <c r="C53" i="1"/>
  <c r="C52" i="1"/>
  <c r="C51" i="1"/>
  <c r="C50" i="1"/>
  <c r="C51" i="9"/>
  <c r="C52" i="9"/>
  <c r="C53" i="9"/>
  <c r="C54" i="9"/>
  <c r="C50" i="9"/>
  <c r="J9" i="1" l="1"/>
  <c r="J10" i="1"/>
  <c r="J11" i="1"/>
  <c r="J12" i="1"/>
  <c r="J8" i="1"/>
  <c r="P2" i="1"/>
  <c r="M3" i="1"/>
  <c r="M2" i="1"/>
  <c r="I3" i="1"/>
  <c r="I2" i="1"/>
  <c r="F5" i="1"/>
  <c r="F5" i="5"/>
  <c r="J9" i="5"/>
  <c r="J10" i="5"/>
  <c r="J11" i="5"/>
  <c r="J12" i="5"/>
  <c r="J8" i="5"/>
  <c r="P2" i="5"/>
  <c r="M3" i="5"/>
  <c r="M2" i="5"/>
  <c r="I3" i="5"/>
  <c r="I2" i="5"/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P3" i="1"/>
  <c r="P3" i="9"/>
  <c r="P3" i="5"/>
  <c r="G8" i="9"/>
  <c r="C13" i="9"/>
  <c r="E9" i="9" s="1"/>
  <c r="G12" i="9"/>
  <c r="D12" i="9"/>
  <c r="D11" i="9"/>
  <c r="D10" i="9"/>
  <c r="D9" i="9"/>
  <c r="D8" i="9"/>
  <c r="C4" i="9"/>
  <c r="G8" i="1"/>
  <c r="C13" i="5"/>
  <c r="E10" i="5" s="1"/>
  <c r="G12" i="5"/>
  <c r="D12" i="5"/>
  <c r="D11" i="5"/>
  <c r="D10" i="5"/>
  <c r="D9" i="5"/>
  <c r="G8" i="5"/>
  <c r="D8" i="5"/>
  <c r="C4" i="5"/>
  <c r="E8" i="5" l="1"/>
  <c r="C5" i="5" s="1"/>
  <c r="E12" i="5"/>
  <c r="E10" i="9"/>
  <c r="E11" i="9"/>
  <c r="E8" i="9"/>
  <c r="C5" i="9" s="1"/>
  <c r="E12" i="9"/>
  <c r="D13" i="9"/>
  <c r="E11" i="5"/>
  <c r="F8" i="5"/>
  <c r="E9" i="5"/>
  <c r="D13" i="5"/>
  <c r="F9" i="5" l="1"/>
  <c r="F12" i="5"/>
  <c r="F10" i="5"/>
  <c r="G10" i="5" s="1"/>
  <c r="F11" i="5"/>
  <c r="G11" i="5" s="1"/>
  <c r="F9" i="9"/>
  <c r="G9" i="9" s="1"/>
  <c r="E13" i="9"/>
  <c r="F8" i="9"/>
  <c r="F10" i="9"/>
  <c r="G10" i="9" s="1"/>
  <c r="F12" i="9"/>
  <c r="F11" i="9"/>
  <c r="G11" i="9" s="1"/>
  <c r="E13" i="5"/>
  <c r="G9" i="5" l="1"/>
  <c r="G13" i="5" s="1"/>
  <c r="I11" i="5" s="1"/>
  <c r="H35" i="5"/>
  <c r="H30" i="5"/>
  <c r="H34" i="5"/>
  <c r="H43" i="5"/>
  <c r="H38" i="5"/>
  <c r="H42" i="5"/>
  <c r="H37" i="5"/>
  <c r="H40" i="5"/>
  <c r="H45" i="5"/>
  <c r="H48" i="5"/>
  <c r="H28" i="5"/>
  <c r="H31" i="5"/>
  <c r="H32" i="5"/>
  <c r="H36" i="5"/>
  <c r="H46" i="5"/>
  <c r="H44" i="5"/>
  <c r="H33" i="5"/>
  <c r="H39" i="5"/>
  <c r="H47" i="5"/>
  <c r="H41" i="5"/>
  <c r="H29" i="5"/>
  <c r="H40" i="9"/>
  <c r="H29" i="9"/>
  <c r="H32" i="9"/>
  <c r="H46" i="9"/>
  <c r="H43" i="9"/>
  <c r="H38" i="9"/>
  <c r="H35" i="9"/>
  <c r="H41" i="9"/>
  <c r="H30" i="9"/>
  <c r="H28" i="9"/>
  <c r="H33" i="9"/>
  <c r="H47" i="9"/>
  <c r="H44" i="9"/>
  <c r="H39" i="9"/>
  <c r="H36" i="9"/>
  <c r="H31" i="9"/>
  <c r="H45" i="9"/>
  <c r="H42" i="9"/>
  <c r="H48" i="9"/>
  <c r="H37" i="9"/>
  <c r="H34" i="9"/>
  <c r="M4" i="5"/>
  <c r="M4" i="9"/>
  <c r="I29" i="5" l="1"/>
  <c r="F29" i="5"/>
  <c r="E29" i="5"/>
  <c r="D29" i="5"/>
  <c r="C29" i="5"/>
  <c r="B29" i="5"/>
  <c r="E36" i="5"/>
  <c r="D36" i="5"/>
  <c r="C36" i="5"/>
  <c r="I36" i="5"/>
  <c r="F36" i="5"/>
  <c r="B36" i="5"/>
  <c r="E40" i="5"/>
  <c r="D40" i="5"/>
  <c r="C40" i="5"/>
  <c r="B40" i="5"/>
  <c r="I40" i="5"/>
  <c r="F40" i="5"/>
  <c r="I46" i="5"/>
  <c r="B46" i="5"/>
  <c r="F46" i="5"/>
  <c r="E46" i="5"/>
  <c r="D46" i="5"/>
  <c r="C46" i="5"/>
  <c r="F35" i="5"/>
  <c r="E35" i="5"/>
  <c r="I35" i="5"/>
  <c r="D35" i="5"/>
  <c r="C35" i="5"/>
  <c r="B35" i="5"/>
  <c r="E44" i="5"/>
  <c r="D44" i="5"/>
  <c r="B44" i="5"/>
  <c r="C44" i="5"/>
  <c r="I44" i="5"/>
  <c r="F44" i="5"/>
  <c r="I45" i="5"/>
  <c r="D45" i="5"/>
  <c r="F45" i="5"/>
  <c r="C45" i="5"/>
  <c r="B45" i="5"/>
  <c r="E45" i="5"/>
  <c r="C30" i="5"/>
  <c r="I30" i="5"/>
  <c r="B30" i="5"/>
  <c r="F30" i="5"/>
  <c r="E30" i="5"/>
  <c r="D30" i="5"/>
  <c r="D33" i="5"/>
  <c r="C33" i="5"/>
  <c r="I33" i="5"/>
  <c r="B33" i="5"/>
  <c r="F33" i="5"/>
  <c r="E33" i="5"/>
  <c r="F34" i="5"/>
  <c r="E34" i="5"/>
  <c r="D34" i="5"/>
  <c r="I34" i="5"/>
  <c r="B34" i="5"/>
  <c r="C34" i="5"/>
  <c r="B39" i="5"/>
  <c r="E39" i="5"/>
  <c r="I39" i="5"/>
  <c r="D39" i="5"/>
  <c r="C39" i="5"/>
  <c r="F39" i="5"/>
  <c r="F43" i="5"/>
  <c r="E43" i="5"/>
  <c r="I43" i="5"/>
  <c r="D43" i="5"/>
  <c r="C43" i="5"/>
  <c r="B43" i="5"/>
  <c r="F47" i="5"/>
  <c r="I47" i="5"/>
  <c r="D47" i="5"/>
  <c r="C47" i="5"/>
  <c r="B47" i="5"/>
  <c r="E47" i="5"/>
  <c r="D28" i="5"/>
  <c r="F28" i="5"/>
  <c r="E28" i="5"/>
  <c r="I28" i="5"/>
  <c r="B28" i="5"/>
  <c r="C28" i="5"/>
  <c r="C38" i="5"/>
  <c r="I38" i="5"/>
  <c r="B38" i="5"/>
  <c r="F38" i="5"/>
  <c r="E38" i="5"/>
  <c r="D38" i="5"/>
  <c r="F31" i="5"/>
  <c r="B31" i="5"/>
  <c r="E31" i="5"/>
  <c r="I31" i="5"/>
  <c r="D31" i="5"/>
  <c r="C31" i="5"/>
  <c r="D42" i="5"/>
  <c r="F42" i="5"/>
  <c r="E42" i="5"/>
  <c r="I42" i="5"/>
  <c r="B42" i="5"/>
  <c r="C42" i="5"/>
  <c r="I48" i="5"/>
  <c r="D48" i="5"/>
  <c r="C48" i="5"/>
  <c r="B48" i="5"/>
  <c r="F48" i="5"/>
  <c r="E48" i="5"/>
  <c r="D41" i="5"/>
  <c r="C41" i="5"/>
  <c r="I41" i="5"/>
  <c r="B41" i="5"/>
  <c r="F41" i="5"/>
  <c r="E41" i="5"/>
  <c r="F32" i="5"/>
  <c r="I32" i="5"/>
  <c r="E32" i="5"/>
  <c r="D32" i="5"/>
  <c r="C32" i="5"/>
  <c r="B32" i="5"/>
  <c r="I37" i="5"/>
  <c r="E37" i="5"/>
  <c r="D37" i="5"/>
  <c r="F37" i="5"/>
  <c r="C37" i="5"/>
  <c r="B37" i="5"/>
  <c r="I38" i="9"/>
  <c r="F38" i="9"/>
  <c r="E38" i="9"/>
  <c r="D38" i="9"/>
  <c r="C38" i="9"/>
  <c r="B38" i="9"/>
  <c r="I35" i="9"/>
  <c r="B35" i="9"/>
  <c r="D35" i="9"/>
  <c r="C35" i="9"/>
  <c r="F35" i="9"/>
  <c r="E35" i="9"/>
  <c r="I31" i="9"/>
  <c r="F31" i="9"/>
  <c r="E31" i="9"/>
  <c r="D31" i="9"/>
  <c r="C31" i="9"/>
  <c r="B31" i="9"/>
  <c r="I30" i="9"/>
  <c r="F30" i="9"/>
  <c r="E30" i="9"/>
  <c r="D30" i="9"/>
  <c r="C30" i="9"/>
  <c r="B30" i="9"/>
  <c r="I45" i="9"/>
  <c r="E45" i="9"/>
  <c r="D45" i="9"/>
  <c r="C45" i="9"/>
  <c r="B45" i="9"/>
  <c r="F45" i="9"/>
  <c r="I28" i="9"/>
  <c r="F28" i="9"/>
  <c r="E28" i="9"/>
  <c r="D28" i="9"/>
  <c r="C28" i="9"/>
  <c r="B28" i="9"/>
  <c r="I32" i="9"/>
  <c r="F32" i="9"/>
  <c r="E32" i="9"/>
  <c r="D32" i="9"/>
  <c r="C32" i="9"/>
  <c r="B32" i="9"/>
  <c r="I42" i="9"/>
  <c r="F42" i="9"/>
  <c r="C42" i="9"/>
  <c r="E42" i="9"/>
  <c r="B42" i="9"/>
  <c r="D42" i="9"/>
  <c r="I33" i="9"/>
  <c r="F33" i="9"/>
  <c r="E33" i="9"/>
  <c r="D33" i="9"/>
  <c r="C33" i="9"/>
  <c r="B33" i="9"/>
  <c r="I46" i="9"/>
  <c r="F46" i="9"/>
  <c r="E46" i="9"/>
  <c r="D46" i="9"/>
  <c r="C46" i="9"/>
  <c r="B46" i="9"/>
  <c r="I39" i="9"/>
  <c r="F39" i="9"/>
  <c r="E39" i="9"/>
  <c r="D39" i="9"/>
  <c r="C39" i="9"/>
  <c r="B39" i="9"/>
  <c r="I41" i="9"/>
  <c r="F41" i="9"/>
  <c r="E41" i="9"/>
  <c r="D41" i="9"/>
  <c r="C41" i="9"/>
  <c r="B41" i="9"/>
  <c r="I48" i="9"/>
  <c r="F48" i="9"/>
  <c r="E48" i="9"/>
  <c r="D48" i="9"/>
  <c r="C48" i="9"/>
  <c r="B48" i="9"/>
  <c r="I47" i="9"/>
  <c r="F47" i="9"/>
  <c r="E47" i="9"/>
  <c r="D47" i="9"/>
  <c r="C47" i="9"/>
  <c r="B47" i="9"/>
  <c r="I43" i="9"/>
  <c r="F43" i="9"/>
  <c r="B43" i="9"/>
  <c r="E43" i="9"/>
  <c r="D43" i="9"/>
  <c r="C43" i="9"/>
  <c r="I34" i="9"/>
  <c r="F34" i="9"/>
  <c r="E34" i="9"/>
  <c r="D34" i="9"/>
  <c r="C34" i="9"/>
  <c r="B34" i="9"/>
  <c r="I36" i="9"/>
  <c r="F36" i="9"/>
  <c r="E36" i="9"/>
  <c r="D36" i="9"/>
  <c r="C36" i="9"/>
  <c r="B36" i="9"/>
  <c r="I40" i="9"/>
  <c r="F40" i="9"/>
  <c r="E40" i="9"/>
  <c r="D40" i="9"/>
  <c r="C40" i="9"/>
  <c r="B40" i="9"/>
  <c r="I29" i="9"/>
  <c r="C29" i="9"/>
  <c r="F29" i="9"/>
  <c r="E29" i="9"/>
  <c r="D29" i="9"/>
  <c r="B29" i="9"/>
  <c r="I37" i="9"/>
  <c r="F37" i="9"/>
  <c r="B37" i="9"/>
  <c r="E37" i="9"/>
  <c r="D37" i="9"/>
  <c r="C37" i="9"/>
  <c r="I44" i="9"/>
  <c r="F44" i="9"/>
  <c r="E44" i="9"/>
  <c r="D44" i="9"/>
  <c r="C44" i="9"/>
  <c r="B44" i="9"/>
  <c r="F3" i="5"/>
  <c r="I4" i="5"/>
  <c r="I4" i="9"/>
  <c r="F3" i="9"/>
  <c r="I9" i="5"/>
  <c r="G13" i="9"/>
  <c r="I9" i="9" s="1"/>
  <c r="I8" i="5"/>
  <c r="I12" i="5"/>
  <c r="I10" i="5"/>
  <c r="G12" i="1"/>
  <c r="D9" i="1"/>
  <c r="D10" i="1"/>
  <c r="D11" i="1"/>
  <c r="D12" i="1"/>
  <c r="D8" i="1"/>
  <c r="C13" i="1"/>
  <c r="E8" i="1" s="1"/>
  <c r="F8" i="1" s="1"/>
  <c r="C4" i="1"/>
  <c r="L43" i="9" l="1"/>
  <c r="L37" i="9"/>
  <c r="L40" i="9"/>
  <c r="L34" i="9"/>
  <c r="L47" i="9"/>
  <c r="L41" i="9"/>
  <c r="L46" i="9"/>
  <c r="L42" i="9"/>
  <c r="L28" i="9"/>
  <c r="L31" i="9"/>
  <c r="L35" i="9"/>
  <c r="N37" i="5"/>
  <c r="M37" i="5"/>
  <c r="P37" i="5"/>
  <c r="L37" i="5"/>
  <c r="O37" i="5"/>
  <c r="N45" i="5"/>
  <c r="O45" i="5"/>
  <c r="M45" i="5"/>
  <c r="P45" i="5"/>
  <c r="L45" i="5"/>
  <c r="M46" i="5"/>
  <c r="P46" i="5"/>
  <c r="L46" i="5"/>
  <c r="N46" i="5"/>
  <c r="O46" i="5"/>
  <c r="O32" i="5"/>
  <c r="P32" i="5"/>
  <c r="N32" i="5"/>
  <c r="M32" i="5"/>
  <c r="L32" i="5"/>
  <c r="M42" i="5"/>
  <c r="P42" i="5"/>
  <c r="L42" i="5"/>
  <c r="O42" i="5"/>
  <c r="N42" i="5"/>
  <c r="M38" i="5"/>
  <c r="P38" i="5"/>
  <c r="L38" i="5"/>
  <c r="N38" i="5"/>
  <c r="O38" i="5"/>
  <c r="O28" i="5"/>
  <c r="P28" i="5"/>
  <c r="N28" i="5"/>
  <c r="L28" i="5"/>
  <c r="M28" i="5"/>
  <c r="P47" i="5"/>
  <c r="L47" i="5"/>
  <c r="O47" i="5"/>
  <c r="N47" i="5"/>
  <c r="M47" i="5"/>
  <c r="M30" i="5"/>
  <c r="N30" i="5"/>
  <c r="P30" i="5"/>
  <c r="L30" i="5"/>
  <c r="O30" i="5"/>
  <c r="O36" i="5"/>
  <c r="P36" i="5"/>
  <c r="N36" i="5"/>
  <c r="L36" i="5"/>
  <c r="M36" i="5"/>
  <c r="P31" i="5"/>
  <c r="L31" i="5"/>
  <c r="O31" i="5"/>
  <c r="M31" i="5"/>
  <c r="N31" i="5"/>
  <c r="M34" i="5"/>
  <c r="N34" i="5"/>
  <c r="P34" i="5"/>
  <c r="L34" i="5"/>
  <c r="O34" i="5"/>
  <c r="L44" i="9"/>
  <c r="L29" i="9"/>
  <c r="L36" i="9"/>
  <c r="L48" i="9"/>
  <c r="L39" i="9"/>
  <c r="L33" i="9"/>
  <c r="L32" i="9"/>
  <c r="L45" i="9"/>
  <c r="L30" i="9"/>
  <c r="L38" i="9"/>
  <c r="N41" i="5"/>
  <c r="O41" i="5"/>
  <c r="M41" i="5"/>
  <c r="P41" i="5"/>
  <c r="L41" i="5"/>
  <c r="O48" i="5"/>
  <c r="L48" i="5"/>
  <c r="N48" i="5"/>
  <c r="M48" i="5"/>
  <c r="P48" i="5"/>
  <c r="P43" i="5"/>
  <c r="L43" i="5"/>
  <c r="O43" i="5"/>
  <c r="M43" i="5"/>
  <c r="N43" i="5"/>
  <c r="P39" i="5"/>
  <c r="L39" i="5"/>
  <c r="M39" i="5"/>
  <c r="O39" i="5"/>
  <c r="N39" i="5"/>
  <c r="N33" i="5"/>
  <c r="M33" i="5"/>
  <c r="O33" i="5"/>
  <c r="P33" i="5"/>
  <c r="L33" i="5"/>
  <c r="O44" i="5"/>
  <c r="L44" i="5"/>
  <c r="N44" i="5"/>
  <c r="M44" i="5"/>
  <c r="P44" i="5"/>
  <c r="P35" i="5"/>
  <c r="L35" i="5"/>
  <c r="O35" i="5"/>
  <c r="N35" i="5"/>
  <c r="M35" i="5"/>
  <c r="O40" i="5"/>
  <c r="N40" i="5"/>
  <c r="P40" i="5"/>
  <c r="M40" i="5"/>
  <c r="L40" i="5"/>
  <c r="N29" i="5"/>
  <c r="M29" i="5"/>
  <c r="P29" i="5"/>
  <c r="L29" i="5"/>
  <c r="O29" i="5"/>
  <c r="N40" i="9"/>
  <c r="M40" i="9"/>
  <c r="P40" i="9"/>
  <c r="O40" i="9"/>
  <c r="P34" i="9"/>
  <c r="O34" i="9"/>
  <c r="N34" i="9"/>
  <c r="M34" i="9"/>
  <c r="P47" i="9"/>
  <c r="O47" i="9"/>
  <c r="N47" i="9"/>
  <c r="M47" i="9"/>
  <c r="P42" i="9"/>
  <c r="O42" i="9"/>
  <c r="N42" i="9"/>
  <c r="M42" i="9"/>
  <c r="O28" i="9"/>
  <c r="P28" i="9"/>
  <c r="N28" i="9"/>
  <c r="M28" i="9"/>
  <c r="P31" i="9"/>
  <c r="O31" i="9"/>
  <c r="N31" i="9"/>
  <c r="M31" i="9"/>
  <c r="P35" i="9"/>
  <c r="O35" i="9"/>
  <c r="N35" i="9"/>
  <c r="M35" i="9"/>
  <c r="P37" i="9"/>
  <c r="O37" i="9"/>
  <c r="N37" i="9"/>
  <c r="M37" i="9"/>
  <c r="P41" i="9"/>
  <c r="O41" i="9"/>
  <c r="N41" i="9"/>
  <c r="M41" i="9"/>
  <c r="P46" i="9"/>
  <c r="O46" i="9"/>
  <c r="N46" i="9"/>
  <c r="M46" i="9"/>
  <c r="M44" i="9"/>
  <c r="P44" i="9"/>
  <c r="O44" i="9"/>
  <c r="N44" i="9"/>
  <c r="P29" i="9"/>
  <c r="O29" i="9"/>
  <c r="N29" i="9"/>
  <c r="M29" i="9"/>
  <c r="P36" i="9"/>
  <c r="M36" i="9"/>
  <c r="O36" i="9"/>
  <c r="N36" i="9"/>
  <c r="P43" i="9"/>
  <c r="O43" i="9"/>
  <c r="N43" i="9"/>
  <c r="M43" i="9"/>
  <c r="N48" i="9"/>
  <c r="M48" i="9"/>
  <c r="P48" i="9"/>
  <c r="O48" i="9"/>
  <c r="P39" i="9"/>
  <c r="O39" i="9"/>
  <c r="N39" i="9"/>
  <c r="M39" i="9"/>
  <c r="P33" i="9"/>
  <c r="O33" i="9"/>
  <c r="N33" i="9"/>
  <c r="M33" i="9"/>
  <c r="M32" i="9"/>
  <c r="N32" i="9"/>
  <c r="P32" i="9"/>
  <c r="O32" i="9"/>
  <c r="P45" i="9"/>
  <c r="O45" i="9"/>
  <c r="N45" i="9"/>
  <c r="M45" i="9"/>
  <c r="P30" i="9"/>
  <c r="O30" i="9"/>
  <c r="N30" i="9"/>
  <c r="M30" i="9"/>
  <c r="P38" i="9"/>
  <c r="O38" i="9"/>
  <c r="N38" i="9"/>
  <c r="M38" i="9"/>
  <c r="H10" i="9"/>
  <c r="H11" i="9"/>
  <c r="H12" i="9"/>
  <c r="H8" i="9"/>
  <c r="H9" i="9"/>
  <c r="I13" i="5"/>
  <c r="I12" i="9"/>
  <c r="I8" i="9"/>
  <c r="I10" i="9"/>
  <c r="I11" i="9"/>
  <c r="C5" i="1"/>
  <c r="E12" i="1"/>
  <c r="F12" i="1" s="1"/>
  <c r="D13" i="1"/>
  <c r="E9" i="1"/>
  <c r="F9" i="1" s="1"/>
  <c r="G9" i="1" s="1"/>
  <c r="E10" i="1"/>
  <c r="F10" i="1" s="1"/>
  <c r="G10" i="1" s="1"/>
  <c r="E11" i="1"/>
  <c r="F11" i="1" s="1"/>
  <c r="G11" i="1" s="1"/>
  <c r="R36" i="5" l="1"/>
  <c r="S36" i="5" s="1"/>
  <c r="R28" i="5"/>
  <c r="S28" i="5" s="1"/>
  <c r="R42" i="5"/>
  <c r="S42" i="5" s="1"/>
  <c r="R33" i="5"/>
  <c r="S33" i="5" s="1"/>
  <c r="R39" i="5"/>
  <c r="S39" i="5" s="1"/>
  <c r="R41" i="5"/>
  <c r="S41" i="5" s="1"/>
  <c r="R31" i="5"/>
  <c r="S31" i="5" s="1"/>
  <c r="R30" i="5"/>
  <c r="S30" i="5" s="1"/>
  <c r="R47" i="5"/>
  <c r="S47" i="5" s="1"/>
  <c r="R45" i="5"/>
  <c r="S45" i="5" s="1"/>
  <c r="R29" i="5"/>
  <c r="S29" i="5" s="1"/>
  <c r="R40" i="5"/>
  <c r="S40" i="5" s="1"/>
  <c r="R35" i="5"/>
  <c r="S35" i="5" s="1"/>
  <c r="R43" i="5"/>
  <c r="S43" i="5" s="1"/>
  <c r="R34" i="5"/>
  <c r="S34" i="5" s="1"/>
  <c r="R38" i="5"/>
  <c r="S38" i="5" s="1"/>
  <c r="R46" i="5"/>
  <c r="S46" i="5" s="1"/>
  <c r="R44" i="5"/>
  <c r="S44" i="5" s="1"/>
  <c r="R48" i="5"/>
  <c r="S48" i="5" s="1"/>
  <c r="R32" i="5"/>
  <c r="S32" i="5" s="1"/>
  <c r="R37" i="5"/>
  <c r="S37" i="5" s="1"/>
  <c r="R38" i="9"/>
  <c r="R46" i="9"/>
  <c r="R43" i="9"/>
  <c r="R44" i="9"/>
  <c r="R42" i="9"/>
  <c r="R31" i="9"/>
  <c r="R47" i="9"/>
  <c r="R35" i="9"/>
  <c r="R33" i="9"/>
  <c r="R36" i="9"/>
  <c r="R41" i="9"/>
  <c r="R30" i="9"/>
  <c r="R32" i="9"/>
  <c r="R39" i="9"/>
  <c r="R29" i="9"/>
  <c r="R37" i="9"/>
  <c r="R34" i="9"/>
  <c r="R45" i="9"/>
  <c r="R48" i="9"/>
  <c r="R28" i="9"/>
  <c r="R40" i="9"/>
  <c r="H46" i="1"/>
  <c r="I46" i="1" s="1"/>
  <c r="H41" i="1"/>
  <c r="I41" i="1" s="1"/>
  <c r="H34" i="1"/>
  <c r="I34" i="1" s="1"/>
  <c r="H40" i="1"/>
  <c r="H28" i="1"/>
  <c r="H42" i="1"/>
  <c r="H30" i="1"/>
  <c r="M4" i="1"/>
  <c r="H44" i="1"/>
  <c r="H48" i="1"/>
  <c r="H37" i="1"/>
  <c r="H39" i="1"/>
  <c r="H36" i="1"/>
  <c r="H35" i="1"/>
  <c r="H33" i="1"/>
  <c r="H38" i="1"/>
  <c r="H32" i="1"/>
  <c r="H47" i="1"/>
  <c r="H43" i="1"/>
  <c r="H45" i="1"/>
  <c r="H29" i="1"/>
  <c r="H31" i="1"/>
  <c r="H13" i="9"/>
  <c r="I13" i="9"/>
  <c r="G13" i="1"/>
  <c r="E13" i="1"/>
  <c r="D41" i="1" l="1"/>
  <c r="C41" i="1"/>
  <c r="O41" i="1" s="1"/>
  <c r="F46" i="1"/>
  <c r="F41" i="1"/>
  <c r="B41" i="1"/>
  <c r="M41" i="1" s="1"/>
  <c r="S29" i="9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E46" i="1"/>
  <c r="B46" i="1"/>
  <c r="M46" i="1" s="1"/>
  <c r="D46" i="1"/>
  <c r="E34" i="1"/>
  <c r="F34" i="1"/>
  <c r="D34" i="1"/>
  <c r="B34" i="1"/>
  <c r="L34" i="1" s="1"/>
  <c r="E41" i="1"/>
  <c r="C46" i="1"/>
  <c r="P46" i="1" s="1"/>
  <c r="C34" i="1"/>
  <c r="O34" i="1" s="1"/>
  <c r="F3" i="1"/>
  <c r="H10" i="1" s="1"/>
  <c r="I4" i="1"/>
  <c r="I38" i="1"/>
  <c r="D38" i="1"/>
  <c r="B38" i="1"/>
  <c r="E38" i="1"/>
  <c r="F38" i="1"/>
  <c r="C38" i="1"/>
  <c r="I43" i="1"/>
  <c r="F43" i="1"/>
  <c r="D43" i="1"/>
  <c r="B43" i="1"/>
  <c r="C43" i="1"/>
  <c r="E43" i="1"/>
  <c r="I45" i="1"/>
  <c r="C45" i="1"/>
  <c r="B45" i="1"/>
  <c r="F45" i="1"/>
  <c r="D45" i="1"/>
  <c r="E45" i="1"/>
  <c r="I37" i="1"/>
  <c r="B37" i="1"/>
  <c r="E37" i="1"/>
  <c r="D37" i="1"/>
  <c r="C37" i="1"/>
  <c r="F37" i="1"/>
  <c r="I40" i="1"/>
  <c r="F40" i="1"/>
  <c r="B40" i="1"/>
  <c r="E40" i="1"/>
  <c r="D40" i="1"/>
  <c r="C40" i="1"/>
  <c r="I39" i="1"/>
  <c r="C39" i="1"/>
  <c r="B39" i="1"/>
  <c r="F39" i="1"/>
  <c r="D39" i="1"/>
  <c r="E39" i="1"/>
  <c r="I32" i="1"/>
  <c r="E32" i="1"/>
  <c r="C32" i="1"/>
  <c r="B32" i="1"/>
  <c r="F32" i="1"/>
  <c r="D32" i="1"/>
  <c r="I36" i="1"/>
  <c r="D36" i="1"/>
  <c r="F36" i="1"/>
  <c r="B36" i="1"/>
  <c r="E36" i="1"/>
  <c r="C36" i="1"/>
  <c r="F28" i="1"/>
  <c r="I28" i="1"/>
  <c r="B28" i="1"/>
  <c r="C28" i="1"/>
  <c r="D28" i="1"/>
  <c r="E28" i="1"/>
  <c r="I31" i="1"/>
  <c r="F31" i="1"/>
  <c r="D31" i="1"/>
  <c r="E31" i="1"/>
  <c r="C31" i="1"/>
  <c r="B31" i="1"/>
  <c r="I44" i="1"/>
  <c r="E44" i="1"/>
  <c r="C44" i="1"/>
  <c r="D44" i="1"/>
  <c r="F44" i="1"/>
  <c r="B44" i="1"/>
  <c r="I42" i="1"/>
  <c r="C42" i="1"/>
  <c r="B42" i="1"/>
  <c r="D42" i="1"/>
  <c r="E42" i="1"/>
  <c r="F42" i="1"/>
  <c r="I35" i="1"/>
  <c r="C35" i="1"/>
  <c r="D35" i="1"/>
  <c r="F35" i="1"/>
  <c r="E35" i="1"/>
  <c r="B35" i="1"/>
  <c r="I48" i="1"/>
  <c r="B48" i="1"/>
  <c r="F48" i="1"/>
  <c r="E48" i="1"/>
  <c r="D48" i="1"/>
  <c r="C48" i="1"/>
  <c r="I30" i="1"/>
  <c r="F30" i="1"/>
  <c r="C30" i="1"/>
  <c r="E30" i="1"/>
  <c r="B30" i="1"/>
  <c r="D30" i="1"/>
  <c r="I47" i="1"/>
  <c r="E47" i="1"/>
  <c r="C47" i="1"/>
  <c r="B47" i="1"/>
  <c r="F47" i="1"/>
  <c r="D47" i="1"/>
  <c r="I29" i="1"/>
  <c r="D29" i="1"/>
  <c r="C29" i="1"/>
  <c r="E29" i="1"/>
  <c r="F29" i="1"/>
  <c r="B29" i="1"/>
  <c r="I33" i="1"/>
  <c r="B33" i="1"/>
  <c r="D33" i="1"/>
  <c r="C33" i="1"/>
  <c r="E33" i="1"/>
  <c r="F33" i="1"/>
  <c r="I10" i="1"/>
  <c r="I9" i="1"/>
  <c r="I8" i="1"/>
  <c r="I12" i="1"/>
  <c r="I11" i="1"/>
  <c r="P41" i="1" l="1"/>
  <c r="N41" i="1"/>
  <c r="P34" i="1"/>
  <c r="H8" i="1"/>
  <c r="O44" i="1"/>
  <c r="N44" i="1"/>
  <c r="M44" i="1"/>
  <c r="L44" i="1"/>
  <c r="P44" i="1"/>
  <c r="P31" i="1"/>
  <c r="L31" i="1"/>
  <c r="N31" i="1"/>
  <c r="O31" i="1"/>
  <c r="M31" i="1"/>
  <c r="O40" i="1"/>
  <c r="N40" i="1"/>
  <c r="M40" i="1"/>
  <c r="P40" i="1"/>
  <c r="L40" i="1"/>
  <c r="O28" i="1"/>
  <c r="M28" i="1"/>
  <c r="N28" i="1"/>
  <c r="L28" i="1"/>
  <c r="P28" i="1"/>
  <c r="L41" i="1"/>
  <c r="R41" i="1" s="1"/>
  <c r="L46" i="1"/>
  <c r="P47" i="1"/>
  <c r="L47" i="1"/>
  <c r="O47" i="1"/>
  <c r="N47" i="1"/>
  <c r="M47" i="1"/>
  <c r="O48" i="1"/>
  <c r="N48" i="1"/>
  <c r="M48" i="1"/>
  <c r="L48" i="1"/>
  <c r="P48" i="1"/>
  <c r="O46" i="1"/>
  <c r="N29" i="1"/>
  <c r="M29" i="1"/>
  <c r="L29" i="1"/>
  <c r="P29" i="1"/>
  <c r="O29" i="1"/>
  <c r="M30" i="1"/>
  <c r="P30" i="1"/>
  <c r="L30" i="1"/>
  <c r="O30" i="1"/>
  <c r="N30" i="1"/>
  <c r="P35" i="1"/>
  <c r="L35" i="1"/>
  <c r="O35" i="1"/>
  <c r="N35" i="1"/>
  <c r="M35" i="1"/>
  <c r="M42" i="1"/>
  <c r="P42" i="1"/>
  <c r="L42" i="1"/>
  <c r="O42" i="1"/>
  <c r="N42" i="1"/>
  <c r="O36" i="1"/>
  <c r="N36" i="1"/>
  <c r="M36" i="1"/>
  <c r="P36" i="1"/>
  <c r="L36" i="1"/>
  <c r="P39" i="1"/>
  <c r="L39" i="1"/>
  <c r="N39" i="1"/>
  <c r="O39" i="1"/>
  <c r="M39" i="1"/>
  <c r="N37" i="1"/>
  <c r="L37" i="1"/>
  <c r="M37" i="1"/>
  <c r="P37" i="1"/>
  <c r="O37" i="1"/>
  <c r="P43" i="1"/>
  <c r="L43" i="1"/>
  <c r="O43" i="1"/>
  <c r="N43" i="1"/>
  <c r="M43" i="1"/>
  <c r="N34" i="1"/>
  <c r="M34" i="1"/>
  <c r="N33" i="1"/>
  <c r="L33" i="1"/>
  <c r="M33" i="1"/>
  <c r="P33" i="1"/>
  <c r="O33" i="1"/>
  <c r="O32" i="1"/>
  <c r="N32" i="1"/>
  <c r="M32" i="1"/>
  <c r="L32" i="1"/>
  <c r="P32" i="1"/>
  <c r="N45" i="1"/>
  <c r="M45" i="1"/>
  <c r="P45" i="1"/>
  <c r="L45" i="1"/>
  <c r="O45" i="1"/>
  <c r="M38" i="1"/>
  <c r="P38" i="1"/>
  <c r="L38" i="1"/>
  <c r="O38" i="1"/>
  <c r="N38" i="1"/>
  <c r="N46" i="1"/>
  <c r="H11" i="1"/>
  <c r="H12" i="1"/>
  <c r="H9" i="1"/>
  <c r="I13" i="1"/>
  <c r="H10" i="5"/>
  <c r="H11" i="5"/>
  <c r="H12" i="5"/>
  <c r="H9" i="5"/>
  <c r="C17" i="5" s="1"/>
  <c r="H8" i="5"/>
  <c r="R32" i="1" l="1"/>
  <c r="R39" i="1"/>
  <c r="R35" i="1"/>
  <c r="R30" i="1"/>
  <c r="R31" i="1"/>
  <c r="R34" i="1"/>
  <c r="R29" i="1"/>
  <c r="R46" i="1"/>
  <c r="R43" i="1"/>
  <c r="R36" i="1"/>
  <c r="R42" i="1"/>
  <c r="R47" i="1"/>
  <c r="R38" i="1"/>
  <c r="R45" i="1"/>
  <c r="R33" i="1"/>
  <c r="R37" i="1"/>
  <c r="R48" i="1"/>
  <c r="R28" i="1"/>
  <c r="R40" i="1"/>
  <c r="R44" i="1"/>
  <c r="H13" i="1"/>
  <c r="C18" i="5"/>
  <c r="H13" i="5"/>
  <c r="S29" i="1" l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</calcChain>
</file>

<file path=xl/comments1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Must be &lt; 100% !!!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Must be &lt; 100% !!!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F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Must be &lt; 100% !!!</t>
        </r>
      </text>
    </comment>
  </commentList>
</comments>
</file>

<file path=xl/sharedStrings.xml><?xml version="1.0" encoding="utf-8"?>
<sst xmlns="http://schemas.openxmlformats.org/spreadsheetml/2006/main" count="205" uniqueCount="67">
  <si>
    <t>aA+bB -&gt; cC + dD</t>
  </si>
  <si>
    <t>vi</t>
  </si>
  <si>
    <t>X</t>
  </si>
  <si>
    <t>delta</t>
  </si>
  <si>
    <t>inert</t>
  </si>
  <si>
    <t>-</t>
  </si>
  <si>
    <t>Fio</t>
  </si>
  <si>
    <t>Qo</t>
  </si>
  <si>
    <t>L/h</t>
  </si>
  <si>
    <t>e</t>
  </si>
  <si>
    <t>yio</t>
  </si>
  <si>
    <t>Fi</t>
  </si>
  <si>
    <t>theta_i</t>
  </si>
  <si>
    <t>Ca</t>
  </si>
  <si>
    <t>Cio</t>
  </si>
  <si>
    <t>Ci</t>
  </si>
  <si>
    <t>TOTAL</t>
  </si>
  <si>
    <t>yi</t>
  </si>
  <si>
    <t>Cb</t>
  </si>
  <si>
    <t>Cc</t>
  </si>
  <si>
    <t>Cd</t>
  </si>
  <si>
    <t>Species</t>
  </si>
  <si>
    <t>V(X)</t>
  </si>
  <si>
    <t>ra (X)</t>
  </si>
  <si>
    <t>k</t>
  </si>
  <si>
    <t>Nio</t>
  </si>
  <si>
    <t>Ni</t>
  </si>
  <si>
    <t>ko</t>
  </si>
  <si>
    <t>Ea</t>
  </si>
  <si>
    <t>To</t>
  </si>
  <si>
    <t>T</t>
  </si>
  <si>
    <t>K</t>
  </si>
  <si>
    <t>dHrxn</t>
  </si>
  <si>
    <t>Cpi</t>
  </si>
  <si>
    <t>dCp</t>
  </si>
  <si>
    <t>J/mol</t>
  </si>
  <si>
    <t>Tref</t>
  </si>
  <si>
    <t>J/mol.K</t>
  </si>
  <si>
    <t>Cinert</t>
  </si>
  <si>
    <t>Vo</t>
  </si>
  <si>
    <t>L</t>
  </si>
  <si>
    <t>/h</t>
  </si>
  <si>
    <t>Batch Reactor</t>
  </si>
  <si>
    <t>Continuous Stirring Tank Reactor</t>
  </si>
  <si>
    <t>Plug Flow Reactor</t>
  </si>
  <si>
    <t>A</t>
  </si>
  <si>
    <t>B</t>
  </si>
  <si>
    <t>C</t>
  </si>
  <si>
    <t>D</t>
  </si>
  <si>
    <t>ra</t>
  </si>
  <si>
    <t>t (h)</t>
  </si>
  <si>
    <t>V (L)</t>
  </si>
  <si>
    <t>kCb</t>
  </si>
  <si>
    <t>Rate</t>
  </si>
  <si>
    <t>k (X)</t>
  </si>
  <si>
    <t>k.Ca</t>
  </si>
  <si>
    <t>k.Ca²</t>
  </si>
  <si>
    <t>k.Ca.Cb</t>
  </si>
  <si>
    <t>k.Cb</t>
  </si>
  <si>
    <t>k.Cb²</t>
  </si>
  <si>
    <t>V (X)</t>
  </si>
  <si>
    <t>T (X)</t>
  </si>
  <si>
    <t>Q (X)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</si>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</sst>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6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2" fontId="0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16" borderId="13" xfId="0" applyNumberFormat="1" applyFont="1" applyFill="1" applyBorder="1" applyAlignment="1">
      <alignment horizontal="center"/>
    </xf>
    <xf numFmtId="2" fontId="4" fillId="16" borderId="1" xfId="0" applyNumberFormat="1" applyFont="1" applyFill="1" applyBorder="1" applyAlignment="1">
      <alignment horizontal="center"/>
    </xf>
    <xf numFmtId="0" fontId="0" fillId="4" borderId="9" xfId="0" applyFont="1" applyFill="1" applyBorder="1"/>
    <xf numFmtId="2" fontId="1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0" borderId="0" xfId="0" applyBorder="1"/>
    <xf numFmtId="0" fontId="0" fillId="0" borderId="17" xfId="0" applyBorder="1"/>
    <xf numFmtId="0" fontId="1" fillId="0" borderId="18" xfId="0" applyFont="1" applyBorder="1"/>
    <xf numFmtId="0" fontId="0" fillId="0" borderId="19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0" xfId="0" applyFont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Batch!$B$27</c:f>
              <c:strCache>
                <c:ptCount val="1"/>
                <c:pt idx="0">
                  <c:v>Ca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Batch!$B$28:$B$48</c:f>
              <c:numCache>
                <c:formatCode>0.000</c:formatCode>
                <c:ptCount val="21"/>
                <c:pt idx="0">
                  <c:v>0.1</c:v>
                </c:pt>
                <c:pt idx="1">
                  <c:v>9.6292878752728669E-2</c:v>
                </c:pt>
                <c:pt idx="2">
                  <c:v>9.2487523977538372E-2</c:v>
                </c:pt>
                <c:pt idx="3">
                  <c:v>8.8579978670254411E-2</c:v>
                </c:pt>
                <c:pt idx="4">
                  <c:v>8.4566070408263055E-2</c:v>
                </c:pt>
                <c:pt idx="5">
                  <c:v>8.0441396489082009E-2</c:v>
                </c:pt>
                <c:pt idx="6">
                  <c:v>7.620130782139474E-2</c:v>
                </c:pt>
                <c:pt idx="7">
                  <c:v>7.1840891444635069E-2</c:v>
                </c:pt>
                <c:pt idx="8">
                  <c:v>6.7354951538943386E-2</c:v>
                </c:pt>
                <c:pt idx="9">
                  <c:v>6.2737988771170414E-2</c:v>
                </c:pt>
                <c:pt idx="10">
                  <c:v>5.7984177804308805E-2</c:v>
                </c:pt>
                <c:pt idx="11">
                  <c:v>5.308734277695782E-2</c:v>
                </c:pt>
                <c:pt idx="12">
                  <c:v>4.80409305357982E-2</c:v>
                </c:pt>
                <c:pt idx="13">
                  <c:v>4.2837981377125363E-2</c:v>
                </c:pt>
                <c:pt idx="14">
                  <c:v>3.7471097022743934E-2</c:v>
                </c:pt>
                <c:pt idx="15">
                  <c:v>3.1932405520351544E-2</c:v>
                </c:pt>
                <c:pt idx="16">
                  <c:v>2.6213522718215247E-2</c:v>
                </c:pt>
                <c:pt idx="17">
                  <c:v>2.0305509917618265E-2</c:v>
                </c:pt>
                <c:pt idx="18">
                  <c:v>1.4198827253219267E-2</c:v>
                </c:pt>
                <c:pt idx="19">
                  <c:v>7.8832822899215036E-3</c:v>
                </c:pt>
                <c:pt idx="20">
                  <c:v>1.347973253667522E-3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8-41E5-B458-01A5195D706D}"/>
            </c:ext>
          </c:extLst>
        </c:ser>
        <c:ser>
          <c:idx val="1"/>
          <c:order val="1"/>
          <c:tx>
            <c:strRef>
              <c:f>Batch!$C$27</c:f>
              <c:strCache>
                <c:ptCount val="1"/>
                <c:pt idx="0">
                  <c:v>Cb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Batch!$C$28:$C$48</c:f>
              <c:numCache>
                <c:formatCode>0.000</c:formatCode>
                <c:ptCount val="21"/>
                <c:pt idx="0">
                  <c:v>0.30000000000000004</c:v>
                </c:pt>
                <c:pt idx="1">
                  <c:v>0.28887863625818605</c:v>
                </c:pt>
                <c:pt idx="2">
                  <c:v>0.27746257193261509</c:v>
                </c:pt>
                <c:pt idx="3">
                  <c:v>0.26573993601076323</c:v>
                </c:pt>
                <c:pt idx="4">
                  <c:v>0.25369821122478908</c:v>
                </c:pt>
                <c:pt idx="5">
                  <c:v>0.2413241894672461</c:v>
                </c:pt>
                <c:pt idx="6">
                  <c:v>0.22860392346418423</c:v>
                </c:pt>
                <c:pt idx="7">
                  <c:v>0.21552267433390521</c:v>
                </c:pt>
                <c:pt idx="8">
                  <c:v>0.2020648546168301</c:v>
                </c:pt>
                <c:pt idx="9">
                  <c:v>0.18821396631351123</c:v>
                </c:pt>
                <c:pt idx="10">
                  <c:v>0.17395253341292641</c:v>
                </c:pt>
                <c:pt idx="11">
                  <c:v>0.15926202833087344</c:v>
                </c:pt>
                <c:pt idx="12">
                  <c:v>0.14412279160739461</c:v>
                </c:pt>
                <c:pt idx="13">
                  <c:v>0.12851394413137612</c:v>
                </c:pt>
                <c:pt idx="14">
                  <c:v>0.11241329106823182</c:v>
                </c:pt>
                <c:pt idx="15">
                  <c:v>9.579721656105461E-2</c:v>
                </c:pt>
                <c:pt idx="16">
                  <c:v>7.8640568154645721E-2</c:v>
                </c:pt>
                <c:pt idx="17">
                  <c:v>6.0916529752854796E-2</c:v>
                </c:pt>
                <c:pt idx="18">
                  <c:v>4.2596481759657821E-2</c:v>
                </c:pt>
                <c:pt idx="19">
                  <c:v>2.3649846869764537E-2</c:v>
                </c:pt>
                <c:pt idx="20">
                  <c:v>4.0439197610025509E-3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F8-41E5-B458-01A5195D706D}"/>
            </c:ext>
          </c:extLst>
        </c:ser>
        <c:ser>
          <c:idx val="2"/>
          <c:order val="2"/>
          <c:tx>
            <c:strRef>
              <c:f>Batch!$D$27</c:f>
              <c:strCache>
                <c:ptCount val="1"/>
                <c:pt idx="0">
                  <c:v>Cc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Batch!$D$28:$D$48</c:f>
              <c:numCache>
                <c:formatCode>0.000</c:formatCode>
                <c:ptCount val="21"/>
                <c:pt idx="0">
                  <c:v>0</c:v>
                </c:pt>
                <c:pt idx="1">
                  <c:v>1.0029452915854961E-2</c:v>
                </c:pt>
                <c:pt idx="2">
                  <c:v>2.0324672305829738E-2</c:v>
                </c:pt>
                <c:pt idx="3">
                  <c:v>3.0896363670071127E-2</c:v>
                </c:pt>
                <c:pt idx="4">
                  <c:v>4.1755815313805698E-2</c:v>
                </c:pt>
                <c:pt idx="5">
                  <c:v>5.2914938554279867E-2</c:v>
                </c:pt>
                <c:pt idx="6">
                  <c:v>6.4386311302857005E-2</c:v>
                </c:pt>
                <c:pt idx="7">
                  <c:v>7.6183225357508946E-2</c:v>
                </c:pt>
                <c:pt idx="8">
                  <c:v>8.8319737779541621E-2</c:v>
                </c:pt>
                <c:pt idx="9">
                  <c:v>0.10081072677207001</c:v>
                </c:pt>
                <c:pt idx="10">
                  <c:v>0.11367195252725883</c:v>
                </c:pt>
                <c:pt idx="11">
                  <c:v>0.12692012356554788</c:v>
                </c:pt>
                <c:pt idx="12">
                  <c:v>0.14057296915401049</c:v>
                </c:pt>
                <c:pt idx="13">
                  <c:v>0.15464931846384389</c:v>
                </c:pt>
                <c:pt idx="14">
                  <c:v>0.16916918721017288</c:v>
                </c:pt>
                <c:pt idx="15">
                  <c:v>0.18415387261251273</c:v>
                </c:pt>
                <c:pt idx="16">
                  <c:v>0.19962605762333141</c:v>
                </c:pt>
                <c:pt idx="17">
                  <c:v>0.21560992549748592</c:v>
                </c:pt>
                <c:pt idx="18">
                  <c:v>0.23213128591960286</c:v>
                </c:pt>
                <c:pt idx="19">
                  <c:v>0.24921771407298013</c:v>
                </c:pt>
                <c:pt idx="20">
                  <c:v>0.26689870422616613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F8-41E5-B458-01A5195D706D}"/>
            </c:ext>
          </c:extLst>
        </c:ser>
        <c:ser>
          <c:idx val="3"/>
          <c:order val="3"/>
          <c:tx>
            <c:strRef>
              <c:f>Batch!$E$27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Batch!$E$28:$E$48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F8-41E5-B458-01A5195D706D}"/>
            </c:ext>
          </c:extLst>
        </c:ser>
        <c:ser>
          <c:idx val="4"/>
          <c:order val="4"/>
          <c:tx>
            <c:strRef>
              <c:f>Batch!$F$27</c:f>
              <c:strCache>
                <c:ptCount val="1"/>
                <c:pt idx="0">
                  <c:v>Cinert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Batch!$F$28:$F$48</c:f>
              <c:numCache>
                <c:formatCode>0.000</c:formatCode>
                <c:ptCount val="21"/>
                <c:pt idx="0">
                  <c:v>0.2</c:v>
                </c:pt>
                <c:pt idx="1">
                  <c:v>0.20261521042131231</c:v>
                </c:pt>
                <c:pt idx="2">
                  <c:v>0.20529972026090648</c:v>
                </c:pt>
                <c:pt idx="3">
                  <c:v>0.20805632101057994</c:v>
                </c:pt>
                <c:pt idx="4">
                  <c:v>0.21088795613033179</c:v>
                </c:pt>
                <c:pt idx="5">
                  <c:v>0.21379773153244389</c:v>
                </c:pt>
                <c:pt idx="6">
                  <c:v>0.2167889269456465</c:v>
                </c:pt>
                <c:pt idx="7">
                  <c:v>0.21986500824677907</c:v>
                </c:pt>
                <c:pt idx="8">
                  <c:v>0.22302964085742838</c:v>
                </c:pt>
                <c:pt idx="9">
                  <c:v>0.22628670431441084</c:v>
                </c:pt>
                <c:pt idx="10">
                  <c:v>0.22964030813587641</c:v>
                </c:pt>
                <c:pt idx="11">
                  <c:v>0.23309480911946351</c:v>
                </c:pt>
                <c:pt idx="12">
                  <c:v>0.2366548302256069</c:v>
                </c:pt>
                <c:pt idx="13">
                  <c:v>0.24032528121809463</c:v>
                </c:pt>
                <c:pt idx="14">
                  <c:v>0.24411138125566076</c:v>
                </c:pt>
                <c:pt idx="15">
                  <c:v>0.24801868365321583</c:v>
                </c:pt>
                <c:pt idx="16">
                  <c:v>0.25205310305976192</c:v>
                </c:pt>
                <c:pt idx="17">
                  <c:v>0.25622094533272244</c:v>
                </c:pt>
                <c:pt idx="18">
                  <c:v>0.26052894042604136</c:v>
                </c:pt>
                <c:pt idx="19">
                  <c:v>0.26498427865282315</c:v>
                </c:pt>
                <c:pt idx="20">
                  <c:v>0.2695946507335012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F8-41E5-B458-01A5195D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6864"/>
        <c:axId val="164918784"/>
      </c:scatterChart>
      <c:valAx>
        <c:axId val="16475686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918784"/>
        <c:crosses val="autoZero"/>
        <c:crossBetween val="midCat"/>
      </c:valAx>
      <c:valAx>
        <c:axId val="1649187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Ci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475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CSTR!$B$27</c:f>
              <c:strCache>
                <c:ptCount val="1"/>
                <c:pt idx="0">
                  <c:v>Ca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CSTR!$B$28:$B$48</c:f>
              <c:numCache>
                <c:formatCode>0.000</c:formatCode>
                <c:ptCount val="21"/>
                <c:pt idx="0">
                  <c:v>0.1</c:v>
                </c:pt>
                <c:pt idx="1">
                  <c:v>9.6292878752728669E-2</c:v>
                </c:pt>
                <c:pt idx="2">
                  <c:v>9.2487523977538372E-2</c:v>
                </c:pt>
                <c:pt idx="3">
                  <c:v>8.8579978670254411E-2</c:v>
                </c:pt>
                <c:pt idx="4">
                  <c:v>8.4566070408263055E-2</c:v>
                </c:pt>
                <c:pt idx="5">
                  <c:v>8.0441396489082009E-2</c:v>
                </c:pt>
                <c:pt idx="6">
                  <c:v>7.620130782139474E-2</c:v>
                </c:pt>
                <c:pt idx="7">
                  <c:v>7.1840891444635069E-2</c:v>
                </c:pt>
                <c:pt idx="8">
                  <c:v>6.7354951538943386E-2</c:v>
                </c:pt>
                <c:pt idx="9">
                  <c:v>6.2737988771170414E-2</c:v>
                </c:pt>
                <c:pt idx="10">
                  <c:v>5.7984177804308805E-2</c:v>
                </c:pt>
                <c:pt idx="11">
                  <c:v>5.308734277695782E-2</c:v>
                </c:pt>
                <c:pt idx="12">
                  <c:v>4.80409305357982E-2</c:v>
                </c:pt>
                <c:pt idx="13">
                  <c:v>4.2837981377125363E-2</c:v>
                </c:pt>
                <c:pt idx="14">
                  <c:v>3.7471097022743934E-2</c:v>
                </c:pt>
                <c:pt idx="15">
                  <c:v>3.1932405520351544E-2</c:v>
                </c:pt>
                <c:pt idx="16">
                  <c:v>2.6213522718215247E-2</c:v>
                </c:pt>
                <c:pt idx="17">
                  <c:v>2.0305509917618265E-2</c:v>
                </c:pt>
                <c:pt idx="18">
                  <c:v>1.4198827253219267E-2</c:v>
                </c:pt>
                <c:pt idx="19">
                  <c:v>7.8832822899215036E-3</c:v>
                </c:pt>
                <c:pt idx="20">
                  <c:v>1.347973253667522E-3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D7-49F5-9641-0318BBFC13B1}"/>
            </c:ext>
          </c:extLst>
        </c:ser>
        <c:ser>
          <c:idx val="1"/>
          <c:order val="1"/>
          <c:tx>
            <c:strRef>
              <c:f>CSTR!$C$27</c:f>
              <c:strCache>
                <c:ptCount val="1"/>
                <c:pt idx="0">
                  <c:v>Cb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CSTR!$C$28:$C$48</c:f>
              <c:numCache>
                <c:formatCode>0.000</c:formatCode>
                <c:ptCount val="21"/>
                <c:pt idx="0">
                  <c:v>0.30000000000000004</c:v>
                </c:pt>
                <c:pt idx="1">
                  <c:v>0.28887863625818605</c:v>
                </c:pt>
                <c:pt idx="2">
                  <c:v>0.27746257193261509</c:v>
                </c:pt>
                <c:pt idx="3">
                  <c:v>0.26573993601076323</c:v>
                </c:pt>
                <c:pt idx="4">
                  <c:v>0.25369821122478908</c:v>
                </c:pt>
                <c:pt idx="5">
                  <c:v>0.2413241894672461</c:v>
                </c:pt>
                <c:pt idx="6">
                  <c:v>0.22860392346418423</c:v>
                </c:pt>
                <c:pt idx="7">
                  <c:v>0.21552267433390521</c:v>
                </c:pt>
                <c:pt idx="8">
                  <c:v>0.2020648546168301</c:v>
                </c:pt>
                <c:pt idx="9">
                  <c:v>0.18821396631351123</c:v>
                </c:pt>
                <c:pt idx="10">
                  <c:v>0.17395253341292641</c:v>
                </c:pt>
                <c:pt idx="11">
                  <c:v>0.15926202833087344</c:v>
                </c:pt>
                <c:pt idx="12">
                  <c:v>0.14412279160739461</c:v>
                </c:pt>
                <c:pt idx="13">
                  <c:v>0.12851394413137612</c:v>
                </c:pt>
                <c:pt idx="14">
                  <c:v>0.11241329106823182</c:v>
                </c:pt>
                <c:pt idx="15">
                  <c:v>9.579721656105461E-2</c:v>
                </c:pt>
                <c:pt idx="16">
                  <c:v>7.8640568154645721E-2</c:v>
                </c:pt>
                <c:pt idx="17">
                  <c:v>6.0916529752854796E-2</c:v>
                </c:pt>
                <c:pt idx="18">
                  <c:v>4.2596481759657821E-2</c:v>
                </c:pt>
                <c:pt idx="19">
                  <c:v>2.3649846869764537E-2</c:v>
                </c:pt>
                <c:pt idx="20">
                  <c:v>4.0439197610025509E-3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D7-49F5-9641-0318BBFC13B1}"/>
            </c:ext>
          </c:extLst>
        </c:ser>
        <c:ser>
          <c:idx val="2"/>
          <c:order val="2"/>
          <c:tx>
            <c:strRef>
              <c:f>CSTR!$D$27</c:f>
              <c:strCache>
                <c:ptCount val="1"/>
                <c:pt idx="0">
                  <c:v>Cc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CSTR!$D$28:$D$48</c:f>
              <c:numCache>
                <c:formatCode>0.000</c:formatCode>
                <c:ptCount val="21"/>
                <c:pt idx="0">
                  <c:v>0</c:v>
                </c:pt>
                <c:pt idx="1">
                  <c:v>1.0029452915854961E-2</c:v>
                </c:pt>
                <c:pt idx="2">
                  <c:v>2.0324672305829738E-2</c:v>
                </c:pt>
                <c:pt idx="3">
                  <c:v>3.0896363670071127E-2</c:v>
                </c:pt>
                <c:pt idx="4">
                  <c:v>4.1755815313805698E-2</c:v>
                </c:pt>
                <c:pt idx="5">
                  <c:v>5.2914938554279867E-2</c:v>
                </c:pt>
                <c:pt idx="6">
                  <c:v>6.4386311302857005E-2</c:v>
                </c:pt>
                <c:pt idx="7">
                  <c:v>7.6183225357508946E-2</c:v>
                </c:pt>
                <c:pt idx="8">
                  <c:v>8.8319737779541621E-2</c:v>
                </c:pt>
                <c:pt idx="9">
                  <c:v>0.10081072677207001</c:v>
                </c:pt>
                <c:pt idx="10">
                  <c:v>0.11367195252725883</c:v>
                </c:pt>
                <c:pt idx="11">
                  <c:v>0.12692012356554788</c:v>
                </c:pt>
                <c:pt idx="12">
                  <c:v>0.14057296915401049</c:v>
                </c:pt>
                <c:pt idx="13">
                  <c:v>0.15464931846384389</c:v>
                </c:pt>
                <c:pt idx="14">
                  <c:v>0.16916918721017288</c:v>
                </c:pt>
                <c:pt idx="15">
                  <c:v>0.18415387261251273</c:v>
                </c:pt>
                <c:pt idx="16">
                  <c:v>0.19962605762333141</c:v>
                </c:pt>
                <c:pt idx="17">
                  <c:v>0.21560992549748592</c:v>
                </c:pt>
                <c:pt idx="18">
                  <c:v>0.23213128591960286</c:v>
                </c:pt>
                <c:pt idx="19">
                  <c:v>0.24921771407298013</c:v>
                </c:pt>
                <c:pt idx="20">
                  <c:v>0.26689870422616613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D7-49F5-9641-0318BBFC13B1}"/>
            </c:ext>
          </c:extLst>
        </c:ser>
        <c:ser>
          <c:idx val="3"/>
          <c:order val="3"/>
          <c:tx>
            <c:strRef>
              <c:f>CSTR!$E$27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CSTR!$E$28:$E$48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D7-49F5-9641-0318BBFC13B1}"/>
            </c:ext>
          </c:extLst>
        </c:ser>
        <c:ser>
          <c:idx val="4"/>
          <c:order val="4"/>
          <c:tx>
            <c:strRef>
              <c:f>CSTR!$F$27</c:f>
              <c:strCache>
                <c:ptCount val="1"/>
                <c:pt idx="0">
                  <c:v>Cinert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CSTR!$F$28:$F$48</c:f>
              <c:numCache>
                <c:formatCode>0.000</c:formatCode>
                <c:ptCount val="21"/>
                <c:pt idx="0">
                  <c:v>0.2</c:v>
                </c:pt>
                <c:pt idx="1">
                  <c:v>0.20261521042131231</c:v>
                </c:pt>
                <c:pt idx="2">
                  <c:v>0.20529972026090648</c:v>
                </c:pt>
                <c:pt idx="3">
                  <c:v>0.20805632101057994</c:v>
                </c:pt>
                <c:pt idx="4">
                  <c:v>0.21088795613033179</c:v>
                </c:pt>
                <c:pt idx="5">
                  <c:v>0.21379773153244389</c:v>
                </c:pt>
                <c:pt idx="6">
                  <c:v>0.2167889269456465</c:v>
                </c:pt>
                <c:pt idx="7">
                  <c:v>0.21986500824677907</c:v>
                </c:pt>
                <c:pt idx="8">
                  <c:v>0.22302964085742838</c:v>
                </c:pt>
                <c:pt idx="9">
                  <c:v>0.22628670431441084</c:v>
                </c:pt>
                <c:pt idx="10">
                  <c:v>0.22964030813587641</c:v>
                </c:pt>
                <c:pt idx="11">
                  <c:v>0.23309480911946351</c:v>
                </c:pt>
                <c:pt idx="12">
                  <c:v>0.2366548302256069</c:v>
                </c:pt>
                <c:pt idx="13">
                  <c:v>0.24032528121809463</c:v>
                </c:pt>
                <c:pt idx="14">
                  <c:v>0.24411138125566076</c:v>
                </c:pt>
                <c:pt idx="15">
                  <c:v>0.24801868365321583</c:v>
                </c:pt>
                <c:pt idx="16">
                  <c:v>0.25205310305976192</c:v>
                </c:pt>
                <c:pt idx="17">
                  <c:v>0.25622094533272244</c:v>
                </c:pt>
                <c:pt idx="18">
                  <c:v>0.26052894042604136</c:v>
                </c:pt>
                <c:pt idx="19">
                  <c:v>0.26498427865282315</c:v>
                </c:pt>
                <c:pt idx="20">
                  <c:v>0.2695946507335012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D7-49F5-9641-0318BBFC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5296"/>
        <c:axId val="165105664"/>
      </c:scatterChart>
      <c:valAx>
        <c:axId val="16509529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5105664"/>
        <c:crosses val="autoZero"/>
        <c:crossBetween val="midCat"/>
      </c:valAx>
      <c:valAx>
        <c:axId val="1651056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Ci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509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75" footer="0.314960620000001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PFR!$B$27</c:f>
              <c:strCache>
                <c:ptCount val="1"/>
                <c:pt idx="0">
                  <c:v>Ca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PFR!$B$28:$B$48</c:f>
              <c:numCache>
                <c:formatCode>0.000</c:formatCode>
                <c:ptCount val="21"/>
                <c:pt idx="0">
                  <c:v>0.1</c:v>
                </c:pt>
                <c:pt idx="1">
                  <c:v>9.6292878752728669E-2</c:v>
                </c:pt>
                <c:pt idx="2">
                  <c:v>9.2487523977538372E-2</c:v>
                </c:pt>
                <c:pt idx="3">
                  <c:v>8.8579978670254411E-2</c:v>
                </c:pt>
                <c:pt idx="4">
                  <c:v>8.4566070408263055E-2</c:v>
                </c:pt>
                <c:pt idx="5">
                  <c:v>8.0441396489082009E-2</c:v>
                </c:pt>
                <c:pt idx="6">
                  <c:v>7.620130782139474E-2</c:v>
                </c:pt>
                <c:pt idx="7">
                  <c:v>7.1840891444635069E-2</c:v>
                </c:pt>
                <c:pt idx="8">
                  <c:v>6.7354951538943386E-2</c:v>
                </c:pt>
                <c:pt idx="9">
                  <c:v>6.2737988771170414E-2</c:v>
                </c:pt>
                <c:pt idx="10">
                  <c:v>5.7984177804308805E-2</c:v>
                </c:pt>
                <c:pt idx="11">
                  <c:v>5.308734277695782E-2</c:v>
                </c:pt>
                <c:pt idx="12">
                  <c:v>4.80409305357982E-2</c:v>
                </c:pt>
                <c:pt idx="13">
                  <c:v>4.2837981377125363E-2</c:v>
                </c:pt>
                <c:pt idx="14">
                  <c:v>3.7471097022743934E-2</c:v>
                </c:pt>
                <c:pt idx="15">
                  <c:v>3.1932405520351544E-2</c:v>
                </c:pt>
                <c:pt idx="16">
                  <c:v>2.6213522718215247E-2</c:v>
                </c:pt>
                <c:pt idx="17">
                  <c:v>2.0305509917618265E-2</c:v>
                </c:pt>
                <c:pt idx="18">
                  <c:v>1.4198827253219267E-2</c:v>
                </c:pt>
                <c:pt idx="19">
                  <c:v>7.8832822899215036E-3</c:v>
                </c:pt>
                <c:pt idx="20">
                  <c:v>1.347973253667522E-3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C-40C0-86D4-6BB385933D6B}"/>
            </c:ext>
          </c:extLst>
        </c:ser>
        <c:ser>
          <c:idx val="1"/>
          <c:order val="1"/>
          <c:tx>
            <c:strRef>
              <c:f>PFR!$C$27</c:f>
              <c:strCache>
                <c:ptCount val="1"/>
                <c:pt idx="0">
                  <c:v>Cb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PFR!$C$28:$C$48</c:f>
              <c:numCache>
                <c:formatCode>0.000</c:formatCode>
                <c:ptCount val="21"/>
                <c:pt idx="0">
                  <c:v>0.30000000000000004</c:v>
                </c:pt>
                <c:pt idx="1">
                  <c:v>0.28887863625818605</c:v>
                </c:pt>
                <c:pt idx="2">
                  <c:v>0.27746257193261509</c:v>
                </c:pt>
                <c:pt idx="3">
                  <c:v>0.26573993601076323</c:v>
                </c:pt>
                <c:pt idx="4">
                  <c:v>0.25369821122478908</c:v>
                </c:pt>
                <c:pt idx="5">
                  <c:v>0.2413241894672461</c:v>
                </c:pt>
                <c:pt idx="6">
                  <c:v>0.22860392346418423</c:v>
                </c:pt>
                <c:pt idx="7">
                  <c:v>0.21552267433390521</c:v>
                </c:pt>
                <c:pt idx="8">
                  <c:v>0.2020648546168301</c:v>
                </c:pt>
                <c:pt idx="9">
                  <c:v>0.18821396631351123</c:v>
                </c:pt>
                <c:pt idx="10">
                  <c:v>0.17395253341292641</c:v>
                </c:pt>
                <c:pt idx="11">
                  <c:v>0.15926202833087344</c:v>
                </c:pt>
                <c:pt idx="12">
                  <c:v>0.14412279160739461</c:v>
                </c:pt>
                <c:pt idx="13">
                  <c:v>0.12851394413137612</c:v>
                </c:pt>
                <c:pt idx="14">
                  <c:v>0.11241329106823182</c:v>
                </c:pt>
                <c:pt idx="15">
                  <c:v>9.579721656105461E-2</c:v>
                </c:pt>
                <c:pt idx="16">
                  <c:v>7.8640568154645721E-2</c:v>
                </c:pt>
                <c:pt idx="17">
                  <c:v>6.0916529752854796E-2</c:v>
                </c:pt>
                <c:pt idx="18">
                  <c:v>4.2596481759657821E-2</c:v>
                </c:pt>
                <c:pt idx="19">
                  <c:v>2.3649846869764537E-2</c:v>
                </c:pt>
                <c:pt idx="20">
                  <c:v>4.0439197610025509E-3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C-40C0-86D4-6BB385933D6B}"/>
            </c:ext>
          </c:extLst>
        </c:ser>
        <c:ser>
          <c:idx val="2"/>
          <c:order val="2"/>
          <c:tx>
            <c:strRef>
              <c:f>PFR!$D$27</c:f>
              <c:strCache>
                <c:ptCount val="1"/>
                <c:pt idx="0">
                  <c:v>Cc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PFR!$D$28:$D$48</c:f>
              <c:numCache>
                <c:formatCode>0.000</c:formatCode>
                <c:ptCount val="21"/>
                <c:pt idx="0">
                  <c:v>0</c:v>
                </c:pt>
                <c:pt idx="1">
                  <c:v>1.0029452915854961E-2</c:v>
                </c:pt>
                <c:pt idx="2">
                  <c:v>2.0324672305829738E-2</c:v>
                </c:pt>
                <c:pt idx="3">
                  <c:v>3.0896363670071127E-2</c:v>
                </c:pt>
                <c:pt idx="4">
                  <c:v>4.1755815313805698E-2</c:v>
                </c:pt>
                <c:pt idx="5">
                  <c:v>5.2914938554279867E-2</c:v>
                </c:pt>
                <c:pt idx="6">
                  <c:v>6.4386311302857005E-2</c:v>
                </c:pt>
                <c:pt idx="7">
                  <c:v>7.6183225357508946E-2</c:v>
                </c:pt>
                <c:pt idx="8">
                  <c:v>8.8319737779541621E-2</c:v>
                </c:pt>
                <c:pt idx="9">
                  <c:v>0.10081072677207001</c:v>
                </c:pt>
                <c:pt idx="10">
                  <c:v>0.11367195252725883</c:v>
                </c:pt>
                <c:pt idx="11">
                  <c:v>0.12692012356554788</c:v>
                </c:pt>
                <c:pt idx="12">
                  <c:v>0.14057296915401049</c:v>
                </c:pt>
                <c:pt idx="13">
                  <c:v>0.15464931846384389</c:v>
                </c:pt>
                <c:pt idx="14">
                  <c:v>0.16916918721017288</c:v>
                </c:pt>
                <c:pt idx="15">
                  <c:v>0.18415387261251273</c:v>
                </c:pt>
                <c:pt idx="16">
                  <c:v>0.19962605762333141</c:v>
                </c:pt>
                <c:pt idx="17">
                  <c:v>0.21560992549748592</c:v>
                </c:pt>
                <c:pt idx="18">
                  <c:v>0.23213128591960286</c:v>
                </c:pt>
                <c:pt idx="19">
                  <c:v>0.24921771407298013</c:v>
                </c:pt>
                <c:pt idx="20">
                  <c:v>0.26689870422616613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0C-40C0-86D4-6BB385933D6B}"/>
            </c:ext>
          </c:extLst>
        </c:ser>
        <c:ser>
          <c:idx val="3"/>
          <c:order val="3"/>
          <c:tx>
            <c:strRef>
              <c:f>PFR!$E$27</c:f>
              <c:strCache>
                <c:ptCount val="1"/>
                <c:pt idx="0">
                  <c:v>Cd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PFR!$E$28:$E$48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0C-40C0-86D4-6BB385933D6B}"/>
            </c:ext>
          </c:extLst>
        </c:ser>
        <c:ser>
          <c:idx val="4"/>
          <c:order val="4"/>
          <c:tx>
            <c:strRef>
              <c:f>PFR!$F$27</c:f>
              <c:strCache>
                <c:ptCount val="1"/>
                <c:pt idx="0">
                  <c:v>Cinert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PFR!$F$28:$F$48</c:f>
              <c:numCache>
                <c:formatCode>0.000</c:formatCode>
                <c:ptCount val="21"/>
                <c:pt idx="0">
                  <c:v>0.2</c:v>
                </c:pt>
                <c:pt idx="1">
                  <c:v>0.20261521042131231</c:v>
                </c:pt>
                <c:pt idx="2">
                  <c:v>0.20529972026090648</c:v>
                </c:pt>
                <c:pt idx="3">
                  <c:v>0.20805632101057994</c:v>
                </c:pt>
                <c:pt idx="4">
                  <c:v>0.21088795613033179</c:v>
                </c:pt>
                <c:pt idx="5">
                  <c:v>0.21379773153244389</c:v>
                </c:pt>
                <c:pt idx="6">
                  <c:v>0.2167889269456465</c:v>
                </c:pt>
                <c:pt idx="7">
                  <c:v>0.21986500824677907</c:v>
                </c:pt>
                <c:pt idx="8">
                  <c:v>0.22302964085742838</c:v>
                </c:pt>
                <c:pt idx="9">
                  <c:v>0.22628670431441084</c:v>
                </c:pt>
                <c:pt idx="10">
                  <c:v>0.22964030813587641</c:v>
                </c:pt>
                <c:pt idx="11">
                  <c:v>0.23309480911946351</c:v>
                </c:pt>
                <c:pt idx="12">
                  <c:v>0.2366548302256069</c:v>
                </c:pt>
                <c:pt idx="13">
                  <c:v>0.24032528121809463</c:v>
                </c:pt>
                <c:pt idx="14">
                  <c:v>0.24411138125566076</c:v>
                </c:pt>
                <c:pt idx="15">
                  <c:v>0.24801868365321583</c:v>
                </c:pt>
                <c:pt idx="16">
                  <c:v>0.25205310305976192</c:v>
                </c:pt>
                <c:pt idx="17">
                  <c:v>0.25622094533272244</c:v>
                </c:pt>
                <c:pt idx="18">
                  <c:v>0.26052894042604136</c:v>
                </c:pt>
                <c:pt idx="19">
                  <c:v>0.26498427865282315</c:v>
                </c:pt>
                <c:pt idx="20">
                  <c:v>0.2695946507335012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0C-40C0-86D4-6BB385933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6544"/>
        <c:axId val="167278464"/>
      </c:scatterChart>
      <c:valAx>
        <c:axId val="16727654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278464"/>
        <c:crosses val="autoZero"/>
        <c:crossBetween val="midCat"/>
      </c:valAx>
      <c:valAx>
        <c:axId val="1672784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Ci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72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158" footer="0.314960620000001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CSTR!$S$28:$S$48</c:f>
              <c:numCache>
                <c:formatCode>0</c:formatCode>
                <c:ptCount val="21"/>
                <c:pt idx="0">
                  <c:v>0</c:v>
                </c:pt>
                <c:pt idx="1">
                  <c:v>5.080610260275594</c:v>
                </c:pt>
                <c:pt idx="2">
                  <c:v>10.452657792826246</c:v>
                </c:pt>
                <c:pt idx="3">
                  <c:v>16.1694392236322</c:v>
                </c:pt>
                <c:pt idx="4">
                  <c:v>22.297507242811811</c:v>
                </c:pt>
                <c:pt idx="5">
                  <c:v>28.921035240429923</c:v>
                </c:pt>
                <c:pt idx="6">
                  <c:v>36.148026139438549</c:v>
                </c:pt>
                <c:pt idx="7">
                  <c:v>44.119343272350626</c:v>
                </c:pt>
                <c:pt idx="8">
                  <c:v>53.022182253400899</c:v>
                </c:pt>
                <c:pt idx="9">
                  <c:v>63.110758983927234</c:v>
                </c:pt>
                <c:pt idx="10">
                  <c:v>74.739165076695855</c:v>
                </c:pt>
                <c:pt idx="11">
                  <c:v>88.415646505836378</c:v>
                </c:pt>
                <c:pt idx="12">
                  <c:v>104.89658912037885</c:v>
                </c:pt>
                <c:pt idx="13">
                  <c:v>125.35880411420405</c:v>
                </c:pt>
                <c:pt idx="14">
                  <c:v>151.73848786328628</c:v>
                </c:pt>
                <c:pt idx="15">
                  <c:v>187.46113837209214</c:v>
                </c:pt>
                <c:pt idx="16">
                  <c:v>239.21370945266656</c:v>
                </c:pt>
                <c:pt idx="17">
                  <c:v>322.03745930781196</c:v>
                </c:pt>
                <c:pt idx="18">
                  <c:v>478.29764597927732</c:v>
                </c:pt>
                <c:pt idx="19">
                  <c:v>891.34229562471046</c:v>
                </c:pt>
                <c:pt idx="20">
                  <c:v>5374.8264176060002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8-49EC-8D59-A578E366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99712"/>
        <c:axId val="164991744"/>
      </c:scatterChart>
      <c:valAx>
        <c:axId val="16729971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4991744"/>
        <c:crosses val="autoZero"/>
        <c:crossBetween val="midCat"/>
      </c:valAx>
      <c:valAx>
        <c:axId val="1649917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 (cstr)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299712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PFR!$S$28:$S$48</c:f>
              <c:numCache>
                <c:formatCode>0</c:formatCode>
                <c:ptCount val="21"/>
                <c:pt idx="0">
                  <c:v>0</c:v>
                </c:pt>
                <c:pt idx="1">
                  <c:v>5.0153051301377971</c:v>
                </c:pt>
                <c:pt idx="2">
                  <c:v>10.168774708482156</c:v>
                </c:pt>
                <c:pt idx="3">
                  <c:v>15.476845693960751</c:v>
                </c:pt>
                <c:pt idx="4">
                  <c:v>20.958940636584259</c:v>
                </c:pt>
                <c:pt idx="5">
                  <c:v>26.638232565978726</c:v>
                </c:pt>
                <c:pt idx="6">
                  <c:v>32.542671601641594</c:v>
                </c:pt>
                <c:pt idx="7">
                  <c:v>38.706388775572229</c:v>
                </c:pt>
                <c:pt idx="8">
                  <c:v>45.171656828720543</c:v>
                </c:pt>
                <c:pt idx="9">
                  <c:v>51.991696496442948</c:v>
                </c:pt>
                <c:pt idx="10">
                  <c:v>59.234808027162586</c:v>
                </c:pt>
                <c:pt idx="11">
                  <c:v>66.990659303989943</c:v>
                </c:pt>
                <c:pt idx="12">
                  <c:v>75.38024354033162</c:v>
                </c:pt>
                <c:pt idx="13">
                  <c:v>84.572427219611654</c:v>
                </c:pt>
                <c:pt idx="14">
                  <c:v>94.813151394945663</c:v>
                </c:pt>
                <c:pt idx="15">
                  <c:v>106.48108771675182</c:v>
                </c:pt>
                <c:pt idx="16">
                  <c:v>120.20522074955072</c:v>
                </c:pt>
                <c:pt idx="17">
                  <c:v>137.15233914958807</c:v>
                </c:pt>
                <c:pt idx="18">
                  <c:v>159.91007485087619</c:v>
                </c:pt>
                <c:pt idx="19">
                  <c:v>196.65249677317306</c:v>
                </c:pt>
                <c:pt idx="20">
                  <c:v>354.47953341397329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F-487C-BF5D-6273AAA4D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5328"/>
        <c:axId val="167397248"/>
      </c:scatterChart>
      <c:valAx>
        <c:axId val="16739532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397248"/>
        <c:crosses val="autoZero"/>
        <c:crossBetween val="midCat"/>
      </c:valAx>
      <c:valAx>
        <c:axId val="167397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V (pfr)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395328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 (batch)</c:v>
          </c:tx>
          <c:spPr>
            <a:ln w="28575" cap="flat" cmpd="sng" algn="ctr">
              <a:solidFill>
                <a:schemeClr val="accent3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Batch!$S$28:$S$48</c:f>
              <c:numCache>
                <c:formatCode>0.00</c:formatCode>
                <c:ptCount val="21"/>
                <c:pt idx="0">
                  <c:v>0</c:v>
                </c:pt>
                <c:pt idx="1">
                  <c:v>5.0153051301377975E-2</c:v>
                </c:pt>
                <c:pt idx="2">
                  <c:v>0.10168774708482156</c:v>
                </c:pt>
                <c:pt idx="3">
                  <c:v>0.15476845693960753</c:v>
                </c:pt>
                <c:pt idx="4">
                  <c:v>0.20958940636584261</c:v>
                </c:pt>
                <c:pt idx="5">
                  <c:v>0.26638232565978731</c:v>
                </c:pt>
                <c:pt idx="6">
                  <c:v>0.32542671601641604</c:v>
                </c:pt>
                <c:pt idx="7">
                  <c:v>0.38706388775572242</c:v>
                </c:pt>
                <c:pt idx="8">
                  <c:v>0.45171656828720558</c:v>
                </c:pt>
                <c:pt idx="9">
                  <c:v>0.51991696496442963</c:v>
                </c:pt>
                <c:pt idx="10">
                  <c:v>0.592348080271626</c:v>
                </c:pt>
                <c:pt idx="11">
                  <c:v>0.66990659303989963</c:v>
                </c:pt>
                <c:pt idx="12">
                  <c:v>0.75380243540331637</c:v>
                </c:pt>
                <c:pt idx="13">
                  <c:v>0.84572427219611679</c:v>
                </c:pt>
                <c:pt idx="14">
                  <c:v>0.94813151394945683</c:v>
                </c:pt>
                <c:pt idx="15">
                  <c:v>1.0648108771675184</c:v>
                </c:pt>
                <c:pt idx="16">
                  <c:v>1.2020522074955076</c:v>
                </c:pt>
                <c:pt idx="17">
                  <c:v>1.3715233914958811</c:v>
                </c:pt>
                <c:pt idx="18">
                  <c:v>1.5991007485087623</c:v>
                </c:pt>
                <c:pt idx="19">
                  <c:v>1.9665249677317309</c:v>
                </c:pt>
                <c:pt idx="20">
                  <c:v>3.5447953341397338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1-474B-8A0D-B99B40AE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6960"/>
        <c:axId val="167418880"/>
      </c:scatterChart>
      <c:valAx>
        <c:axId val="16741696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418880"/>
        <c:crosses val="autoZero"/>
        <c:crossBetween val="midCat"/>
      </c:valAx>
      <c:valAx>
        <c:axId val="1674188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(batch)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416960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63" footer="0.3149606200000026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28575" cap="flat" cmpd="sng" algn="ctr">
              <a:solidFill>
                <a:schemeClr val="accent3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Batch!$A$28:$A$48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Batch!$H$28:$H$48</c:f>
              <c:numCache>
                <c:formatCode>0.00</c:formatCode>
                <c:ptCount val="21"/>
                <c:pt idx="0">
                  <c:v>373.15</c:v>
                </c:pt>
                <c:pt idx="1">
                  <c:v>374.51311642094561</c:v>
                </c:pt>
                <c:pt idx="2">
                  <c:v>375.92275077559458</c:v>
                </c:pt>
                <c:pt idx="3">
                  <c:v>377.38132561809579</c:v>
                </c:pt>
                <c:pt idx="4">
                  <c:v>378.89143468950749</c:v>
                </c:pt>
                <c:pt idx="5">
                  <c:v>380.4558583106267</c:v>
                </c:pt>
                <c:pt idx="6">
                  <c:v>382.07758046614873</c:v>
                </c:pt>
                <c:pt idx="7">
                  <c:v>383.75980780101753</c:v>
                </c:pt>
                <c:pt idx="8">
                  <c:v>385.50599078341014</c:v>
                </c:pt>
                <c:pt idx="9">
                  <c:v>387.31984732824429</c:v>
                </c:pt>
                <c:pt idx="10">
                  <c:v>389.20538922155691</c:v>
                </c:pt>
                <c:pt idx="11">
                  <c:v>391.16695174098959</c:v>
                </c:pt>
                <c:pt idx="12">
                  <c:v>393.20922693266834</c:v>
                </c:pt>
                <c:pt idx="13">
                  <c:v>395.3373010821133</c:v>
                </c:pt>
                <c:pt idx="14">
                  <c:v>397.55669700910278</c:v>
                </c:pt>
                <c:pt idx="15">
                  <c:v>399.87342192691028</c:v>
                </c:pt>
                <c:pt idx="16">
                  <c:v>402.29402173913041</c:v>
                </c:pt>
                <c:pt idx="17">
                  <c:v>404.82564280750523</c:v>
                </c:pt>
                <c:pt idx="18">
                  <c:v>407.47610241820774</c:v>
                </c:pt>
                <c:pt idx="19">
                  <c:v>410.25396941005101</c:v>
                </c:pt>
                <c:pt idx="20">
                  <c:v>413.1686567164179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A-4B1C-919A-93A497EB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4784"/>
        <c:axId val="167339136"/>
      </c:scatterChart>
      <c:valAx>
        <c:axId val="16741478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339136"/>
        <c:crosses val="autoZero"/>
        <c:crossBetween val="midCat"/>
      </c:valAx>
      <c:valAx>
        <c:axId val="1673391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(batch)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414784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86" footer="0.314960620000002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28575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CSTR!$A$28:$A$48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CSTR!$H$28:$H$48</c:f>
              <c:numCache>
                <c:formatCode>0.00</c:formatCode>
                <c:ptCount val="21"/>
                <c:pt idx="0">
                  <c:v>373.15</c:v>
                </c:pt>
                <c:pt idx="1">
                  <c:v>374.51311642094561</c:v>
                </c:pt>
                <c:pt idx="2">
                  <c:v>375.92275077559458</c:v>
                </c:pt>
                <c:pt idx="3">
                  <c:v>377.38132561809579</c:v>
                </c:pt>
                <c:pt idx="4">
                  <c:v>378.89143468950749</c:v>
                </c:pt>
                <c:pt idx="5">
                  <c:v>380.4558583106267</c:v>
                </c:pt>
                <c:pt idx="6">
                  <c:v>382.07758046614873</c:v>
                </c:pt>
                <c:pt idx="7">
                  <c:v>383.75980780101753</c:v>
                </c:pt>
                <c:pt idx="8">
                  <c:v>385.50599078341014</c:v>
                </c:pt>
                <c:pt idx="9">
                  <c:v>387.31984732824429</c:v>
                </c:pt>
                <c:pt idx="10">
                  <c:v>389.20538922155691</c:v>
                </c:pt>
                <c:pt idx="11">
                  <c:v>391.16695174098959</c:v>
                </c:pt>
                <c:pt idx="12">
                  <c:v>393.20922693266834</c:v>
                </c:pt>
                <c:pt idx="13">
                  <c:v>395.3373010821133</c:v>
                </c:pt>
                <c:pt idx="14">
                  <c:v>397.55669700910278</c:v>
                </c:pt>
                <c:pt idx="15">
                  <c:v>399.87342192691028</c:v>
                </c:pt>
                <c:pt idx="16">
                  <c:v>402.29402173913041</c:v>
                </c:pt>
                <c:pt idx="17">
                  <c:v>404.82564280750523</c:v>
                </c:pt>
                <c:pt idx="18">
                  <c:v>407.47610241820774</c:v>
                </c:pt>
                <c:pt idx="19">
                  <c:v>410.25396941005101</c:v>
                </c:pt>
                <c:pt idx="20">
                  <c:v>413.1686567164179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6-49BE-B781-59A5B2786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7040"/>
        <c:axId val="167368960"/>
      </c:scatterChart>
      <c:valAx>
        <c:axId val="16736704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368960"/>
        <c:crosses val="autoZero"/>
        <c:crossBetween val="midCat"/>
      </c:valAx>
      <c:valAx>
        <c:axId val="1673689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(cstr)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367040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 w="28575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PFR!$A$28:$A$48</c:f>
              <c:numCache>
                <c:formatCode>0.00</c:formatCode>
                <c:ptCount val="21"/>
                <c:pt idx="0">
                  <c:v>0</c:v>
                </c:pt>
                <c:pt idx="1">
                  <c:v>4.9500000000000002E-2</c:v>
                </c:pt>
                <c:pt idx="2">
                  <c:v>9.9000000000000005E-2</c:v>
                </c:pt>
                <c:pt idx="3">
                  <c:v>0.14850000000000002</c:v>
                </c:pt>
                <c:pt idx="4">
                  <c:v>0.19800000000000001</c:v>
                </c:pt>
                <c:pt idx="5">
                  <c:v>0.2475</c:v>
                </c:pt>
                <c:pt idx="6">
                  <c:v>0.29699999999999999</c:v>
                </c:pt>
                <c:pt idx="7">
                  <c:v>0.34649999999999997</c:v>
                </c:pt>
                <c:pt idx="8">
                  <c:v>0.39599999999999996</c:v>
                </c:pt>
                <c:pt idx="9">
                  <c:v>0.44549999999999995</c:v>
                </c:pt>
                <c:pt idx="10">
                  <c:v>0.49499999999999994</c:v>
                </c:pt>
                <c:pt idx="11">
                  <c:v>0.54449999999999998</c:v>
                </c:pt>
                <c:pt idx="12">
                  <c:v>0.59399999999999997</c:v>
                </c:pt>
                <c:pt idx="13">
                  <c:v>0.64349999999999996</c:v>
                </c:pt>
                <c:pt idx="14">
                  <c:v>0.69299999999999995</c:v>
                </c:pt>
                <c:pt idx="15">
                  <c:v>0.74249999999999994</c:v>
                </c:pt>
                <c:pt idx="16">
                  <c:v>0.79199999999999993</c:v>
                </c:pt>
                <c:pt idx="17">
                  <c:v>0.84149999999999991</c:v>
                </c:pt>
                <c:pt idx="18">
                  <c:v>0.8909999999999999</c:v>
                </c:pt>
                <c:pt idx="19">
                  <c:v>0.94049999999999989</c:v>
                </c:pt>
                <c:pt idx="20">
                  <c:v>0.98999999999999988</c:v>
                </c:pt>
              </c:numCache>
            </c:numRef>
          </c:xVal>
          <c:yVal>
            <c:numRef>
              <c:f>PFR!$H$28:$H$48</c:f>
              <c:numCache>
                <c:formatCode>0.00</c:formatCode>
                <c:ptCount val="21"/>
                <c:pt idx="0">
                  <c:v>373.15</c:v>
                </c:pt>
                <c:pt idx="1">
                  <c:v>374.51311642094561</c:v>
                </c:pt>
                <c:pt idx="2">
                  <c:v>375.92275077559458</c:v>
                </c:pt>
                <c:pt idx="3">
                  <c:v>377.38132561809579</c:v>
                </c:pt>
                <c:pt idx="4">
                  <c:v>378.89143468950749</c:v>
                </c:pt>
                <c:pt idx="5">
                  <c:v>380.4558583106267</c:v>
                </c:pt>
                <c:pt idx="6">
                  <c:v>382.07758046614873</c:v>
                </c:pt>
                <c:pt idx="7">
                  <c:v>383.75980780101753</c:v>
                </c:pt>
                <c:pt idx="8">
                  <c:v>385.50599078341014</c:v>
                </c:pt>
                <c:pt idx="9">
                  <c:v>387.31984732824429</c:v>
                </c:pt>
                <c:pt idx="10">
                  <c:v>389.20538922155691</c:v>
                </c:pt>
                <c:pt idx="11">
                  <c:v>391.16695174098959</c:v>
                </c:pt>
                <c:pt idx="12">
                  <c:v>393.20922693266834</c:v>
                </c:pt>
                <c:pt idx="13">
                  <c:v>395.3373010821133</c:v>
                </c:pt>
                <c:pt idx="14">
                  <c:v>397.55669700910278</c:v>
                </c:pt>
                <c:pt idx="15">
                  <c:v>399.87342192691028</c:v>
                </c:pt>
                <c:pt idx="16">
                  <c:v>402.29402173913041</c:v>
                </c:pt>
                <c:pt idx="17">
                  <c:v>404.82564280750523</c:v>
                </c:pt>
                <c:pt idx="18">
                  <c:v>407.47610241820774</c:v>
                </c:pt>
                <c:pt idx="19">
                  <c:v>410.25396941005101</c:v>
                </c:pt>
                <c:pt idx="20">
                  <c:v>413.1686567164179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3-42D1-93C6-A7708BFF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3648"/>
        <c:axId val="169565568"/>
      </c:scatterChart>
      <c:valAx>
        <c:axId val="16956364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565568"/>
        <c:crosses val="autoZero"/>
        <c:crossBetween val="midCat"/>
      </c:valAx>
      <c:valAx>
        <c:axId val="169565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(pfr)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563648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308" footer="0.31496062000000308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S$2" fmlaRange="$B$50:$B$54" noThreeD="1" sel="1" val="0"/>
</file>

<file path=xl/ctrlProps/ctrlProp2.xml><?xml version="1.0" encoding="utf-8"?>
<formControlPr xmlns="http://schemas.microsoft.com/office/spreadsheetml/2009/9/main" objectType="Drop" dropStyle="combo" dx="22" fmlaLink="$S$2" fmlaRange="$B$50:$B$54" noThreeD="1" sel="1" val="0"/>
</file>

<file path=xl/ctrlProps/ctrlProp3.xml><?xml version="1.0" encoding="utf-8"?>
<formControlPr xmlns="http://schemas.microsoft.com/office/spreadsheetml/2009/9/main" objectType="Drop" dropStyle="combo" dx="22" fmlaLink="$S$2" fmlaRange="$B$50:$B$54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microsoft.com/office/2007/relationships/hdphoto" Target="../media/hdphoto1.wdp"/><Relationship Id="rId1" Type="http://schemas.openxmlformats.org/officeDocument/2006/relationships/image" Target="../media/image5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14</xdr:row>
      <xdr:rowOff>82435</xdr:rowOff>
    </xdr:from>
    <xdr:to>
      <xdr:col>5</xdr:col>
      <xdr:colOff>23718</xdr:colOff>
      <xdr:row>22</xdr:row>
      <xdr:rowOff>47625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2050" y="2768485"/>
          <a:ext cx="1909668" cy="148919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607301</xdr:colOff>
          <xdr:row>0</xdr:row>
          <xdr:rowOff>190500</xdr:rowOff>
        </xdr:from>
        <xdr:to>
          <xdr:col>19</xdr:col>
          <xdr:colOff>577412</xdr:colOff>
          <xdr:row>2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7</xdr:col>
      <xdr:colOff>390525</xdr:colOff>
      <xdr:row>14</xdr:row>
      <xdr:rowOff>161925</xdr:rowOff>
    </xdr:from>
    <xdr:to>
      <xdr:col>10</xdr:col>
      <xdr:colOff>18639</xdr:colOff>
      <xdr:row>18</xdr:row>
      <xdr:rowOff>160513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8436" t="14996" r="5624" b="4999"/>
        <a:stretch>
          <a:fillRect/>
        </a:stretch>
      </xdr:blipFill>
      <xdr:spPr bwMode="auto">
        <a:xfrm>
          <a:off x="4657725" y="2847975"/>
          <a:ext cx="1456914" cy="760588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0</xdr:colOff>
      <xdr:row>5</xdr:row>
      <xdr:rowOff>2</xdr:rowOff>
    </xdr:from>
    <xdr:to>
      <xdr:col>18</xdr:col>
      <xdr:colOff>600075</xdr:colOff>
      <xdr:row>22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14</xdr:row>
      <xdr:rowOff>135154</xdr:rowOff>
    </xdr:from>
    <xdr:to>
      <xdr:col>6</xdr:col>
      <xdr:colOff>311012</xdr:colOff>
      <xdr:row>22</xdr:row>
      <xdr:rowOff>74131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20000"/>
        </a:blip>
        <a:srcRect/>
        <a:stretch>
          <a:fillRect/>
        </a:stretch>
      </xdr:blipFill>
      <xdr:spPr bwMode="auto">
        <a:xfrm>
          <a:off x="2276475" y="2821204"/>
          <a:ext cx="1692137" cy="148202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600662</xdr:colOff>
      <xdr:row>14</xdr:row>
      <xdr:rowOff>161925</xdr:rowOff>
    </xdr:from>
    <xdr:to>
      <xdr:col>9</xdr:col>
      <xdr:colOff>609599</xdr:colOff>
      <xdr:row>19</xdr:row>
      <xdr:rowOff>106397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4443" t="4443" r="4443" b="4443"/>
        <a:stretch>
          <a:fillRect/>
        </a:stretch>
      </xdr:blipFill>
      <xdr:spPr bwMode="auto">
        <a:xfrm>
          <a:off x="4258262" y="2847975"/>
          <a:ext cx="1837737" cy="916022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1</xdr:colOff>
      <xdr:row>5</xdr:row>
      <xdr:rowOff>1</xdr:rowOff>
    </xdr:from>
    <xdr:to>
      <xdr:col>18</xdr:col>
      <xdr:colOff>600075</xdr:colOff>
      <xdr:row>22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607301</xdr:colOff>
          <xdr:row>0</xdr:row>
          <xdr:rowOff>190500</xdr:rowOff>
        </xdr:from>
        <xdr:to>
          <xdr:col>19</xdr:col>
          <xdr:colOff>577412</xdr:colOff>
          <xdr:row>2</xdr:row>
          <xdr:rowOff>19050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F66B4EF-D3E1-4C94-938F-856B580E3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14</xdr:row>
      <xdr:rowOff>151969</xdr:rowOff>
    </xdr:from>
    <xdr:to>
      <xdr:col>6</xdr:col>
      <xdr:colOff>590550</xdr:colOff>
      <xdr:row>22</xdr:row>
      <xdr:rowOff>142875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228600" y="2838019"/>
          <a:ext cx="4019550" cy="1514906"/>
        </a:xfrm>
        <a:prstGeom prst="rect">
          <a:avLst/>
        </a:prstGeom>
        <a:noFill/>
        <a:ln w="19050">
          <a:noFill/>
        </a:ln>
      </xdr:spPr>
    </xdr:pic>
    <xdr:clientData/>
  </xdr:twoCellAnchor>
  <xdr:twoCellAnchor editAs="oneCell">
    <xdr:from>
      <xdr:col>7</xdr:col>
      <xdr:colOff>393364</xdr:colOff>
      <xdr:row>14</xdr:row>
      <xdr:rowOff>166016</xdr:rowOff>
    </xdr:from>
    <xdr:to>
      <xdr:col>9</xdr:col>
      <xdr:colOff>601294</xdr:colOff>
      <xdr:row>20</xdr:row>
      <xdr:rowOff>176884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3272" t="4113" r="6544" b="4113"/>
        <a:stretch>
          <a:fillRect/>
        </a:stretch>
      </xdr:blipFill>
      <xdr:spPr bwMode="auto">
        <a:xfrm>
          <a:off x="4660564" y="2852066"/>
          <a:ext cx="1427130" cy="1153868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1</xdr:colOff>
      <xdr:row>5</xdr:row>
      <xdr:rowOff>0</xdr:rowOff>
    </xdr:from>
    <xdr:to>
      <xdr:col>18</xdr:col>
      <xdr:colOff>600075</xdr:colOff>
      <xdr:row>22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607301</xdr:colOff>
          <xdr:row>0</xdr:row>
          <xdr:rowOff>190500</xdr:rowOff>
        </xdr:from>
        <xdr:to>
          <xdr:col>19</xdr:col>
          <xdr:colOff>577412</xdr:colOff>
          <xdr:row>2</xdr:row>
          <xdr:rowOff>19050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E1AD9BBD-2095-4D29-BC46-4502570E6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</xdr:colOff>
      <xdr:row>2</xdr:row>
      <xdr:rowOff>180976</xdr:rowOff>
    </xdr:from>
    <xdr:to>
      <xdr:col>12</xdr:col>
      <xdr:colOff>9526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600076</xdr:colOff>
      <xdr:row>2</xdr:row>
      <xdr:rowOff>180975</xdr:rowOff>
    </xdr:from>
    <xdr:to>
      <xdr:col>18</xdr:col>
      <xdr:colOff>9525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</xdr:row>
      <xdr:rowOff>0</xdr:rowOff>
    </xdr:from>
    <xdr:to>
      <xdr:col>6</xdr:col>
      <xdr:colOff>0</xdr:colOff>
      <xdr:row>16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17</xdr:row>
      <xdr:rowOff>180975</xdr:rowOff>
    </xdr:from>
    <xdr:to>
      <xdr:col>6</xdr:col>
      <xdr:colOff>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9526</xdr:colOff>
      <xdr:row>17</xdr:row>
      <xdr:rowOff>180975</xdr:rowOff>
    </xdr:from>
    <xdr:to>
      <xdr:col>12</xdr:col>
      <xdr:colOff>19050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17</xdr:row>
      <xdr:rowOff>180975</xdr:rowOff>
    </xdr:from>
    <xdr:to>
      <xdr:col>18</xdr:col>
      <xdr:colOff>19364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othermal_ideal_homogeneous_re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CSTR"/>
      <sheetName val="PFR"/>
      <sheetName val="Graphs"/>
    </sheetNames>
    <sheetDataSet>
      <sheetData sheetId="0">
        <row r="2">
          <cell r="I2">
            <v>0.9</v>
          </cell>
        </row>
        <row r="4">
          <cell r="I4">
            <v>1</v>
          </cell>
        </row>
      </sheetData>
      <sheetData sheetId="1">
        <row r="28">
          <cell r="A28">
            <v>0</v>
          </cell>
        </row>
      </sheetData>
      <sheetData sheetId="2">
        <row r="2">
          <cell r="I2">
            <v>0.9</v>
          </cell>
        </row>
        <row r="4">
          <cell r="I4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showGridLines="0" tabSelected="1" zoomScaleNormal="100" workbookViewId="0">
      <selection activeCell="H7" sqref="H7"/>
    </sheetView>
  </sheetViews>
  <sheetFormatPr defaultRowHeight="15" x14ac:dyDescent="0.25"/>
  <cols>
    <col min="1" max="1" width="9.140625" customWidth="1"/>
  </cols>
  <sheetData>
    <row r="1" spans="1:2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 ht="15.75" thickBot="1" x14ac:dyDescent="0.3">
      <c r="A2" s="2"/>
      <c r="B2" s="42" t="s">
        <v>0</v>
      </c>
      <c r="C2" s="43"/>
      <c r="D2" s="2"/>
      <c r="E2" s="3" t="s">
        <v>39</v>
      </c>
      <c r="F2" s="30">
        <v>100</v>
      </c>
      <c r="G2" s="2" t="s">
        <v>40</v>
      </c>
      <c r="H2" s="3" t="s">
        <v>28</v>
      </c>
      <c r="I2" s="30">
        <v>10000</v>
      </c>
      <c r="J2" s="2" t="s">
        <v>35</v>
      </c>
      <c r="L2" s="3" t="s">
        <v>36</v>
      </c>
      <c r="M2" s="32">
        <v>298.14999999999998</v>
      </c>
      <c r="N2" s="2" t="s">
        <v>31</v>
      </c>
      <c r="O2" s="3" t="s">
        <v>32</v>
      </c>
      <c r="P2" s="30">
        <v>-50000</v>
      </c>
      <c r="Q2" s="2" t="s">
        <v>35</v>
      </c>
      <c r="R2" s="64" t="s">
        <v>53</v>
      </c>
      <c r="S2" s="63">
        <v>1</v>
      </c>
      <c r="T2" s="2"/>
    </row>
    <row r="3" spans="1:20" x14ac:dyDescent="0.25">
      <c r="A3" s="2"/>
      <c r="B3" s="2"/>
      <c r="C3" s="2"/>
      <c r="D3" s="2"/>
      <c r="E3" s="1" t="s">
        <v>60</v>
      </c>
      <c r="F3" s="36">
        <f>F2*(1+C5*X)*(M4/M3)</f>
        <v>74.185448211175128</v>
      </c>
      <c r="G3" s="2" t="s">
        <v>40</v>
      </c>
      <c r="H3" s="3" t="s">
        <v>27</v>
      </c>
      <c r="I3" s="33">
        <v>1</v>
      </c>
      <c r="J3" s="2" t="s">
        <v>41</v>
      </c>
      <c r="L3" s="3" t="s">
        <v>29</v>
      </c>
      <c r="M3" s="32">
        <v>373.15</v>
      </c>
      <c r="N3" s="2" t="s">
        <v>31</v>
      </c>
      <c r="O3" s="1" t="s">
        <v>34</v>
      </c>
      <c r="P3" s="1">
        <f>(B11/B8)*J11+(B10/B8)*J10-(B9/B8)*J9-J8</f>
        <v>-8000</v>
      </c>
      <c r="Q3" s="2" t="s">
        <v>37</v>
      </c>
      <c r="R3" s="2"/>
      <c r="S3" s="2"/>
      <c r="T3" s="2"/>
    </row>
    <row r="4" spans="1:20" x14ac:dyDescent="0.25">
      <c r="A4" s="2"/>
      <c r="B4" s="1" t="s">
        <v>3</v>
      </c>
      <c r="C4" s="1">
        <f>(B11+B10-B9-B8)/B8</f>
        <v>-2</v>
      </c>
      <c r="D4" s="2"/>
      <c r="E4" s="2"/>
      <c r="F4" s="2"/>
      <c r="G4" s="2"/>
      <c r="H4" s="4" t="s">
        <v>54</v>
      </c>
      <c r="I4" s="29">
        <f>I3*EXP((I2/8.314)*(1/M3-1/M4))</f>
        <v>1.3664365697185619</v>
      </c>
      <c r="J4" s="2" t="s">
        <v>41</v>
      </c>
      <c r="L4" s="4" t="s">
        <v>61</v>
      </c>
      <c r="M4" s="22">
        <f>(X*(-P2+P3*M2)+M3*(F8*J8+F9*J9+F10*J10+F11*J11+F12*J12))/((F8*J8+F9*J9+F10*J10+F11*J11+F12*J12)+X*P3)</f>
        <v>413.1686567164179</v>
      </c>
      <c r="N4" s="2" t="s">
        <v>31</v>
      </c>
      <c r="O4" s="2"/>
      <c r="P4" s="2"/>
      <c r="Q4" s="2"/>
      <c r="R4" s="2"/>
      <c r="S4" s="2"/>
      <c r="T4" s="2"/>
    </row>
    <row r="5" spans="1:20" x14ac:dyDescent="0.25">
      <c r="A5" s="2"/>
      <c r="B5" s="1" t="s">
        <v>9</v>
      </c>
      <c r="C5" s="37">
        <f>C4*E8</f>
        <v>-0.33333333333333331</v>
      </c>
      <c r="D5" s="2"/>
      <c r="E5" s="3" t="s">
        <v>2</v>
      </c>
      <c r="F5" s="40">
        <v>0.99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x14ac:dyDescent="0.25">
      <c r="A7" s="41" t="s">
        <v>21</v>
      </c>
      <c r="B7" s="3" t="s">
        <v>1</v>
      </c>
      <c r="C7" s="3" t="s">
        <v>25</v>
      </c>
      <c r="D7" s="26" t="s">
        <v>14</v>
      </c>
      <c r="E7" s="26" t="s">
        <v>10</v>
      </c>
      <c r="F7" s="26" t="s">
        <v>12</v>
      </c>
      <c r="G7" s="26" t="s">
        <v>26</v>
      </c>
      <c r="H7" s="26" t="s">
        <v>15</v>
      </c>
      <c r="I7" s="26" t="s">
        <v>17</v>
      </c>
      <c r="J7" s="3" t="s">
        <v>33</v>
      </c>
      <c r="K7" s="2"/>
      <c r="L7" s="2"/>
      <c r="M7" s="2"/>
      <c r="N7" s="2"/>
      <c r="O7" s="2"/>
      <c r="P7" s="2"/>
      <c r="Q7" s="2"/>
      <c r="R7" s="2"/>
      <c r="S7" s="2"/>
    </row>
    <row r="8" spans="1:20" x14ac:dyDescent="0.25">
      <c r="A8" s="6" t="s">
        <v>45</v>
      </c>
      <c r="B8" s="30">
        <v>1</v>
      </c>
      <c r="C8" s="30">
        <v>10</v>
      </c>
      <c r="D8" s="7">
        <f>C8/F$2</f>
        <v>0.1</v>
      </c>
      <c r="E8" s="7">
        <f>C8/C$13</f>
        <v>0.16666666666666666</v>
      </c>
      <c r="F8" s="8">
        <f t="shared" ref="F8:F11" si="0">E8/E$8</f>
        <v>1</v>
      </c>
      <c r="G8" s="5">
        <f>C$8*(1-X)</f>
        <v>0.10000000000000009</v>
      </c>
      <c r="H8" s="7">
        <f>G8/F$3</f>
        <v>1.3479732536675073E-3</v>
      </c>
      <c r="I8" s="7">
        <f>G8/G$13</f>
        <v>2.4875621890547285E-3</v>
      </c>
      <c r="J8" s="34">
        <v>4000</v>
      </c>
      <c r="K8" s="2"/>
      <c r="L8" s="2"/>
      <c r="M8" s="2"/>
      <c r="N8" s="2"/>
      <c r="O8" s="2"/>
      <c r="P8" s="2"/>
      <c r="Q8" s="2"/>
      <c r="R8" s="2"/>
      <c r="S8" s="2"/>
    </row>
    <row r="9" spans="1:20" x14ac:dyDescent="0.25">
      <c r="A9" s="9" t="s">
        <v>46</v>
      </c>
      <c r="B9" s="30">
        <v>3</v>
      </c>
      <c r="C9" s="30">
        <v>30</v>
      </c>
      <c r="D9" s="7">
        <f>C9/F$2</f>
        <v>0.3</v>
      </c>
      <c r="E9" s="7">
        <f t="shared" ref="E9:E12" si="1">C9/C$13</f>
        <v>0.5</v>
      </c>
      <c r="F9" s="8">
        <f t="shared" si="0"/>
        <v>3</v>
      </c>
      <c r="G9" s="5">
        <f>C$8*(F9-(B9/B$8)*X)</f>
        <v>0.30000000000000249</v>
      </c>
      <c r="H9" s="7">
        <f>G9/F$3</f>
        <v>4.0439197610025518E-3</v>
      </c>
      <c r="I9" s="7">
        <f t="shared" ref="I9:I12" si="2">G9/G$13</f>
        <v>7.4626865671642405E-3</v>
      </c>
      <c r="J9" s="34">
        <v>4000</v>
      </c>
      <c r="K9" s="2"/>
      <c r="L9" s="2"/>
      <c r="M9" s="2"/>
      <c r="N9" s="2"/>
      <c r="O9" s="2"/>
      <c r="P9" s="2"/>
      <c r="Q9" s="2"/>
      <c r="R9" s="2"/>
      <c r="S9" s="2"/>
    </row>
    <row r="10" spans="1:20" x14ac:dyDescent="0.25">
      <c r="A10" s="10" t="s">
        <v>47</v>
      </c>
      <c r="B10" s="30">
        <v>2</v>
      </c>
      <c r="C10" s="30">
        <v>0</v>
      </c>
      <c r="D10" s="7">
        <f>C10/F$2</f>
        <v>0</v>
      </c>
      <c r="E10" s="7">
        <f t="shared" si="1"/>
        <v>0</v>
      </c>
      <c r="F10" s="8">
        <f t="shared" si="0"/>
        <v>0</v>
      </c>
      <c r="G10" s="5">
        <f>C$8*(F10+(B10/B$8)*X)</f>
        <v>19.8</v>
      </c>
      <c r="H10" s="7">
        <f>G10/F$3</f>
        <v>0.26689870422616618</v>
      </c>
      <c r="I10" s="7">
        <f t="shared" si="2"/>
        <v>0.4925373134328358</v>
      </c>
      <c r="J10" s="34">
        <v>4000</v>
      </c>
      <c r="K10" s="2"/>
      <c r="L10" s="2"/>
      <c r="M10" s="2"/>
      <c r="N10" s="2"/>
      <c r="O10" s="2"/>
      <c r="P10" s="2"/>
      <c r="Q10" s="2"/>
      <c r="R10" s="2"/>
      <c r="S10" s="2"/>
    </row>
    <row r="11" spans="1:20" x14ac:dyDescent="0.25">
      <c r="A11" s="11" t="s">
        <v>48</v>
      </c>
      <c r="B11" s="30">
        <v>0</v>
      </c>
      <c r="C11" s="30">
        <v>0</v>
      </c>
      <c r="D11" s="7">
        <f>C11/F$2</f>
        <v>0</v>
      </c>
      <c r="E11" s="7">
        <f t="shared" si="1"/>
        <v>0</v>
      </c>
      <c r="F11" s="8">
        <f t="shared" si="0"/>
        <v>0</v>
      </c>
      <c r="G11" s="5">
        <f>C$8*(F11+(B11/B$8)*X)</f>
        <v>0</v>
      </c>
      <c r="H11" s="7">
        <f>G11/F$3</f>
        <v>0</v>
      </c>
      <c r="I11" s="7">
        <f t="shared" si="2"/>
        <v>0</v>
      </c>
      <c r="J11" s="34">
        <v>4000</v>
      </c>
      <c r="K11" s="2"/>
      <c r="L11" s="2"/>
      <c r="M11" s="2"/>
      <c r="N11" s="2"/>
      <c r="O11" s="2"/>
      <c r="P11" s="2"/>
      <c r="Q11" s="2"/>
      <c r="R11" s="2"/>
      <c r="S11" s="2"/>
    </row>
    <row r="12" spans="1:20" x14ac:dyDescent="0.25">
      <c r="A12" s="12" t="s">
        <v>4</v>
      </c>
      <c r="B12" s="13" t="s">
        <v>5</v>
      </c>
      <c r="C12" s="30">
        <v>20</v>
      </c>
      <c r="D12" s="7">
        <f>C12/F$2</f>
        <v>0.2</v>
      </c>
      <c r="E12" s="7">
        <f t="shared" si="1"/>
        <v>0.33333333333333331</v>
      </c>
      <c r="F12" s="8">
        <f>E12/E$8</f>
        <v>2</v>
      </c>
      <c r="G12" s="5">
        <f>C12</f>
        <v>20</v>
      </c>
      <c r="H12" s="7">
        <f>G12/F$3</f>
        <v>0.2695946507335012</v>
      </c>
      <c r="I12" s="7">
        <f t="shared" si="2"/>
        <v>0.49751243781094523</v>
      </c>
      <c r="J12" s="34">
        <v>4000</v>
      </c>
      <c r="K12" s="2"/>
      <c r="L12" s="2"/>
      <c r="M12" s="2"/>
      <c r="N12" s="2"/>
      <c r="O12" s="2"/>
      <c r="P12" s="2"/>
      <c r="Q12" s="2"/>
      <c r="R12" s="2"/>
      <c r="S12" s="2"/>
    </row>
    <row r="13" spans="1:20" x14ac:dyDescent="0.25">
      <c r="A13" s="1" t="s">
        <v>16</v>
      </c>
      <c r="B13" s="13" t="s">
        <v>5</v>
      </c>
      <c r="C13" s="14">
        <f>SUM(C8:C12)</f>
        <v>60</v>
      </c>
      <c r="D13" s="15">
        <f>SUM(D8:D12)</f>
        <v>0.60000000000000009</v>
      </c>
      <c r="E13" s="15">
        <f>SUM(E8:E12)</f>
        <v>1</v>
      </c>
      <c r="F13" s="14" t="s">
        <v>5</v>
      </c>
      <c r="G13" s="14">
        <f>SUM(G8:G12)</f>
        <v>40.200000000000003</v>
      </c>
      <c r="H13" s="15">
        <f>SUM(H8:H12)</f>
        <v>0.54188524797433746</v>
      </c>
      <c r="I13" s="15">
        <f>SUM(I8:I12)</f>
        <v>1</v>
      </c>
      <c r="J13" s="14" t="s">
        <v>5</v>
      </c>
      <c r="K13" s="2"/>
      <c r="L13" s="2"/>
      <c r="M13" s="2"/>
      <c r="N13" s="2"/>
      <c r="O13" s="2"/>
      <c r="P13" s="2"/>
      <c r="Q13" s="2"/>
      <c r="R13" s="2"/>
      <c r="S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6"/>
      <c r="L26" s="16"/>
      <c r="M26" s="16"/>
      <c r="N26" s="16"/>
      <c r="O26" s="16"/>
      <c r="P26" s="16"/>
      <c r="Q26" s="16"/>
      <c r="R26" s="16"/>
      <c r="S26" s="2"/>
    </row>
    <row r="27" spans="1:19" x14ac:dyDescent="0.25">
      <c r="A27" s="26" t="s">
        <v>2</v>
      </c>
      <c r="B27" s="26" t="s">
        <v>13</v>
      </c>
      <c r="C27" s="26" t="s">
        <v>18</v>
      </c>
      <c r="D27" s="26" t="s">
        <v>19</v>
      </c>
      <c r="E27" s="26" t="s">
        <v>20</v>
      </c>
      <c r="F27" s="26" t="s">
        <v>38</v>
      </c>
      <c r="H27" s="26" t="s">
        <v>30</v>
      </c>
      <c r="I27" s="26" t="s">
        <v>24</v>
      </c>
      <c r="J27" s="2"/>
      <c r="L27" s="26" t="s">
        <v>55</v>
      </c>
      <c r="M27" s="26" t="s">
        <v>56</v>
      </c>
      <c r="N27" s="26" t="s">
        <v>57</v>
      </c>
      <c r="O27" s="26" t="s">
        <v>58</v>
      </c>
      <c r="P27" s="26" t="s">
        <v>59</v>
      </c>
      <c r="R27" s="26" t="s">
        <v>49</v>
      </c>
      <c r="S27" s="26" t="s">
        <v>50</v>
      </c>
    </row>
    <row r="28" spans="1:19" x14ac:dyDescent="0.25">
      <c r="A28" s="17">
        <v>0</v>
      </c>
      <c r="B28" s="7">
        <f t="shared" ref="B28:B48" si="3">D$8*(M$3/H28)*(1-A28)/(1+C$5*A28)</f>
        <v>0.1</v>
      </c>
      <c r="C28" s="7">
        <f t="shared" ref="C28:C48" si="4">D$8*(M$3/H28)*(F$9-(B$9/B$8)*A28)/(1+C$5*A28)</f>
        <v>0.30000000000000004</v>
      </c>
      <c r="D28" s="7">
        <f t="shared" ref="D28:D48" si="5">D$8*(M$3/H28)*(F$10+(B$10/B$8)*A28)/(1+C$5*A28)</f>
        <v>0</v>
      </c>
      <c r="E28" s="7">
        <f t="shared" ref="E28:E48" si="6">D$8*(M$3/H28)*(F$11+(B$11/B$8)*A28)/(1+C$5*A28)</f>
        <v>0</v>
      </c>
      <c r="F28" s="7">
        <f t="shared" ref="F28:F48" si="7">D$8*(M$3/H28)*(F$12)/(1+C$5*A28)</f>
        <v>0.2</v>
      </c>
      <c r="H28" s="24">
        <f t="shared" ref="H28:H48" si="8">(A28*(-P$2+P$3*M$2)+M$3*(F$8*J$8+F$9*J$9+F$10*J$10+F$11*J$11+F$12*J$12))/((F$8*J$8+F$9*J$9+F$10*J$10+F$11*J$11+F$12*J$12)+A28*P$3)</f>
        <v>373.15</v>
      </c>
      <c r="I28" s="28">
        <f t="shared" ref="I28:I48" si="9">I$3*EXP((I$2/8.314)*(1/M$3-1/H28))</f>
        <v>1</v>
      </c>
      <c r="J28" s="2"/>
      <c r="L28" s="39">
        <f>I28*B28</f>
        <v>0.1</v>
      </c>
      <c r="M28" s="39">
        <f t="shared" ref="M28:M48" si="10">I28*B28*B28</f>
        <v>1.0000000000000002E-2</v>
      </c>
      <c r="N28" s="39">
        <f t="shared" ref="N28:N48" si="11">I28*B28*C28</f>
        <v>3.0000000000000006E-2</v>
      </c>
      <c r="O28" s="39">
        <f t="shared" ref="O28:O48" si="12">I28*C28</f>
        <v>0.30000000000000004</v>
      </c>
      <c r="P28" s="39">
        <f t="shared" ref="P28:P48" si="13">I28*C28*C28</f>
        <v>9.0000000000000024E-2</v>
      </c>
      <c r="R28" s="35">
        <f t="shared" ref="R28:R48" si="14">$C$50*L28+$C$51*M28+$C$52*N28+$C$53*O28+$C$54*P28</f>
        <v>0.1</v>
      </c>
      <c r="S28" s="24">
        <v>0</v>
      </c>
    </row>
    <row r="29" spans="1:19" x14ac:dyDescent="0.25">
      <c r="A29" s="17">
        <f t="shared" ref="A29:A48" si="15">(X)/20+A28</f>
        <v>4.9500000000000002E-2</v>
      </c>
      <c r="B29" s="7">
        <f t="shared" si="3"/>
        <v>9.6292878752728669E-2</v>
      </c>
      <c r="C29" s="7">
        <f t="shared" si="4"/>
        <v>0.28887863625818605</v>
      </c>
      <c r="D29" s="7">
        <f t="shared" si="5"/>
        <v>1.0029452915854961E-2</v>
      </c>
      <c r="E29" s="7">
        <f t="shared" si="6"/>
        <v>0</v>
      </c>
      <c r="F29" s="7">
        <f t="shared" si="7"/>
        <v>0.20261521042131231</v>
      </c>
      <c r="H29" s="24">
        <f t="shared" si="8"/>
        <v>374.51311642094561</v>
      </c>
      <c r="I29" s="28">
        <f t="shared" si="9"/>
        <v>1.0118011006793006</v>
      </c>
      <c r="J29" s="2"/>
      <c r="L29" s="39">
        <f t="shared" ref="L29:L48" si="16">I29*B29</f>
        <v>9.7429240709589304E-2</v>
      </c>
      <c r="M29" s="39">
        <f t="shared" si="10"/>
        <v>9.3817420626188999E-3</v>
      </c>
      <c r="N29" s="39">
        <f t="shared" si="11"/>
        <v>2.8145226187856701E-2</v>
      </c>
      <c r="O29" s="39">
        <f t="shared" si="12"/>
        <v>0.29228772212876797</v>
      </c>
      <c r="P29" s="39">
        <f t="shared" si="13"/>
        <v>8.4435678563570121E-2</v>
      </c>
      <c r="R29" s="35">
        <f t="shared" si="14"/>
        <v>9.7429240709589304E-2</v>
      </c>
      <c r="S29" s="24">
        <f t="shared" ref="S29:S48" si="17">S28+$D$8*($A29-$A28)*(1/R29+1/R28)/2</f>
        <v>5.0153051301377975E-2</v>
      </c>
    </row>
    <row r="30" spans="1:19" x14ac:dyDescent="0.25">
      <c r="A30" s="17">
        <f t="shared" si="15"/>
        <v>9.9000000000000005E-2</v>
      </c>
      <c r="B30" s="7">
        <f t="shared" si="3"/>
        <v>9.2487523977538372E-2</v>
      </c>
      <c r="C30" s="7">
        <f t="shared" si="4"/>
        <v>0.27746257193261509</v>
      </c>
      <c r="D30" s="7">
        <f t="shared" si="5"/>
        <v>2.0324672305829738E-2</v>
      </c>
      <c r="E30" s="7">
        <f t="shared" si="6"/>
        <v>0</v>
      </c>
      <c r="F30" s="7">
        <f t="shared" si="7"/>
        <v>0.20529972026090648</v>
      </c>
      <c r="H30" s="24">
        <f t="shared" si="8"/>
        <v>375.92275077559458</v>
      </c>
      <c r="I30" s="28">
        <f t="shared" si="9"/>
        <v>1.0240597794784003</v>
      </c>
      <c r="J30" s="2"/>
      <c r="L30" s="39">
        <f t="shared" si="16"/>
        <v>9.4712753408941211E-2</v>
      </c>
      <c r="M30" s="39">
        <f t="shared" si="10"/>
        <v>8.7597480518881287E-3</v>
      </c>
      <c r="N30" s="39">
        <f t="shared" si="11"/>
        <v>2.6279244155664384E-2</v>
      </c>
      <c r="O30" s="39">
        <f t="shared" si="12"/>
        <v>0.28413826022682359</v>
      </c>
      <c r="P30" s="39">
        <f t="shared" si="13"/>
        <v>7.8837732466993146E-2</v>
      </c>
      <c r="R30" s="35">
        <f t="shared" si="14"/>
        <v>9.4712753408941211E-2</v>
      </c>
      <c r="S30" s="24">
        <f t="shared" si="17"/>
        <v>0.10168774708482156</v>
      </c>
    </row>
    <row r="31" spans="1:19" x14ac:dyDescent="0.25">
      <c r="A31" s="17">
        <f t="shared" si="15"/>
        <v>0.14850000000000002</v>
      </c>
      <c r="B31" s="7">
        <f t="shared" si="3"/>
        <v>8.8579978670254411E-2</v>
      </c>
      <c r="C31" s="7">
        <f t="shared" si="4"/>
        <v>0.26573993601076323</v>
      </c>
      <c r="D31" s="7">
        <f t="shared" si="5"/>
        <v>3.0896363670071127E-2</v>
      </c>
      <c r="E31" s="7">
        <f t="shared" si="6"/>
        <v>0</v>
      </c>
      <c r="F31" s="7">
        <f t="shared" si="7"/>
        <v>0.20805632101057994</v>
      </c>
      <c r="H31" s="24">
        <f t="shared" si="8"/>
        <v>377.38132561809579</v>
      </c>
      <c r="I31" s="28">
        <f t="shared" si="9"/>
        <v>1.0368022332510916</v>
      </c>
      <c r="J31" s="2"/>
      <c r="L31" s="39">
        <f t="shared" si="16"/>
        <v>9.1839919706653825E-2</v>
      </c>
      <c r="M31" s="39">
        <f t="shared" si="10"/>
        <v>8.1351781286932729E-3</v>
      </c>
      <c r="N31" s="39">
        <f t="shared" si="11"/>
        <v>2.440553438607982E-2</v>
      </c>
      <c r="O31" s="39">
        <f t="shared" si="12"/>
        <v>0.27551975911996146</v>
      </c>
      <c r="P31" s="39">
        <f t="shared" si="13"/>
        <v>7.3216603158239454E-2</v>
      </c>
      <c r="R31" s="35">
        <f t="shared" si="14"/>
        <v>9.1839919706653825E-2</v>
      </c>
      <c r="S31" s="24">
        <f t="shared" si="17"/>
        <v>0.15476845693960753</v>
      </c>
    </row>
    <row r="32" spans="1:19" x14ac:dyDescent="0.25">
      <c r="A32" s="17">
        <f t="shared" si="15"/>
        <v>0.19800000000000001</v>
      </c>
      <c r="B32" s="7">
        <f t="shared" si="3"/>
        <v>8.4566070408263055E-2</v>
      </c>
      <c r="C32" s="7">
        <f t="shared" si="4"/>
        <v>0.25369821122478908</v>
      </c>
      <c r="D32" s="7">
        <f t="shared" si="5"/>
        <v>4.1755815313805698E-2</v>
      </c>
      <c r="E32" s="7">
        <f t="shared" si="6"/>
        <v>0</v>
      </c>
      <c r="F32" s="7">
        <f t="shared" si="7"/>
        <v>0.21088795613033179</v>
      </c>
      <c r="H32" s="24">
        <f t="shared" si="8"/>
        <v>378.89143468950749</v>
      </c>
      <c r="I32" s="28">
        <f t="shared" si="9"/>
        <v>1.0500566416485799</v>
      </c>
      <c r="J32" s="2"/>
      <c r="L32" s="39">
        <f t="shared" si="16"/>
        <v>8.8799163890318056E-2</v>
      </c>
      <c r="M32" s="39">
        <f t="shared" si="10"/>
        <v>7.5093963457435273E-3</v>
      </c>
      <c r="N32" s="39">
        <f t="shared" si="11"/>
        <v>2.2528189037230573E-2</v>
      </c>
      <c r="O32" s="39">
        <f t="shared" si="12"/>
        <v>0.26639749167095411</v>
      </c>
      <c r="P32" s="39">
        <f t="shared" si="13"/>
        <v>6.758456711169171E-2</v>
      </c>
      <c r="R32" s="35">
        <f t="shared" si="14"/>
        <v>8.8799163890318056E-2</v>
      </c>
      <c r="S32" s="24">
        <f t="shared" si="17"/>
        <v>0.20958940636584261</v>
      </c>
    </row>
    <row r="33" spans="1:19" x14ac:dyDescent="0.25">
      <c r="A33" s="17">
        <f t="shared" si="15"/>
        <v>0.2475</v>
      </c>
      <c r="B33" s="7">
        <f t="shared" si="3"/>
        <v>8.0441396489082009E-2</v>
      </c>
      <c r="C33" s="7">
        <f t="shared" si="4"/>
        <v>0.2413241894672461</v>
      </c>
      <c r="D33" s="7">
        <f t="shared" si="5"/>
        <v>5.2914938554279867E-2</v>
      </c>
      <c r="E33" s="7">
        <f t="shared" si="6"/>
        <v>0</v>
      </c>
      <c r="F33" s="7">
        <f t="shared" si="7"/>
        <v>0.21379773153244389</v>
      </c>
      <c r="H33" s="24">
        <f t="shared" si="8"/>
        <v>380.4558583106267</v>
      </c>
      <c r="I33" s="28">
        <f t="shared" si="9"/>
        <v>1.0638533540436323</v>
      </c>
      <c r="J33" s="2"/>
      <c r="L33" s="39">
        <f t="shared" si="16"/>
        <v>8.557784945886357E-2</v>
      </c>
      <c r="M33" s="39">
        <f t="shared" si="10"/>
        <v>6.8840017190034165E-3</v>
      </c>
      <c r="N33" s="39">
        <f t="shared" si="11"/>
        <v>2.0652005157010257E-2</v>
      </c>
      <c r="O33" s="39">
        <f t="shared" si="12"/>
        <v>0.25673354837659079</v>
      </c>
      <c r="P33" s="39">
        <f t="shared" si="13"/>
        <v>6.1956015471030787E-2</v>
      </c>
      <c r="R33" s="35">
        <f t="shared" si="14"/>
        <v>8.557784945886357E-2</v>
      </c>
      <c r="S33" s="24">
        <f t="shared" si="17"/>
        <v>0.26638232565978731</v>
      </c>
    </row>
    <row r="34" spans="1:19" x14ac:dyDescent="0.25">
      <c r="A34" s="17">
        <f t="shared" si="15"/>
        <v>0.29699999999999999</v>
      </c>
      <c r="B34" s="7">
        <f t="shared" si="3"/>
        <v>7.620130782139474E-2</v>
      </c>
      <c r="C34" s="7">
        <f t="shared" si="4"/>
        <v>0.22860392346418423</v>
      </c>
      <c r="D34" s="7">
        <f t="shared" si="5"/>
        <v>6.4386311302857005E-2</v>
      </c>
      <c r="E34" s="7">
        <f t="shared" si="6"/>
        <v>0</v>
      </c>
      <c r="F34" s="7">
        <f t="shared" si="7"/>
        <v>0.2167889269456465</v>
      </c>
      <c r="H34" s="24">
        <f t="shared" si="8"/>
        <v>382.07758046614873</v>
      </c>
      <c r="I34" s="28">
        <f t="shared" si="9"/>
        <v>1.0782250976003358</v>
      </c>
      <c r="J34" s="2"/>
      <c r="L34" s="39">
        <f t="shared" si="16"/>
        <v>8.2162162562996577E-2</v>
      </c>
      <c r="M34" s="39">
        <f t="shared" si="10"/>
        <v>6.2608642407343774E-3</v>
      </c>
      <c r="N34" s="39">
        <f t="shared" si="11"/>
        <v>1.8782592722203131E-2</v>
      </c>
      <c r="O34" s="39">
        <f t="shared" si="12"/>
        <v>0.24648648768898973</v>
      </c>
      <c r="P34" s="39">
        <f t="shared" si="13"/>
        <v>5.6347778166609401E-2</v>
      </c>
      <c r="R34" s="35">
        <f t="shared" si="14"/>
        <v>8.2162162562996577E-2</v>
      </c>
      <c r="S34" s="24">
        <f t="shared" si="17"/>
        <v>0.32542671601641604</v>
      </c>
    </row>
    <row r="35" spans="1:19" x14ac:dyDescent="0.25">
      <c r="A35" s="17">
        <f t="shared" si="15"/>
        <v>0.34649999999999997</v>
      </c>
      <c r="B35" s="7">
        <f t="shared" si="3"/>
        <v>7.1840891444635069E-2</v>
      </c>
      <c r="C35" s="7">
        <f t="shared" si="4"/>
        <v>0.21552267433390521</v>
      </c>
      <c r="D35" s="7">
        <f t="shared" si="5"/>
        <v>7.6183225357508946E-2</v>
      </c>
      <c r="E35" s="7">
        <f t="shared" si="6"/>
        <v>0</v>
      </c>
      <c r="F35" s="7">
        <f t="shared" si="7"/>
        <v>0.21986500824677907</v>
      </c>
      <c r="H35" s="24">
        <f t="shared" si="8"/>
        <v>383.75980780101753</v>
      </c>
      <c r="I35" s="28">
        <f t="shared" si="9"/>
        <v>1.093207209287625</v>
      </c>
      <c r="J35" s="2"/>
      <c r="L35" s="39">
        <f t="shared" si="16"/>
        <v>7.8536980448924723E-2</v>
      </c>
      <c r="M35" s="39">
        <f t="shared" si="10"/>
        <v>5.6421666868206278E-3</v>
      </c>
      <c r="N35" s="39">
        <f t="shared" si="11"/>
        <v>1.6926500060461883E-2</v>
      </c>
      <c r="O35" s="39">
        <f t="shared" si="12"/>
        <v>0.23561094134677416</v>
      </c>
      <c r="P35" s="39">
        <f t="shared" si="13"/>
        <v>5.0779500181385648E-2</v>
      </c>
      <c r="R35" s="35">
        <f t="shared" si="14"/>
        <v>7.8536980448924723E-2</v>
      </c>
      <c r="S35" s="24">
        <f t="shared" si="17"/>
        <v>0.38706388775572242</v>
      </c>
    </row>
    <row r="36" spans="1:19" x14ac:dyDescent="0.25">
      <c r="A36" s="17">
        <f t="shared" si="15"/>
        <v>0.39599999999999996</v>
      </c>
      <c r="B36" s="7">
        <f t="shared" si="3"/>
        <v>6.7354951538943386E-2</v>
      </c>
      <c r="C36" s="7">
        <f t="shared" si="4"/>
        <v>0.2020648546168301</v>
      </c>
      <c r="D36" s="7">
        <f t="shared" si="5"/>
        <v>8.8319737779541621E-2</v>
      </c>
      <c r="E36" s="7">
        <f t="shared" si="6"/>
        <v>0</v>
      </c>
      <c r="F36" s="7">
        <f t="shared" si="7"/>
        <v>0.22302964085742838</v>
      </c>
      <c r="H36" s="24">
        <f t="shared" si="8"/>
        <v>385.50599078341014</v>
      </c>
      <c r="I36" s="28">
        <f t="shared" si="9"/>
        <v>1.1088378950598592</v>
      </c>
      <c r="J36" s="2"/>
      <c r="L36" s="39">
        <f t="shared" si="16"/>
        <v>7.4685722686300804E-2</v>
      </c>
      <c r="M36" s="39">
        <f t="shared" si="10"/>
        <v>5.0304532321867549E-3</v>
      </c>
      <c r="N36" s="39">
        <f t="shared" si="11"/>
        <v>1.5091359696560261E-2</v>
      </c>
      <c r="O36" s="39">
        <f t="shared" si="12"/>
        <v>0.22405716805890236</v>
      </c>
      <c r="P36" s="39">
        <f t="shared" si="13"/>
        <v>4.5274079089680772E-2</v>
      </c>
      <c r="R36" s="35">
        <f t="shared" si="14"/>
        <v>7.4685722686300804E-2</v>
      </c>
      <c r="S36" s="24">
        <f t="shared" si="17"/>
        <v>0.45171656828720558</v>
      </c>
    </row>
    <row r="37" spans="1:19" x14ac:dyDescent="0.25">
      <c r="A37" s="17">
        <f t="shared" si="15"/>
        <v>0.44549999999999995</v>
      </c>
      <c r="B37" s="7">
        <f t="shared" si="3"/>
        <v>6.2737988771170414E-2</v>
      </c>
      <c r="C37" s="7">
        <f t="shared" si="4"/>
        <v>0.18821396631351123</v>
      </c>
      <c r="D37" s="7">
        <f t="shared" si="5"/>
        <v>0.10081072677207001</v>
      </c>
      <c r="E37" s="7">
        <f t="shared" si="6"/>
        <v>0</v>
      </c>
      <c r="F37" s="7">
        <f t="shared" si="7"/>
        <v>0.22628670431441084</v>
      </c>
      <c r="H37" s="24">
        <f t="shared" si="8"/>
        <v>387.31984732824429</v>
      </c>
      <c r="I37" s="28">
        <f t="shared" si="9"/>
        <v>1.1251585199260645</v>
      </c>
      <c r="J37" s="2"/>
      <c r="L37" s="39">
        <f t="shared" si="16"/>
        <v>7.059018258890816E-2</v>
      </c>
      <c r="M37" s="39">
        <f t="shared" si="10"/>
        <v>4.4286860826177896E-3</v>
      </c>
      <c r="N37" s="39">
        <f t="shared" si="11"/>
        <v>1.3286058247853368E-2</v>
      </c>
      <c r="O37" s="39">
        <f t="shared" si="12"/>
        <v>0.21177054776672447</v>
      </c>
      <c r="P37" s="39">
        <f t="shared" si="13"/>
        <v>3.9858174743560099E-2</v>
      </c>
      <c r="R37" s="35">
        <f t="shared" si="14"/>
        <v>7.059018258890816E-2</v>
      </c>
      <c r="S37" s="24">
        <f t="shared" si="17"/>
        <v>0.51991696496442963</v>
      </c>
    </row>
    <row r="38" spans="1:19" x14ac:dyDescent="0.25">
      <c r="A38" s="17">
        <f t="shared" si="15"/>
        <v>0.49499999999999994</v>
      </c>
      <c r="B38" s="7">
        <f t="shared" si="3"/>
        <v>5.7984177804308805E-2</v>
      </c>
      <c r="C38" s="7">
        <f t="shared" si="4"/>
        <v>0.17395253341292641</v>
      </c>
      <c r="D38" s="7">
        <f t="shared" si="5"/>
        <v>0.11367195252725883</v>
      </c>
      <c r="E38" s="7">
        <f t="shared" si="6"/>
        <v>0</v>
      </c>
      <c r="F38" s="7">
        <f t="shared" si="7"/>
        <v>0.22964030813587641</v>
      </c>
      <c r="H38" s="24">
        <f t="shared" si="8"/>
        <v>389.20538922155691</v>
      </c>
      <c r="I38" s="28">
        <f t="shared" si="9"/>
        <v>1.1422139332149885</v>
      </c>
      <c r="J38" s="2"/>
      <c r="L38" s="39">
        <f t="shared" si="16"/>
        <v>6.6230335794096803E-2</v>
      </c>
      <c r="M38" s="39">
        <f t="shared" si="10"/>
        <v>3.8403115667239866E-3</v>
      </c>
      <c r="N38" s="39">
        <f t="shared" si="11"/>
        <v>1.152093470017196E-2</v>
      </c>
      <c r="O38" s="39">
        <f t="shared" si="12"/>
        <v>0.1986910073822904</v>
      </c>
      <c r="P38" s="39">
        <f t="shared" si="13"/>
        <v>3.4562804100515876E-2</v>
      </c>
      <c r="R38" s="35">
        <f t="shared" si="14"/>
        <v>6.6230335794096803E-2</v>
      </c>
      <c r="S38" s="24">
        <f t="shared" si="17"/>
        <v>0.592348080271626</v>
      </c>
    </row>
    <row r="39" spans="1:19" x14ac:dyDescent="0.25">
      <c r="A39" s="17">
        <f t="shared" si="15"/>
        <v>0.54449999999999998</v>
      </c>
      <c r="B39" s="7">
        <f t="shared" si="3"/>
        <v>5.308734277695782E-2</v>
      </c>
      <c r="C39" s="7">
        <f t="shared" si="4"/>
        <v>0.15926202833087344</v>
      </c>
      <c r="D39" s="7">
        <f t="shared" si="5"/>
        <v>0.12692012356554788</v>
      </c>
      <c r="E39" s="7">
        <f t="shared" si="6"/>
        <v>0</v>
      </c>
      <c r="F39" s="7">
        <f t="shared" si="7"/>
        <v>0.23309480911946351</v>
      </c>
      <c r="H39" s="24">
        <f t="shared" si="8"/>
        <v>391.16695174098959</v>
      </c>
      <c r="I39" s="28">
        <f t="shared" si="9"/>
        <v>1.1600528340330243</v>
      </c>
      <c r="J39" s="2"/>
      <c r="L39" s="39">
        <f t="shared" si="16"/>
        <v>6.1584122439692524E-2</v>
      </c>
      <c r="M39" s="39">
        <f t="shared" si="10"/>
        <v>3.269337417574097E-3</v>
      </c>
      <c r="N39" s="39">
        <f t="shared" si="11"/>
        <v>9.8080122527222889E-3</v>
      </c>
      <c r="O39" s="39">
        <f t="shared" si="12"/>
        <v>0.18475236731907754</v>
      </c>
      <c r="P39" s="39">
        <f t="shared" si="13"/>
        <v>2.9424036758166863E-2</v>
      </c>
      <c r="R39" s="35">
        <f t="shared" si="14"/>
        <v>6.1584122439692524E-2</v>
      </c>
      <c r="S39" s="24">
        <f t="shared" si="17"/>
        <v>0.66990659303989963</v>
      </c>
    </row>
    <row r="40" spans="1:19" x14ac:dyDescent="0.25">
      <c r="A40" s="17">
        <f t="shared" si="15"/>
        <v>0.59399999999999997</v>
      </c>
      <c r="B40" s="7">
        <f t="shared" si="3"/>
        <v>4.80409305357982E-2</v>
      </c>
      <c r="C40" s="7">
        <f t="shared" si="4"/>
        <v>0.14412279160739461</v>
      </c>
      <c r="D40" s="7">
        <f t="shared" si="5"/>
        <v>0.14057296915401049</v>
      </c>
      <c r="E40" s="7">
        <f t="shared" si="6"/>
        <v>0</v>
      </c>
      <c r="F40" s="7">
        <f t="shared" si="7"/>
        <v>0.2366548302256069</v>
      </c>
      <c r="H40" s="24">
        <f t="shared" si="8"/>
        <v>393.20922693266834</v>
      </c>
      <c r="I40" s="28">
        <f t="shared" si="9"/>
        <v>1.1787281827270959</v>
      </c>
      <c r="J40" s="2"/>
      <c r="L40" s="39">
        <f t="shared" si="16"/>
        <v>5.6627198746980065E-2</v>
      </c>
      <c r="M40" s="39">
        <f t="shared" si="10"/>
        <v>2.7204233214405084E-3</v>
      </c>
      <c r="N40" s="39">
        <f t="shared" si="11"/>
        <v>8.1612699643215242E-3</v>
      </c>
      <c r="O40" s="39">
        <f t="shared" si="12"/>
        <v>0.16988159624094018</v>
      </c>
      <c r="P40" s="39">
        <f t="shared" si="13"/>
        <v>2.4483809892964573E-2</v>
      </c>
      <c r="R40" s="35">
        <f t="shared" si="14"/>
        <v>5.6627198746980065E-2</v>
      </c>
      <c r="S40" s="24">
        <f t="shared" si="17"/>
        <v>0.75380243540331637</v>
      </c>
    </row>
    <row r="41" spans="1:19" x14ac:dyDescent="0.25">
      <c r="A41" s="17">
        <f t="shared" si="15"/>
        <v>0.64349999999999996</v>
      </c>
      <c r="B41" s="7">
        <f t="shared" si="3"/>
        <v>4.2837981377125363E-2</v>
      </c>
      <c r="C41" s="7">
        <f t="shared" si="4"/>
        <v>0.12851394413137612</v>
      </c>
      <c r="D41" s="7">
        <f t="shared" si="5"/>
        <v>0.15464931846384389</v>
      </c>
      <c r="E41" s="7">
        <f t="shared" si="6"/>
        <v>0</v>
      </c>
      <c r="F41" s="7">
        <f t="shared" si="7"/>
        <v>0.24032528121809463</v>
      </c>
      <c r="H41" s="24">
        <f t="shared" si="8"/>
        <v>395.3373010821133</v>
      </c>
      <c r="I41" s="28">
        <f t="shared" si="9"/>
        <v>1.1982976651302766</v>
      </c>
      <c r="J41" s="2"/>
      <c r="L41" s="39">
        <f t="shared" si="16"/>
        <v>5.1332653063103591E-2</v>
      </c>
      <c r="M41" s="39">
        <f t="shared" si="10"/>
        <v>2.198987235955669E-3</v>
      </c>
      <c r="N41" s="39">
        <f t="shared" si="11"/>
        <v>6.5969617078670082E-3</v>
      </c>
      <c r="O41" s="39">
        <f t="shared" si="12"/>
        <v>0.15399795918931081</v>
      </c>
      <c r="P41" s="39">
        <f t="shared" si="13"/>
        <v>1.979088512360103E-2</v>
      </c>
      <c r="R41" s="35">
        <f t="shared" si="14"/>
        <v>5.1332653063103591E-2</v>
      </c>
      <c r="S41" s="24">
        <f t="shared" si="17"/>
        <v>0.84572427219611679</v>
      </c>
    </row>
    <row r="42" spans="1:19" x14ac:dyDescent="0.25">
      <c r="A42" s="17">
        <f t="shared" si="15"/>
        <v>0.69299999999999995</v>
      </c>
      <c r="B42" s="7">
        <f t="shared" si="3"/>
        <v>3.7471097022743934E-2</v>
      </c>
      <c r="C42" s="7">
        <f t="shared" si="4"/>
        <v>0.11241329106823182</v>
      </c>
      <c r="D42" s="7">
        <f t="shared" si="5"/>
        <v>0.16916918721017288</v>
      </c>
      <c r="E42" s="7">
        <f t="shared" si="6"/>
        <v>0</v>
      </c>
      <c r="F42" s="7">
        <f t="shared" si="7"/>
        <v>0.24411138125566076</v>
      </c>
      <c r="H42" s="24">
        <f t="shared" si="8"/>
        <v>397.55669700910278</v>
      </c>
      <c r="I42" s="28">
        <f t="shared" si="9"/>
        <v>1.2188242175154107</v>
      </c>
      <c r="J42" s="2"/>
      <c r="L42" s="39">
        <f t="shared" si="16"/>
        <v>4.5670680508189912E-2</v>
      </c>
      <c r="M42" s="39">
        <f t="shared" si="10"/>
        <v>1.7113305004171245E-3</v>
      </c>
      <c r="N42" s="39">
        <f t="shared" si="11"/>
        <v>5.1339915012513738E-3</v>
      </c>
      <c r="O42" s="39">
        <f t="shared" si="12"/>
        <v>0.13701204152456975</v>
      </c>
      <c r="P42" s="39">
        <f t="shared" si="13"/>
        <v>1.5401974503754124E-2</v>
      </c>
      <c r="R42" s="35">
        <f t="shared" si="14"/>
        <v>4.5670680508189912E-2</v>
      </c>
      <c r="S42" s="24">
        <f t="shared" si="17"/>
        <v>0.94813151394945683</v>
      </c>
    </row>
    <row r="43" spans="1:19" x14ac:dyDescent="0.25">
      <c r="A43" s="17">
        <f t="shared" si="15"/>
        <v>0.74249999999999994</v>
      </c>
      <c r="B43" s="7">
        <f t="shared" si="3"/>
        <v>3.1932405520351544E-2</v>
      </c>
      <c r="C43" s="7">
        <f t="shared" si="4"/>
        <v>9.579721656105461E-2</v>
      </c>
      <c r="D43" s="7">
        <f t="shared" si="5"/>
        <v>0.18415387261251273</v>
      </c>
      <c r="E43" s="7">
        <f t="shared" si="6"/>
        <v>0</v>
      </c>
      <c r="F43" s="7">
        <f t="shared" si="7"/>
        <v>0.24801868365321583</v>
      </c>
      <c r="H43" s="24">
        <f t="shared" si="8"/>
        <v>399.87342192691028</v>
      </c>
      <c r="I43" s="28">
        <f t="shared" si="9"/>
        <v>1.2403766215496015</v>
      </c>
      <c r="J43" s="2"/>
      <c r="L43" s="39">
        <f t="shared" si="16"/>
        <v>3.9608209277285492E-2</v>
      </c>
      <c r="M43" s="39">
        <f t="shared" si="10"/>
        <v>1.2647854005772305E-3</v>
      </c>
      <c r="N43" s="39">
        <f t="shared" si="11"/>
        <v>3.7943562017316904E-3</v>
      </c>
      <c r="O43" s="39">
        <f t="shared" si="12"/>
        <v>0.11882462783185645</v>
      </c>
      <c r="P43" s="39">
        <f t="shared" si="13"/>
        <v>1.1383068605195069E-2</v>
      </c>
      <c r="R43" s="35">
        <f t="shared" si="14"/>
        <v>3.9608209277285492E-2</v>
      </c>
      <c r="S43" s="24">
        <f t="shared" si="17"/>
        <v>1.0648108771675184</v>
      </c>
    </row>
    <row r="44" spans="1:19" x14ac:dyDescent="0.25">
      <c r="A44" s="17">
        <f t="shared" si="15"/>
        <v>0.79199999999999993</v>
      </c>
      <c r="B44" s="7">
        <f t="shared" si="3"/>
        <v>2.6213522718215247E-2</v>
      </c>
      <c r="C44" s="7">
        <f t="shared" si="4"/>
        <v>7.8640568154645721E-2</v>
      </c>
      <c r="D44" s="7">
        <f t="shared" si="5"/>
        <v>0.19962605762333141</v>
      </c>
      <c r="E44" s="7">
        <f t="shared" si="6"/>
        <v>0</v>
      </c>
      <c r="F44" s="7">
        <f t="shared" si="7"/>
        <v>0.25205310305976192</v>
      </c>
      <c r="H44" s="24">
        <f t="shared" si="8"/>
        <v>402.29402173913041</v>
      </c>
      <c r="I44" s="28">
        <f t="shared" si="9"/>
        <v>1.263030180177644</v>
      </c>
      <c r="J44" s="2"/>
      <c r="L44" s="39">
        <f t="shared" si="16"/>
        <v>3.3108470321878171E-2</v>
      </c>
      <c r="M44" s="39">
        <f t="shared" si="10"/>
        <v>8.6788963894790874E-4</v>
      </c>
      <c r="N44" s="39">
        <f t="shared" si="11"/>
        <v>2.6036689168437255E-3</v>
      </c>
      <c r="O44" s="39">
        <f t="shared" si="12"/>
        <v>9.9325410965634478E-2</v>
      </c>
      <c r="P44" s="39">
        <f t="shared" si="13"/>
        <v>7.8110067505311733E-3</v>
      </c>
      <c r="R44" s="35">
        <f t="shared" si="14"/>
        <v>3.3108470321878171E-2</v>
      </c>
      <c r="S44" s="24">
        <f t="shared" si="17"/>
        <v>1.2020522074955076</v>
      </c>
    </row>
    <row r="45" spans="1:19" x14ac:dyDescent="0.25">
      <c r="A45" s="17">
        <f t="shared" si="15"/>
        <v>0.84149999999999991</v>
      </c>
      <c r="B45" s="7">
        <f t="shared" si="3"/>
        <v>2.0305509917618265E-2</v>
      </c>
      <c r="C45" s="7">
        <f t="shared" si="4"/>
        <v>6.0916529752854796E-2</v>
      </c>
      <c r="D45" s="7">
        <f t="shared" si="5"/>
        <v>0.21560992549748592</v>
      </c>
      <c r="E45" s="7">
        <f t="shared" si="6"/>
        <v>0</v>
      </c>
      <c r="F45" s="7">
        <f t="shared" si="7"/>
        <v>0.25622094533272244</v>
      </c>
      <c r="H45" s="24">
        <f t="shared" si="8"/>
        <v>404.82564280750523</v>
      </c>
      <c r="I45" s="28">
        <f t="shared" si="9"/>
        <v>1.2868674873238022</v>
      </c>
      <c r="J45" s="2"/>
      <c r="L45" s="39">
        <f t="shared" si="16"/>
        <v>2.6130500526513962E-2</v>
      </c>
      <c r="M45" s="39">
        <f t="shared" si="10"/>
        <v>5.3059313759345854E-4</v>
      </c>
      <c r="N45" s="39">
        <f t="shared" si="11"/>
        <v>1.5917794127803756E-3</v>
      </c>
      <c r="O45" s="39">
        <f t="shared" si="12"/>
        <v>7.8391501579541889E-2</v>
      </c>
      <c r="P45" s="39">
        <f t="shared" si="13"/>
        <v>4.7753382383411268E-3</v>
      </c>
      <c r="R45" s="35">
        <f t="shared" si="14"/>
        <v>2.6130500526513962E-2</v>
      </c>
      <c r="S45" s="24">
        <f t="shared" si="17"/>
        <v>1.3715233914958811</v>
      </c>
    </row>
    <row r="46" spans="1:19" x14ac:dyDescent="0.25">
      <c r="A46" s="17">
        <f t="shared" si="15"/>
        <v>0.8909999999999999</v>
      </c>
      <c r="B46" s="7">
        <f t="shared" si="3"/>
        <v>1.4198827253219267E-2</v>
      </c>
      <c r="C46" s="7">
        <f t="shared" si="4"/>
        <v>4.2596481759657821E-2</v>
      </c>
      <c r="D46" s="7">
        <f t="shared" si="5"/>
        <v>0.23213128591960286</v>
      </c>
      <c r="E46" s="7">
        <f t="shared" si="6"/>
        <v>0</v>
      </c>
      <c r="F46" s="7">
        <f t="shared" si="7"/>
        <v>0.26052894042604136</v>
      </c>
      <c r="H46" s="24">
        <f t="shared" si="8"/>
        <v>407.47610241820774</v>
      </c>
      <c r="I46" s="28">
        <f t="shared" si="9"/>
        <v>1.3119793066619185</v>
      </c>
      <c r="J46" s="2"/>
      <c r="L46" s="39">
        <f t="shared" si="16"/>
        <v>1.8628567535090967E-2</v>
      </c>
      <c r="M46" s="39">
        <f t="shared" si="10"/>
        <v>2.6450381240568528E-4</v>
      </c>
      <c r="N46" s="39">
        <f t="shared" si="11"/>
        <v>7.9351143721705618E-4</v>
      </c>
      <c r="O46" s="39">
        <f t="shared" si="12"/>
        <v>5.5885702605272924E-2</v>
      </c>
      <c r="P46" s="39">
        <f t="shared" si="13"/>
        <v>2.3805343116511698E-3</v>
      </c>
      <c r="R46" s="35">
        <f t="shared" si="14"/>
        <v>1.8628567535090967E-2</v>
      </c>
      <c r="S46" s="24">
        <f t="shared" si="17"/>
        <v>1.5991007485087623</v>
      </c>
    </row>
    <row r="47" spans="1:19" x14ac:dyDescent="0.25">
      <c r="A47" s="17">
        <f t="shared" si="15"/>
        <v>0.94049999999999989</v>
      </c>
      <c r="B47" s="7">
        <f t="shared" si="3"/>
        <v>7.8832822899215036E-3</v>
      </c>
      <c r="C47" s="7">
        <f t="shared" si="4"/>
        <v>2.3649846869764537E-2</v>
      </c>
      <c r="D47" s="7">
        <f t="shared" si="5"/>
        <v>0.24921771407298013</v>
      </c>
      <c r="E47" s="7">
        <f t="shared" si="6"/>
        <v>0</v>
      </c>
      <c r="F47" s="7">
        <f t="shared" si="7"/>
        <v>0.26498427865282315</v>
      </c>
      <c r="H47" s="24">
        <f t="shared" si="8"/>
        <v>410.25396941005101</v>
      </c>
      <c r="I47" s="28">
        <f t="shared" si="9"/>
        <v>1.3384655775547016</v>
      </c>
      <c r="J47" s="2"/>
      <c r="L47" s="39">
        <f t="shared" si="16"/>
        <v>1.0551501983206537E-2</v>
      </c>
      <c r="M47" s="39">
        <f t="shared" si="10"/>
        <v>8.3180468716283708E-5</v>
      </c>
      <c r="N47" s="39">
        <f t="shared" si="11"/>
        <v>2.4954140614885141E-4</v>
      </c>
      <c r="O47" s="39">
        <f t="shared" si="12"/>
        <v>3.1654505949619646E-2</v>
      </c>
      <c r="P47" s="39">
        <f t="shared" si="13"/>
        <v>7.4862421844655515E-4</v>
      </c>
      <c r="R47" s="35">
        <f t="shared" si="14"/>
        <v>1.0551501983206537E-2</v>
      </c>
      <c r="S47" s="24">
        <f t="shared" si="17"/>
        <v>1.9665249677317309</v>
      </c>
    </row>
    <row r="48" spans="1:19" x14ac:dyDescent="0.25">
      <c r="A48" s="17">
        <f t="shared" si="15"/>
        <v>0.98999999999999988</v>
      </c>
      <c r="B48" s="7">
        <f t="shared" si="3"/>
        <v>1.347973253667522E-3</v>
      </c>
      <c r="C48" s="7">
        <f t="shared" si="4"/>
        <v>4.0439197610025509E-3</v>
      </c>
      <c r="D48" s="7">
        <f t="shared" si="5"/>
        <v>0.26689870422616613</v>
      </c>
      <c r="E48" s="7">
        <f t="shared" si="6"/>
        <v>0</v>
      </c>
      <c r="F48" s="7">
        <f t="shared" si="7"/>
        <v>0.2695946507335012</v>
      </c>
      <c r="H48" s="24">
        <f t="shared" si="8"/>
        <v>413.1686567164179</v>
      </c>
      <c r="I48" s="28">
        <f t="shared" si="9"/>
        <v>1.3664365697185619</v>
      </c>
      <c r="J48" s="2"/>
      <c r="L48" s="39">
        <f t="shared" si="16"/>
        <v>1.8419199488138177E-3</v>
      </c>
      <c r="M48" s="39">
        <f t="shared" si="10"/>
        <v>2.4828588263976776E-6</v>
      </c>
      <c r="N48" s="39">
        <f t="shared" si="11"/>
        <v>7.4485764791930041E-6</v>
      </c>
      <c r="O48" s="39">
        <f t="shared" si="12"/>
        <v>5.5257598464414324E-3</v>
      </c>
      <c r="P48" s="39">
        <f t="shared" si="13"/>
        <v>2.2345729437578929E-5</v>
      </c>
      <c r="R48" s="35">
        <f t="shared" si="14"/>
        <v>1.8419199488138177E-3</v>
      </c>
      <c r="S48" s="24">
        <f t="shared" si="17"/>
        <v>3.5447953341397338</v>
      </c>
    </row>
    <row r="50" spans="1:3" x14ac:dyDescent="0.25">
      <c r="A50" s="38">
        <v>1</v>
      </c>
      <c r="B50" s="26" t="s">
        <v>55</v>
      </c>
      <c r="C50" s="38">
        <f>IF($S$2=A50,1,0)</f>
        <v>1</v>
      </c>
    </row>
    <row r="51" spans="1:3" x14ac:dyDescent="0.25">
      <c r="A51" s="38">
        <v>2</v>
      </c>
      <c r="B51" s="26" t="s">
        <v>56</v>
      </c>
      <c r="C51" s="38">
        <f>IF($S$2=A51,1,0)</f>
        <v>0</v>
      </c>
    </row>
    <row r="52" spans="1:3" x14ac:dyDescent="0.25">
      <c r="A52" s="38">
        <v>3</v>
      </c>
      <c r="B52" s="26" t="s">
        <v>57</v>
      </c>
      <c r="C52" s="38">
        <f>IF($S$2=A52,1,0)</f>
        <v>0</v>
      </c>
    </row>
    <row r="53" spans="1:3" x14ac:dyDescent="0.25">
      <c r="A53" s="38">
        <v>4</v>
      </c>
      <c r="B53" s="26" t="s">
        <v>58</v>
      </c>
      <c r="C53" s="38">
        <f>IF($S$2=A53,1,0)</f>
        <v>0</v>
      </c>
    </row>
    <row r="54" spans="1:3" x14ac:dyDescent="0.25">
      <c r="A54" s="38">
        <v>5</v>
      </c>
      <c r="B54" s="26" t="s">
        <v>59</v>
      </c>
      <c r="C54" s="38">
        <f>IF($S$2=A54,1,0)</f>
        <v>0</v>
      </c>
    </row>
  </sheetData>
  <sheetProtection algorithmName="SHA-512" hashValue="UYuFyfp+ANGjBNL+dXmTOYgrPEbcaqUfhIZvGEx+b88IGIhBCylmhuvCOpydlobDxLe2ZqJPTAxuBkrnTOQf2A==" saltValue="ryeVLBFHGsYufdvg8trvtQ==" spinCount="100000" sheet="1" objects="1" scenarios="1"/>
  <mergeCells count="1">
    <mergeCell ref="B2:C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locked="0" defaultSize="0" autoLine="0" autoPict="0">
                <anchor moveWithCells="1">
                  <from>
                    <xdr:col>17</xdr:col>
                    <xdr:colOff>609600</xdr:colOff>
                    <xdr:row>0</xdr:row>
                    <xdr:rowOff>190500</xdr:rowOff>
                  </from>
                  <to>
                    <xdr:col>19</xdr:col>
                    <xdr:colOff>581025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showGridLines="0" zoomScaleNormal="100" workbookViewId="0">
      <selection activeCell="K5" sqref="K5"/>
    </sheetView>
  </sheetViews>
  <sheetFormatPr defaultRowHeight="15" x14ac:dyDescent="0.25"/>
  <sheetData>
    <row r="1" spans="1:2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thickBot="1" x14ac:dyDescent="0.3">
      <c r="A2" s="2"/>
      <c r="B2" s="42" t="s">
        <v>0</v>
      </c>
      <c r="C2" s="43"/>
      <c r="D2" s="2"/>
      <c r="E2" s="3" t="s">
        <v>7</v>
      </c>
      <c r="F2" s="30">
        <v>100</v>
      </c>
      <c r="G2" s="2" t="s">
        <v>8</v>
      </c>
      <c r="H2" s="3" t="s">
        <v>28</v>
      </c>
      <c r="I2" s="30">
        <f>Batch!I2</f>
        <v>10000</v>
      </c>
      <c r="J2" s="2" t="s">
        <v>35</v>
      </c>
      <c r="K2" s="2"/>
      <c r="L2" s="3" t="s">
        <v>36</v>
      </c>
      <c r="M2" s="32">
        <f>Batch!M2</f>
        <v>298.14999999999998</v>
      </c>
      <c r="N2" s="2" t="s">
        <v>31</v>
      </c>
      <c r="O2" s="3" t="s">
        <v>32</v>
      </c>
      <c r="P2" s="31">
        <f>Batch!P2</f>
        <v>-50000</v>
      </c>
      <c r="Q2" s="2" t="s">
        <v>35</v>
      </c>
      <c r="R2" s="64" t="s">
        <v>53</v>
      </c>
      <c r="S2" s="63">
        <v>1</v>
      </c>
      <c r="T2" s="2"/>
    </row>
    <row r="3" spans="1:20" x14ac:dyDescent="0.25">
      <c r="A3" s="2"/>
      <c r="B3" s="2"/>
      <c r="C3" s="2"/>
      <c r="D3" s="2"/>
      <c r="E3" s="1" t="s">
        <v>62</v>
      </c>
      <c r="F3" s="36">
        <f>F2*(1+C5*F5)*(M4/M3)</f>
        <v>74.185448211175128</v>
      </c>
      <c r="G3" s="2" t="s">
        <v>8</v>
      </c>
      <c r="H3" s="3" t="s">
        <v>27</v>
      </c>
      <c r="I3" s="33">
        <f>Batch!I3</f>
        <v>1</v>
      </c>
      <c r="J3" s="2" t="s">
        <v>41</v>
      </c>
      <c r="K3" s="2"/>
      <c r="L3" s="3" t="s">
        <v>29</v>
      </c>
      <c r="M3" s="32">
        <f>Batch!M3</f>
        <v>373.15</v>
      </c>
      <c r="N3" s="2" t="s">
        <v>31</v>
      </c>
      <c r="O3" s="1" t="s">
        <v>34</v>
      </c>
      <c r="P3" s="1">
        <f>(B11/B8)*J11+(B10/B8)*J10-(B9/B8)*J9-J8</f>
        <v>-8000</v>
      </c>
      <c r="Q3" s="2" t="s">
        <v>37</v>
      </c>
      <c r="R3" s="2"/>
      <c r="S3" s="2"/>
      <c r="T3" s="2"/>
    </row>
    <row r="4" spans="1:20" x14ac:dyDescent="0.25">
      <c r="A4" s="2"/>
      <c r="B4" s="1" t="s">
        <v>3</v>
      </c>
      <c r="C4" s="1">
        <f>(B11+B10-B9-B8)/B8</f>
        <v>-2</v>
      </c>
      <c r="D4" s="2"/>
      <c r="E4" s="2"/>
      <c r="F4" s="2"/>
      <c r="G4" s="2"/>
      <c r="H4" s="4" t="s">
        <v>54</v>
      </c>
      <c r="I4" s="29">
        <f>I3*EXP((I2/8.314)*(1/M3-1/M4))</f>
        <v>1.3664365697185619</v>
      </c>
      <c r="J4" s="2" t="s">
        <v>41</v>
      </c>
      <c r="K4" s="2"/>
      <c r="L4" s="4" t="s">
        <v>61</v>
      </c>
      <c r="M4" s="22">
        <f>(X.*(-P2+P3*M2)+M3*(F8*J8+F9*J9+F10*J10+F11*J11+F12*J12))/((F8*J8+F9*J9+F10*J10+F11*J11+F12*J12)+X.*P3)</f>
        <v>413.1686567164179</v>
      </c>
      <c r="N4" s="2" t="s">
        <v>31</v>
      </c>
      <c r="O4" s="2"/>
      <c r="P4" s="2"/>
      <c r="Q4" s="2"/>
      <c r="R4" s="2"/>
      <c r="S4" s="2"/>
      <c r="T4" s="2"/>
    </row>
    <row r="5" spans="1:20" x14ac:dyDescent="0.25">
      <c r="A5" s="2"/>
      <c r="B5" s="1" t="s">
        <v>9</v>
      </c>
      <c r="C5" s="37">
        <f>C4*E8</f>
        <v>-0.33333333333333331</v>
      </c>
      <c r="D5" s="2"/>
      <c r="E5" s="3" t="s">
        <v>2</v>
      </c>
      <c r="F5" s="40">
        <f>X</f>
        <v>0.99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1" t="s">
        <v>21</v>
      </c>
      <c r="B7" s="3" t="s">
        <v>1</v>
      </c>
      <c r="C7" s="3" t="s">
        <v>6</v>
      </c>
      <c r="D7" s="26" t="s">
        <v>14</v>
      </c>
      <c r="E7" s="26" t="s">
        <v>10</v>
      </c>
      <c r="F7" s="26" t="s">
        <v>12</v>
      </c>
      <c r="G7" s="26" t="s">
        <v>11</v>
      </c>
      <c r="H7" s="26" t="s">
        <v>15</v>
      </c>
      <c r="I7" s="26" t="s">
        <v>17</v>
      </c>
      <c r="J7" s="3" t="s">
        <v>33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6" t="s">
        <v>45</v>
      </c>
      <c r="B8" s="30">
        <v>1</v>
      </c>
      <c r="C8" s="30">
        <v>10</v>
      </c>
      <c r="D8" s="7">
        <f>C8/F$2</f>
        <v>0.1</v>
      </c>
      <c r="E8" s="7">
        <f>C8/C$13</f>
        <v>0.16666666666666666</v>
      </c>
      <c r="F8" s="8">
        <f>E8/E$8</f>
        <v>1</v>
      </c>
      <c r="G8" s="5">
        <f>C$8*(1-F5)</f>
        <v>0.10000000000000009</v>
      </c>
      <c r="H8" s="7">
        <f>G8/F$3</f>
        <v>1.3479732536675073E-3</v>
      </c>
      <c r="I8" s="7">
        <f>G8/G$13</f>
        <v>2.4875621890547285E-3</v>
      </c>
      <c r="J8" s="30">
        <f>Batch!J8</f>
        <v>4000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9" t="s">
        <v>46</v>
      </c>
      <c r="B9" s="30">
        <v>3</v>
      </c>
      <c r="C9" s="30">
        <v>30</v>
      </c>
      <c r="D9" s="7">
        <f>C9/F$2</f>
        <v>0.3</v>
      </c>
      <c r="E9" s="7">
        <f>C9/C$13</f>
        <v>0.5</v>
      </c>
      <c r="F9" s="8">
        <f>E9/E$8</f>
        <v>3</v>
      </c>
      <c r="G9" s="5">
        <f>C$8*(F9-(B9/B$8)*F$5)</f>
        <v>0.30000000000000249</v>
      </c>
      <c r="H9" s="7">
        <f>G9/F$3</f>
        <v>4.0439197610025518E-3</v>
      </c>
      <c r="I9" s="7">
        <f>G9/G$13</f>
        <v>7.4626865671642405E-3</v>
      </c>
      <c r="J9" s="30">
        <f>Batch!J9</f>
        <v>4000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10" t="s">
        <v>47</v>
      </c>
      <c r="B10" s="30">
        <v>2</v>
      </c>
      <c r="C10" s="30">
        <v>0</v>
      </c>
      <c r="D10" s="7">
        <f>C10/F$2</f>
        <v>0</v>
      </c>
      <c r="E10" s="7">
        <f>C10/C$13</f>
        <v>0</v>
      </c>
      <c r="F10" s="8">
        <f>E10/E$8</f>
        <v>0</v>
      </c>
      <c r="G10" s="5">
        <f>C$8*(F10+(B10/B$8)*F$5)</f>
        <v>19.8</v>
      </c>
      <c r="H10" s="7">
        <f>G10/F$3</f>
        <v>0.26689870422616618</v>
      </c>
      <c r="I10" s="7">
        <f>G10/G$13</f>
        <v>0.4925373134328358</v>
      </c>
      <c r="J10" s="30">
        <f>Batch!J10</f>
        <v>4000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11" t="s">
        <v>48</v>
      </c>
      <c r="B11" s="30">
        <v>0</v>
      </c>
      <c r="C11" s="30">
        <v>0</v>
      </c>
      <c r="D11" s="7">
        <f>C11/F$2</f>
        <v>0</v>
      </c>
      <c r="E11" s="7">
        <f>C11/C$13</f>
        <v>0</v>
      </c>
      <c r="F11" s="8">
        <f>E11/E$8</f>
        <v>0</v>
      </c>
      <c r="G11" s="5">
        <f>C$8*(F11+(B11/B$8)*F$5)</f>
        <v>0</v>
      </c>
      <c r="H11" s="7">
        <f>G11/F$3</f>
        <v>0</v>
      </c>
      <c r="I11" s="7">
        <f>G11/G$13</f>
        <v>0</v>
      </c>
      <c r="J11" s="30">
        <f>Batch!J11</f>
        <v>4000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2" t="s">
        <v>4</v>
      </c>
      <c r="B12" s="13" t="s">
        <v>5</v>
      </c>
      <c r="C12" s="30">
        <v>20</v>
      </c>
      <c r="D12" s="7">
        <f>C12/F$2</f>
        <v>0.2</v>
      </c>
      <c r="E12" s="7">
        <f>C12/C$13</f>
        <v>0.33333333333333331</v>
      </c>
      <c r="F12" s="8">
        <f>E12/E$8</f>
        <v>2</v>
      </c>
      <c r="G12" s="5">
        <f>C12</f>
        <v>20</v>
      </c>
      <c r="H12" s="7">
        <f>G12/F$3</f>
        <v>0.2695946507335012</v>
      </c>
      <c r="I12" s="7">
        <f>G12/G$13</f>
        <v>0.49751243781094523</v>
      </c>
      <c r="J12" s="30">
        <f>Batch!J12</f>
        <v>4000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1" t="s">
        <v>16</v>
      </c>
      <c r="B13" s="13" t="s">
        <v>5</v>
      </c>
      <c r="C13" s="14">
        <f>SUM(C8:C12)</f>
        <v>60</v>
      </c>
      <c r="D13" s="15">
        <f>SUM(D8:D12)</f>
        <v>0.60000000000000009</v>
      </c>
      <c r="E13" s="15">
        <f>SUM(E8:E12)</f>
        <v>1</v>
      </c>
      <c r="F13" s="14" t="s">
        <v>5</v>
      </c>
      <c r="G13" s="14">
        <f>SUM(G8:G12)</f>
        <v>40.200000000000003</v>
      </c>
      <c r="H13" s="15">
        <f>SUM(H8:H12)</f>
        <v>0.54188524797433746</v>
      </c>
      <c r="I13" s="15">
        <f>SUM(I8:I12)</f>
        <v>1</v>
      </c>
      <c r="J13" s="14" t="s">
        <v>5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/>
      <c r="B16" s="23"/>
      <c r="C16" s="18" t="s">
        <v>52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/>
      <c r="B17" s="19" t="s">
        <v>23</v>
      </c>
      <c r="C17" s="27">
        <f>k.*H9</f>
        <v>5.5257598464414333E-3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thickBot="1" x14ac:dyDescent="0.3">
      <c r="A18" s="2"/>
      <c r="B18" s="20" t="s">
        <v>22</v>
      </c>
      <c r="C18" s="21">
        <f>$C$8*X./C17</f>
        <v>1791.6088058686735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/>
      <c r="B21" s="2"/>
      <c r="C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  <c r="P25" s="2"/>
      <c r="Q25" s="2"/>
      <c r="R25" s="2"/>
      <c r="S25" s="2"/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6"/>
      <c r="L26" s="16"/>
    </row>
    <row r="27" spans="1:20" x14ac:dyDescent="0.25">
      <c r="A27" s="26" t="s">
        <v>2</v>
      </c>
      <c r="B27" s="26" t="s">
        <v>13</v>
      </c>
      <c r="C27" s="26" t="s">
        <v>18</v>
      </c>
      <c r="D27" s="26" t="s">
        <v>19</v>
      </c>
      <c r="E27" s="26" t="s">
        <v>20</v>
      </c>
      <c r="F27" s="26" t="s">
        <v>38</v>
      </c>
      <c r="H27" s="26" t="s">
        <v>30</v>
      </c>
      <c r="I27" s="26" t="s">
        <v>24</v>
      </c>
      <c r="J27" s="2"/>
      <c r="L27" s="26" t="s">
        <v>55</v>
      </c>
      <c r="M27" s="26" t="s">
        <v>56</v>
      </c>
      <c r="N27" s="26" t="s">
        <v>57</v>
      </c>
      <c r="O27" s="26" t="s">
        <v>58</v>
      </c>
      <c r="P27" s="26" t="s">
        <v>59</v>
      </c>
      <c r="R27" s="26" t="s">
        <v>49</v>
      </c>
      <c r="S27" s="26" t="s">
        <v>51</v>
      </c>
    </row>
    <row r="28" spans="1:20" x14ac:dyDescent="0.25">
      <c r="A28" s="17">
        <v>0</v>
      </c>
      <c r="B28" s="7">
        <f t="shared" ref="B28:B48" si="0">D$8*(M$3/H28)*(1-A28)/(1+C$5*A28)</f>
        <v>0.1</v>
      </c>
      <c r="C28" s="7">
        <f t="shared" ref="C28:C48" si="1">D$8*(M$3/H28)*(F$9-(B$9/B$8)*A28)/(1+C$5*A28)</f>
        <v>0.30000000000000004</v>
      </c>
      <c r="D28" s="7">
        <f t="shared" ref="D28:D48" si="2">D$8*(M$3/H28)*(F$10+(B$10/B$8)*A28)/(1+C$5*A28)</f>
        <v>0</v>
      </c>
      <c r="E28" s="7">
        <f t="shared" ref="E28:E48" si="3">D$8*(M$3/H28)*(F$11+(B$11/B$8)*A28)/(1+C$5*A28)</f>
        <v>0</v>
      </c>
      <c r="F28" s="7">
        <f t="shared" ref="F28:F48" si="4">D$8*(M$3/H28)*(F$12)/(1+C$5*A28)</f>
        <v>0.2</v>
      </c>
      <c r="H28" s="24">
        <f t="shared" ref="H28:H48" si="5">(A28*(-P$2+P$3*M$2)+M$3*(F$8*J$8+F$9*J$9+F$10*J$10+F$11*J$11+F$12*J$12))/((F$8*J$8+F$9*J$9+F$10*J$10+F$11*J$11+F$12*J$12)+A28*P$3)</f>
        <v>373.15</v>
      </c>
      <c r="I28" s="28">
        <f t="shared" ref="I28:I48" si="6">I$3*EXP((I$2/8.314)*(1/M$3-1/H28))</f>
        <v>1</v>
      </c>
      <c r="J28" s="2"/>
      <c r="L28" s="39">
        <f>I28*B28</f>
        <v>0.1</v>
      </c>
      <c r="M28" s="39">
        <f t="shared" ref="M28:M48" si="7">I28*B28*B28</f>
        <v>1.0000000000000002E-2</v>
      </c>
      <c r="N28" s="39">
        <f t="shared" ref="N28:N48" si="8">I28*B28*C28</f>
        <v>3.0000000000000006E-2</v>
      </c>
      <c r="O28" s="39">
        <f t="shared" ref="O28:O48" si="9">I28*C28</f>
        <v>0.30000000000000004</v>
      </c>
      <c r="P28" s="39">
        <f t="shared" ref="P28:P48" si="10">I28*C28*C28</f>
        <v>9.0000000000000024E-2</v>
      </c>
      <c r="R28" s="35">
        <f t="shared" ref="R28:R48" si="11">$C$50*L28+$C$51*M28+$C$52*N28+$C$53*O28+$C$54*P28</f>
        <v>0.1</v>
      </c>
      <c r="S28" s="25">
        <f t="shared" ref="S28:S48" si="12">C$8*A28/R28</f>
        <v>0</v>
      </c>
    </row>
    <row r="29" spans="1:20" x14ac:dyDescent="0.25">
      <c r="A29" s="17">
        <f t="shared" ref="A29:A48" si="13">X./20+A28</f>
        <v>4.9500000000000002E-2</v>
      </c>
      <c r="B29" s="7">
        <f t="shared" si="0"/>
        <v>9.6292878752728669E-2</v>
      </c>
      <c r="C29" s="7">
        <f t="shared" si="1"/>
        <v>0.28887863625818605</v>
      </c>
      <c r="D29" s="7">
        <f t="shared" si="2"/>
        <v>1.0029452915854961E-2</v>
      </c>
      <c r="E29" s="7">
        <f t="shared" si="3"/>
        <v>0</v>
      </c>
      <c r="F29" s="7">
        <f t="shared" si="4"/>
        <v>0.20261521042131231</v>
      </c>
      <c r="H29" s="24">
        <f t="shared" si="5"/>
        <v>374.51311642094561</v>
      </c>
      <c r="I29" s="28">
        <f t="shared" si="6"/>
        <v>1.0118011006793006</v>
      </c>
      <c r="J29" s="2"/>
      <c r="L29" s="39">
        <f t="shared" ref="L29:L48" si="14">I29*B29</f>
        <v>9.7429240709589304E-2</v>
      </c>
      <c r="M29" s="39">
        <f t="shared" si="7"/>
        <v>9.3817420626188999E-3</v>
      </c>
      <c r="N29" s="39">
        <f t="shared" si="8"/>
        <v>2.8145226187856701E-2</v>
      </c>
      <c r="O29" s="39">
        <f t="shared" si="9"/>
        <v>0.29228772212876797</v>
      </c>
      <c r="P29" s="39">
        <f t="shared" si="10"/>
        <v>8.4435678563570121E-2</v>
      </c>
      <c r="R29" s="35">
        <f t="shared" si="11"/>
        <v>9.7429240709589304E-2</v>
      </c>
      <c r="S29" s="25">
        <f t="shared" si="12"/>
        <v>5.080610260275594</v>
      </c>
    </row>
    <row r="30" spans="1:20" x14ac:dyDescent="0.25">
      <c r="A30" s="17">
        <f t="shared" si="13"/>
        <v>9.9000000000000005E-2</v>
      </c>
      <c r="B30" s="7">
        <f t="shared" si="0"/>
        <v>9.2487523977538372E-2</v>
      </c>
      <c r="C30" s="7">
        <f t="shared" si="1"/>
        <v>0.27746257193261509</v>
      </c>
      <c r="D30" s="7">
        <f t="shared" si="2"/>
        <v>2.0324672305829738E-2</v>
      </c>
      <c r="E30" s="7">
        <f t="shared" si="3"/>
        <v>0</v>
      </c>
      <c r="F30" s="7">
        <f t="shared" si="4"/>
        <v>0.20529972026090648</v>
      </c>
      <c r="H30" s="24">
        <f t="shared" si="5"/>
        <v>375.92275077559458</v>
      </c>
      <c r="I30" s="28">
        <f t="shared" si="6"/>
        <v>1.0240597794784003</v>
      </c>
      <c r="J30" s="2"/>
      <c r="L30" s="39">
        <f t="shared" si="14"/>
        <v>9.4712753408941211E-2</v>
      </c>
      <c r="M30" s="39">
        <f t="shared" si="7"/>
        <v>8.7597480518881287E-3</v>
      </c>
      <c r="N30" s="39">
        <f t="shared" si="8"/>
        <v>2.6279244155664384E-2</v>
      </c>
      <c r="O30" s="39">
        <f t="shared" si="9"/>
        <v>0.28413826022682359</v>
      </c>
      <c r="P30" s="39">
        <f t="shared" si="10"/>
        <v>7.8837732466993146E-2</v>
      </c>
      <c r="R30" s="35">
        <f t="shared" si="11"/>
        <v>9.4712753408941211E-2</v>
      </c>
      <c r="S30" s="25">
        <f t="shared" si="12"/>
        <v>10.452657792826246</v>
      </c>
    </row>
    <row r="31" spans="1:20" x14ac:dyDescent="0.25">
      <c r="A31" s="17">
        <f t="shared" si="13"/>
        <v>0.14850000000000002</v>
      </c>
      <c r="B31" s="7">
        <f t="shared" si="0"/>
        <v>8.8579978670254411E-2</v>
      </c>
      <c r="C31" s="7">
        <f t="shared" si="1"/>
        <v>0.26573993601076323</v>
      </c>
      <c r="D31" s="7">
        <f t="shared" si="2"/>
        <v>3.0896363670071127E-2</v>
      </c>
      <c r="E31" s="7">
        <f t="shared" si="3"/>
        <v>0</v>
      </c>
      <c r="F31" s="7">
        <f t="shared" si="4"/>
        <v>0.20805632101057994</v>
      </c>
      <c r="H31" s="24">
        <f t="shared" si="5"/>
        <v>377.38132561809579</v>
      </c>
      <c r="I31" s="28">
        <f t="shared" si="6"/>
        <v>1.0368022332510916</v>
      </c>
      <c r="J31" s="2"/>
      <c r="L31" s="39">
        <f t="shared" si="14"/>
        <v>9.1839919706653825E-2</v>
      </c>
      <c r="M31" s="39">
        <f t="shared" si="7"/>
        <v>8.1351781286932729E-3</v>
      </c>
      <c r="N31" s="39">
        <f t="shared" si="8"/>
        <v>2.440553438607982E-2</v>
      </c>
      <c r="O31" s="39">
        <f t="shared" si="9"/>
        <v>0.27551975911996146</v>
      </c>
      <c r="P31" s="39">
        <f t="shared" si="10"/>
        <v>7.3216603158239454E-2</v>
      </c>
      <c r="R31" s="35">
        <f t="shared" si="11"/>
        <v>9.1839919706653825E-2</v>
      </c>
      <c r="S31" s="25">
        <f t="shared" si="12"/>
        <v>16.1694392236322</v>
      </c>
    </row>
    <row r="32" spans="1:20" x14ac:dyDescent="0.25">
      <c r="A32" s="17">
        <f t="shared" si="13"/>
        <v>0.19800000000000001</v>
      </c>
      <c r="B32" s="7">
        <f t="shared" si="0"/>
        <v>8.4566070408263055E-2</v>
      </c>
      <c r="C32" s="7">
        <f t="shared" si="1"/>
        <v>0.25369821122478908</v>
      </c>
      <c r="D32" s="7">
        <f t="shared" si="2"/>
        <v>4.1755815313805698E-2</v>
      </c>
      <c r="E32" s="7">
        <f t="shared" si="3"/>
        <v>0</v>
      </c>
      <c r="F32" s="7">
        <f t="shared" si="4"/>
        <v>0.21088795613033179</v>
      </c>
      <c r="H32" s="24">
        <f t="shared" si="5"/>
        <v>378.89143468950749</v>
      </c>
      <c r="I32" s="28">
        <f t="shared" si="6"/>
        <v>1.0500566416485799</v>
      </c>
      <c r="J32" s="2"/>
      <c r="L32" s="39">
        <f t="shared" si="14"/>
        <v>8.8799163890318056E-2</v>
      </c>
      <c r="M32" s="39">
        <f t="shared" si="7"/>
        <v>7.5093963457435273E-3</v>
      </c>
      <c r="N32" s="39">
        <f t="shared" si="8"/>
        <v>2.2528189037230573E-2</v>
      </c>
      <c r="O32" s="39">
        <f t="shared" si="9"/>
        <v>0.26639749167095411</v>
      </c>
      <c r="P32" s="39">
        <f t="shared" si="10"/>
        <v>6.758456711169171E-2</v>
      </c>
      <c r="R32" s="35">
        <f t="shared" si="11"/>
        <v>8.8799163890318056E-2</v>
      </c>
      <c r="S32" s="25">
        <f t="shared" si="12"/>
        <v>22.297507242811811</v>
      </c>
    </row>
    <row r="33" spans="1:19" x14ac:dyDescent="0.25">
      <c r="A33" s="17">
        <f t="shared" si="13"/>
        <v>0.2475</v>
      </c>
      <c r="B33" s="7">
        <f t="shared" si="0"/>
        <v>8.0441396489082009E-2</v>
      </c>
      <c r="C33" s="7">
        <f t="shared" si="1"/>
        <v>0.2413241894672461</v>
      </c>
      <c r="D33" s="7">
        <f t="shared" si="2"/>
        <v>5.2914938554279867E-2</v>
      </c>
      <c r="E33" s="7">
        <f t="shared" si="3"/>
        <v>0</v>
      </c>
      <c r="F33" s="7">
        <f t="shared" si="4"/>
        <v>0.21379773153244389</v>
      </c>
      <c r="H33" s="24">
        <f t="shared" si="5"/>
        <v>380.4558583106267</v>
      </c>
      <c r="I33" s="28">
        <f t="shared" si="6"/>
        <v>1.0638533540436323</v>
      </c>
      <c r="J33" s="2"/>
      <c r="L33" s="39">
        <f t="shared" si="14"/>
        <v>8.557784945886357E-2</v>
      </c>
      <c r="M33" s="39">
        <f t="shared" si="7"/>
        <v>6.8840017190034165E-3</v>
      </c>
      <c r="N33" s="39">
        <f t="shared" si="8"/>
        <v>2.0652005157010257E-2</v>
      </c>
      <c r="O33" s="39">
        <f t="shared" si="9"/>
        <v>0.25673354837659079</v>
      </c>
      <c r="P33" s="39">
        <f t="shared" si="10"/>
        <v>6.1956015471030787E-2</v>
      </c>
      <c r="R33" s="35">
        <f t="shared" si="11"/>
        <v>8.557784945886357E-2</v>
      </c>
      <c r="S33" s="25">
        <f t="shared" si="12"/>
        <v>28.921035240429923</v>
      </c>
    </row>
    <row r="34" spans="1:19" x14ac:dyDescent="0.25">
      <c r="A34" s="17">
        <f t="shared" si="13"/>
        <v>0.29699999999999999</v>
      </c>
      <c r="B34" s="7">
        <f t="shared" si="0"/>
        <v>7.620130782139474E-2</v>
      </c>
      <c r="C34" s="7">
        <f t="shared" si="1"/>
        <v>0.22860392346418423</v>
      </c>
      <c r="D34" s="7">
        <f t="shared" si="2"/>
        <v>6.4386311302857005E-2</v>
      </c>
      <c r="E34" s="7">
        <f t="shared" si="3"/>
        <v>0</v>
      </c>
      <c r="F34" s="7">
        <f t="shared" si="4"/>
        <v>0.2167889269456465</v>
      </c>
      <c r="H34" s="24">
        <f t="shared" si="5"/>
        <v>382.07758046614873</v>
      </c>
      <c r="I34" s="28">
        <f t="shared" si="6"/>
        <v>1.0782250976003358</v>
      </c>
      <c r="J34" s="2"/>
      <c r="L34" s="39">
        <f t="shared" si="14"/>
        <v>8.2162162562996577E-2</v>
      </c>
      <c r="M34" s="39">
        <f t="shared" si="7"/>
        <v>6.2608642407343774E-3</v>
      </c>
      <c r="N34" s="39">
        <f t="shared" si="8"/>
        <v>1.8782592722203131E-2</v>
      </c>
      <c r="O34" s="39">
        <f t="shared" si="9"/>
        <v>0.24648648768898973</v>
      </c>
      <c r="P34" s="39">
        <f t="shared" si="10"/>
        <v>5.6347778166609401E-2</v>
      </c>
      <c r="R34" s="35">
        <f t="shared" si="11"/>
        <v>8.2162162562996577E-2</v>
      </c>
      <c r="S34" s="25">
        <f t="shared" si="12"/>
        <v>36.148026139438549</v>
      </c>
    </row>
    <row r="35" spans="1:19" x14ac:dyDescent="0.25">
      <c r="A35" s="17">
        <f t="shared" si="13"/>
        <v>0.34649999999999997</v>
      </c>
      <c r="B35" s="7">
        <f t="shared" si="0"/>
        <v>7.1840891444635069E-2</v>
      </c>
      <c r="C35" s="7">
        <f t="shared" si="1"/>
        <v>0.21552267433390521</v>
      </c>
      <c r="D35" s="7">
        <f t="shared" si="2"/>
        <v>7.6183225357508946E-2</v>
      </c>
      <c r="E35" s="7">
        <f t="shared" si="3"/>
        <v>0</v>
      </c>
      <c r="F35" s="7">
        <f t="shared" si="4"/>
        <v>0.21986500824677907</v>
      </c>
      <c r="H35" s="24">
        <f t="shared" si="5"/>
        <v>383.75980780101753</v>
      </c>
      <c r="I35" s="28">
        <f t="shared" si="6"/>
        <v>1.093207209287625</v>
      </c>
      <c r="J35" s="2"/>
      <c r="L35" s="39">
        <f t="shared" si="14"/>
        <v>7.8536980448924723E-2</v>
      </c>
      <c r="M35" s="39">
        <f t="shared" si="7"/>
        <v>5.6421666868206278E-3</v>
      </c>
      <c r="N35" s="39">
        <f t="shared" si="8"/>
        <v>1.6926500060461883E-2</v>
      </c>
      <c r="O35" s="39">
        <f t="shared" si="9"/>
        <v>0.23561094134677416</v>
      </c>
      <c r="P35" s="39">
        <f t="shared" si="10"/>
        <v>5.0779500181385648E-2</v>
      </c>
      <c r="R35" s="35">
        <f t="shared" si="11"/>
        <v>7.8536980448924723E-2</v>
      </c>
      <c r="S35" s="25">
        <f t="shared" si="12"/>
        <v>44.119343272350626</v>
      </c>
    </row>
    <row r="36" spans="1:19" x14ac:dyDescent="0.25">
      <c r="A36" s="17">
        <f t="shared" si="13"/>
        <v>0.39599999999999996</v>
      </c>
      <c r="B36" s="7">
        <f t="shared" si="0"/>
        <v>6.7354951538943386E-2</v>
      </c>
      <c r="C36" s="7">
        <f t="shared" si="1"/>
        <v>0.2020648546168301</v>
      </c>
      <c r="D36" s="7">
        <f t="shared" si="2"/>
        <v>8.8319737779541621E-2</v>
      </c>
      <c r="E36" s="7">
        <f t="shared" si="3"/>
        <v>0</v>
      </c>
      <c r="F36" s="7">
        <f t="shared" si="4"/>
        <v>0.22302964085742838</v>
      </c>
      <c r="H36" s="24">
        <f t="shared" si="5"/>
        <v>385.50599078341014</v>
      </c>
      <c r="I36" s="28">
        <f t="shared" si="6"/>
        <v>1.1088378950598592</v>
      </c>
      <c r="J36" s="2"/>
      <c r="L36" s="39">
        <f t="shared" si="14"/>
        <v>7.4685722686300804E-2</v>
      </c>
      <c r="M36" s="39">
        <f t="shared" si="7"/>
        <v>5.0304532321867549E-3</v>
      </c>
      <c r="N36" s="39">
        <f t="shared" si="8"/>
        <v>1.5091359696560261E-2</v>
      </c>
      <c r="O36" s="39">
        <f t="shared" si="9"/>
        <v>0.22405716805890236</v>
      </c>
      <c r="P36" s="39">
        <f t="shared" si="10"/>
        <v>4.5274079089680772E-2</v>
      </c>
      <c r="R36" s="35">
        <f t="shared" si="11"/>
        <v>7.4685722686300804E-2</v>
      </c>
      <c r="S36" s="25">
        <f t="shared" si="12"/>
        <v>53.022182253400899</v>
      </c>
    </row>
    <row r="37" spans="1:19" x14ac:dyDescent="0.25">
      <c r="A37" s="17">
        <f t="shared" si="13"/>
        <v>0.44549999999999995</v>
      </c>
      <c r="B37" s="7">
        <f t="shared" si="0"/>
        <v>6.2737988771170414E-2</v>
      </c>
      <c r="C37" s="7">
        <f t="shared" si="1"/>
        <v>0.18821396631351123</v>
      </c>
      <c r="D37" s="7">
        <f t="shared" si="2"/>
        <v>0.10081072677207001</v>
      </c>
      <c r="E37" s="7">
        <f t="shared" si="3"/>
        <v>0</v>
      </c>
      <c r="F37" s="7">
        <f t="shared" si="4"/>
        <v>0.22628670431441084</v>
      </c>
      <c r="H37" s="24">
        <f t="shared" si="5"/>
        <v>387.31984732824429</v>
      </c>
      <c r="I37" s="28">
        <f t="shared" si="6"/>
        <v>1.1251585199260645</v>
      </c>
      <c r="J37" s="2"/>
      <c r="L37" s="39">
        <f t="shared" si="14"/>
        <v>7.059018258890816E-2</v>
      </c>
      <c r="M37" s="39">
        <f t="shared" si="7"/>
        <v>4.4286860826177896E-3</v>
      </c>
      <c r="N37" s="39">
        <f t="shared" si="8"/>
        <v>1.3286058247853368E-2</v>
      </c>
      <c r="O37" s="39">
        <f t="shared" si="9"/>
        <v>0.21177054776672447</v>
      </c>
      <c r="P37" s="39">
        <f t="shared" si="10"/>
        <v>3.9858174743560099E-2</v>
      </c>
      <c r="R37" s="35">
        <f t="shared" si="11"/>
        <v>7.059018258890816E-2</v>
      </c>
      <c r="S37" s="25">
        <f t="shared" si="12"/>
        <v>63.110758983927234</v>
      </c>
    </row>
    <row r="38" spans="1:19" x14ac:dyDescent="0.25">
      <c r="A38" s="17">
        <f t="shared" si="13"/>
        <v>0.49499999999999994</v>
      </c>
      <c r="B38" s="7">
        <f t="shared" si="0"/>
        <v>5.7984177804308805E-2</v>
      </c>
      <c r="C38" s="7">
        <f t="shared" si="1"/>
        <v>0.17395253341292641</v>
      </c>
      <c r="D38" s="7">
        <f t="shared" si="2"/>
        <v>0.11367195252725883</v>
      </c>
      <c r="E38" s="7">
        <f t="shared" si="3"/>
        <v>0</v>
      </c>
      <c r="F38" s="7">
        <f t="shared" si="4"/>
        <v>0.22964030813587641</v>
      </c>
      <c r="H38" s="24">
        <f t="shared" si="5"/>
        <v>389.20538922155691</v>
      </c>
      <c r="I38" s="28">
        <f t="shared" si="6"/>
        <v>1.1422139332149885</v>
      </c>
      <c r="J38" s="2"/>
      <c r="L38" s="39">
        <f t="shared" si="14"/>
        <v>6.6230335794096803E-2</v>
      </c>
      <c r="M38" s="39">
        <f t="shared" si="7"/>
        <v>3.8403115667239866E-3</v>
      </c>
      <c r="N38" s="39">
        <f t="shared" si="8"/>
        <v>1.152093470017196E-2</v>
      </c>
      <c r="O38" s="39">
        <f t="shared" si="9"/>
        <v>0.1986910073822904</v>
      </c>
      <c r="P38" s="39">
        <f t="shared" si="10"/>
        <v>3.4562804100515876E-2</v>
      </c>
      <c r="R38" s="35">
        <f t="shared" si="11"/>
        <v>6.6230335794096803E-2</v>
      </c>
      <c r="S38" s="25">
        <f t="shared" si="12"/>
        <v>74.739165076695855</v>
      </c>
    </row>
    <row r="39" spans="1:19" x14ac:dyDescent="0.25">
      <c r="A39" s="17">
        <f t="shared" si="13"/>
        <v>0.54449999999999998</v>
      </c>
      <c r="B39" s="7">
        <f t="shared" si="0"/>
        <v>5.308734277695782E-2</v>
      </c>
      <c r="C39" s="7">
        <f t="shared" si="1"/>
        <v>0.15926202833087344</v>
      </c>
      <c r="D39" s="7">
        <f t="shared" si="2"/>
        <v>0.12692012356554788</v>
      </c>
      <c r="E39" s="7">
        <f t="shared" si="3"/>
        <v>0</v>
      </c>
      <c r="F39" s="7">
        <f t="shared" si="4"/>
        <v>0.23309480911946351</v>
      </c>
      <c r="H39" s="24">
        <f t="shared" si="5"/>
        <v>391.16695174098959</v>
      </c>
      <c r="I39" s="28">
        <f t="shared" si="6"/>
        <v>1.1600528340330243</v>
      </c>
      <c r="J39" s="2"/>
      <c r="L39" s="39">
        <f t="shared" si="14"/>
        <v>6.1584122439692524E-2</v>
      </c>
      <c r="M39" s="39">
        <f t="shared" si="7"/>
        <v>3.269337417574097E-3</v>
      </c>
      <c r="N39" s="39">
        <f t="shared" si="8"/>
        <v>9.8080122527222889E-3</v>
      </c>
      <c r="O39" s="39">
        <f t="shared" si="9"/>
        <v>0.18475236731907754</v>
      </c>
      <c r="P39" s="39">
        <f t="shared" si="10"/>
        <v>2.9424036758166863E-2</v>
      </c>
      <c r="R39" s="35">
        <f t="shared" si="11"/>
        <v>6.1584122439692524E-2</v>
      </c>
      <c r="S39" s="25">
        <f t="shared" si="12"/>
        <v>88.415646505836378</v>
      </c>
    </row>
    <row r="40" spans="1:19" x14ac:dyDescent="0.25">
      <c r="A40" s="17">
        <f t="shared" si="13"/>
        <v>0.59399999999999997</v>
      </c>
      <c r="B40" s="7">
        <f t="shared" si="0"/>
        <v>4.80409305357982E-2</v>
      </c>
      <c r="C40" s="7">
        <f t="shared" si="1"/>
        <v>0.14412279160739461</v>
      </c>
      <c r="D40" s="7">
        <f t="shared" si="2"/>
        <v>0.14057296915401049</v>
      </c>
      <c r="E40" s="7">
        <f t="shared" si="3"/>
        <v>0</v>
      </c>
      <c r="F40" s="7">
        <f t="shared" si="4"/>
        <v>0.2366548302256069</v>
      </c>
      <c r="H40" s="24">
        <f t="shared" si="5"/>
        <v>393.20922693266834</v>
      </c>
      <c r="I40" s="28">
        <f t="shared" si="6"/>
        <v>1.1787281827270959</v>
      </c>
      <c r="J40" s="2"/>
      <c r="L40" s="39">
        <f t="shared" si="14"/>
        <v>5.6627198746980065E-2</v>
      </c>
      <c r="M40" s="39">
        <f t="shared" si="7"/>
        <v>2.7204233214405084E-3</v>
      </c>
      <c r="N40" s="39">
        <f t="shared" si="8"/>
        <v>8.1612699643215242E-3</v>
      </c>
      <c r="O40" s="39">
        <f t="shared" si="9"/>
        <v>0.16988159624094018</v>
      </c>
      <c r="P40" s="39">
        <f t="shared" si="10"/>
        <v>2.4483809892964573E-2</v>
      </c>
      <c r="R40" s="35">
        <f t="shared" si="11"/>
        <v>5.6627198746980065E-2</v>
      </c>
      <c r="S40" s="25">
        <f t="shared" si="12"/>
        <v>104.89658912037885</v>
      </c>
    </row>
    <row r="41" spans="1:19" x14ac:dyDescent="0.25">
      <c r="A41" s="17">
        <f t="shared" si="13"/>
        <v>0.64349999999999996</v>
      </c>
      <c r="B41" s="7">
        <f t="shared" si="0"/>
        <v>4.2837981377125363E-2</v>
      </c>
      <c r="C41" s="7">
        <f t="shared" si="1"/>
        <v>0.12851394413137612</v>
      </c>
      <c r="D41" s="7">
        <f t="shared" si="2"/>
        <v>0.15464931846384389</v>
      </c>
      <c r="E41" s="7">
        <f t="shared" si="3"/>
        <v>0</v>
      </c>
      <c r="F41" s="7">
        <f t="shared" si="4"/>
        <v>0.24032528121809463</v>
      </c>
      <c r="H41" s="24">
        <f t="shared" si="5"/>
        <v>395.3373010821133</v>
      </c>
      <c r="I41" s="28">
        <f t="shared" si="6"/>
        <v>1.1982976651302766</v>
      </c>
      <c r="J41" s="2"/>
      <c r="L41" s="39">
        <f t="shared" si="14"/>
        <v>5.1332653063103591E-2</v>
      </c>
      <c r="M41" s="39">
        <f t="shared" si="7"/>
        <v>2.198987235955669E-3</v>
      </c>
      <c r="N41" s="39">
        <f t="shared" si="8"/>
        <v>6.5969617078670082E-3</v>
      </c>
      <c r="O41" s="39">
        <f t="shared" si="9"/>
        <v>0.15399795918931081</v>
      </c>
      <c r="P41" s="39">
        <f t="shared" si="10"/>
        <v>1.979088512360103E-2</v>
      </c>
      <c r="R41" s="35">
        <f t="shared" si="11"/>
        <v>5.1332653063103591E-2</v>
      </c>
      <c r="S41" s="25">
        <f t="shared" si="12"/>
        <v>125.35880411420405</v>
      </c>
    </row>
    <row r="42" spans="1:19" x14ac:dyDescent="0.25">
      <c r="A42" s="17">
        <f t="shared" si="13"/>
        <v>0.69299999999999995</v>
      </c>
      <c r="B42" s="7">
        <f t="shared" si="0"/>
        <v>3.7471097022743934E-2</v>
      </c>
      <c r="C42" s="7">
        <f t="shared" si="1"/>
        <v>0.11241329106823182</v>
      </c>
      <c r="D42" s="7">
        <f t="shared" si="2"/>
        <v>0.16916918721017288</v>
      </c>
      <c r="E42" s="7">
        <f t="shared" si="3"/>
        <v>0</v>
      </c>
      <c r="F42" s="7">
        <f t="shared" si="4"/>
        <v>0.24411138125566076</v>
      </c>
      <c r="H42" s="24">
        <f t="shared" si="5"/>
        <v>397.55669700910278</v>
      </c>
      <c r="I42" s="28">
        <f t="shared" si="6"/>
        <v>1.2188242175154107</v>
      </c>
      <c r="J42" s="2"/>
      <c r="L42" s="39">
        <f t="shared" si="14"/>
        <v>4.5670680508189912E-2</v>
      </c>
      <c r="M42" s="39">
        <f t="shared" si="7"/>
        <v>1.7113305004171245E-3</v>
      </c>
      <c r="N42" s="39">
        <f t="shared" si="8"/>
        <v>5.1339915012513738E-3</v>
      </c>
      <c r="O42" s="39">
        <f t="shared" si="9"/>
        <v>0.13701204152456975</v>
      </c>
      <c r="P42" s="39">
        <f t="shared" si="10"/>
        <v>1.5401974503754124E-2</v>
      </c>
      <c r="R42" s="35">
        <f t="shared" si="11"/>
        <v>4.5670680508189912E-2</v>
      </c>
      <c r="S42" s="25">
        <f t="shared" si="12"/>
        <v>151.73848786328628</v>
      </c>
    </row>
    <row r="43" spans="1:19" x14ac:dyDescent="0.25">
      <c r="A43" s="17">
        <f t="shared" si="13"/>
        <v>0.74249999999999994</v>
      </c>
      <c r="B43" s="7">
        <f t="shared" si="0"/>
        <v>3.1932405520351544E-2</v>
      </c>
      <c r="C43" s="7">
        <f t="shared" si="1"/>
        <v>9.579721656105461E-2</v>
      </c>
      <c r="D43" s="7">
        <f t="shared" si="2"/>
        <v>0.18415387261251273</v>
      </c>
      <c r="E43" s="7">
        <f t="shared" si="3"/>
        <v>0</v>
      </c>
      <c r="F43" s="7">
        <f t="shared" si="4"/>
        <v>0.24801868365321583</v>
      </c>
      <c r="H43" s="24">
        <f t="shared" si="5"/>
        <v>399.87342192691028</v>
      </c>
      <c r="I43" s="28">
        <f t="shared" si="6"/>
        <v>1.2403766215496015</v>
      </c>
      <c r="J43" s="2"/>
      <c r="L43" s="39">
        <f t="shared" si="14"/>
        <v>3.9608209277285492E-2</v>
      </c>
      <c r="M43" s="39">
        <f t="shared" si="7"/>
        <v>1.2647854005772305E-3</v>
      </c>
      <c r="N43" s="39">
        <f t="shared" si="8"/>
        <v>3.7943562017316904E-3</v>
      </c>
      <c r="O43" s="39">
        <f t="shared" si="9"/>
        <v>0.11882462783185645</v>
      </c>
      <c r="P43" s="39">
        <f t="shared" si="10"/>
        <v>1.1383068605195069E-2</v>
      </c>
      <c r="R43" s="35">
        <f t="shared" si="11"/>
        <v>3.9608209277285492E-2</v>
      </c>
      <c r="S43" s="25">
        <f t="shared" si="12"/>
        <v>187.46113837209214</v>
      </c>
    </row>
    <row r="44" spans="1:19" x14ac:dyDescent="0.25">
      <c r="A44" s="17">
        <f t="shared" si="13"/>
        <v>0.79199999999999993</v>
      </c>
      <c r="B44" s="7">
        <f t="shared" si="0"/>
        <v>2.6213522718215247E-2</v>
      </c>
      <c r="C44" s="7">
        <f t="shared" si="1"/>
        <v>7.8640568154645721E-2</v>
      </c>
      <c r="D44" s="7">
        <f t="shared" si="2"/>
        <v>0.19962605762333141</v>
      </c>
      <c r="E44" s="7">
        <f t="shared" si="3"/>
        <v>0</v>
      </c>
      <c r="F44" s="7">
        <f t="shared" si="4"/>
        <v>0.25205310305976192</v>
      </c>
      <c r="H44" s="24">
        <f t="shared" si="5"/>
        <v>402.29402173913041</v>
      </c>
      <c r="I44" s="28">
        <f t="shared" si="6"/>
        <v>1.263030180177644</v>
      </c>
      <c r="J44" s="2"/>
      <c r="L44" s="39">
        <f t="shared" si="14"/>
        <v>3.3108470321878171E-2</v>
      </c>
      <c r="M44" s="39">
        <f t="shared" si="7"/>
        <v>8.6788963894790874E-4</v>
      </c>
      <c r="N44" s="39">
        <f t="shared" si="8"/>
        <v>2.6036689168437255E-3</v>
      </c>
      <c r="O44" s="39">
        <f t="shared" si="9"/>
        <v>9.9325410965634478E-2</v>
      </c>
      <c r="P44" s="39">
        <f t="shared" si="10"/>
        <v>7.8110067505311733E-3</v>
      </c>
      <c r="R44" s="35">
        <f t="shared" si="11"/>
        <v>3.3108470321878171E-2</v>
      </c>
      <c r="S44" s="25">
        <f t="shared" si="12"/>
        <v>239.21370945266656</v>
      </c>
    </row>
    <row r="45" spans="1:19" x14ac:dyDescent="0.25">
      <c r="A45" s="17">
        <f t="shared" si="13"/>
        <v>0.84149999999999991</v>
      </c>
      <c r="B45" s="7">
        <f t="shared" si="0"/>
        <v>2.0305509917618265E-2</v>
      </c>
      <c r="C45" s="7">
        <f t="shared" si="1"/>
        <v>6.0916529752854796E-2</v>
      </c>
      <c r="D45" s="7">
        <f t="shared" si="2"/>
        <v>0.21560992549748592</v>
      </c>
      <c r="E45" s="7">
        <f t="shared" si="3"/>
        <v>0</v>
      </c>
      <c r="F45" s="7">
        <f t="shared" si="4"/>
        <v>0.25622094533272244</v>
      </c>
      <c r="H45" s="24">
        <f t="shared" si="5"/>
        <v>404.82564280750523</v>
      </c>
      <c r="I45" s="28">
        <f t="shared" si="6"/>
        <v>1.2868674873238022</v>
      </c>
      <c r="J45" s="2"/>
      <c r="L45" s="39">
        <f t="shared" si="14"/>
        <v>2.6130500526513962E-2</v>
      </c>
      <c r="M45" s="39">
        <f t="shared" si="7"/>
        <v>5.3059313759345854E-4</v>
      </c>
      <c r="N45" s="39">
        <f t="shared" si="8"/>
        <v>1.5917794127803756E-3</v>
      </c>
      <c r="O45" s="39">
        <f t="shared" si="9"/>
        <v>7.8391501579541889E-2</v>
      </c>
      <c r="P45" s="39">
        <f t="shared" si="10"/>
        <v>4.7753382383411268E-3</v>
      </c>
      <c r="R45" s="35">
        <f t="shared" si="11"/>
        <v>2.6130500526513962E-2</v>
      </c>
      <c r="S45" s="25">
        <f t="shared" si="12"/>
        <v>322.03745930781196</v>
      </c>
    </row>
    <row r="46" spans="1:19" x14ac:dyDescent="0.25">
      <c r="A46" s="17">
        <f t="shared" si="13"/>
        <v>0.8909999999999999</v>
      </c>
      <c r="B46" s="7">
        <f t="shared" si="0"/>
        <v>1.4198827253219267E-2</v>
      </c>
      <c r="C46" s="7">
        <f t="shared" si="1"/>
        <v>4.2596481759657821E-2</v>
      </c>
      <c r="D46" s="7">
        <f t="shared" si="2"/>
        <v>0.23213128591960286</v>
      </c>
      <c r="E46" s="7">
        <f t="shared" si="3"/>
        <v>0</v>
      </c>
      <c r="F46" s="7">
        <f t="shared" si="4"/>
        <v>0.26052894042604136</v>
      </c>
      <c r="H46" s="24">
        <f t="shared" si="5"/>
        <v>407.47610241820774</v>
      </c>
      <c r="I46" s="28">
        <f t="shared" si="6"/>
        <v>1.3119793066619185</v>
      </c>
      <c r="J46" s="2"/>
      <c r="L46" s="39">
        <f t="shared" si="14"/>
        <v>1.8628567535090967E-2</v>
      </c>
      <c r="M46" s="39">
        <f t="shared" si="7"/>
        <v>2.6450381240568528E-4</v>
      </c>
      <c r="N46" s="39">
        <f t="shared" si="8"/>
        <v>7.9351143721705618E-4</v>
      </c>
      <c r="O46" s="39">
        <f t="shared" si="9"/>
        <v>5.5885702605272924E-2</v>
      </c>
      <c r="P46" s="39">
        <f t="shared" si="10"/>
        <v>2.3805343116511698E-3</v>
      </c>
      <c r="R46" s="35">
        <f t="shared" si="11"/>
        <v>1.8628567535090967E-2</v>
      </c>
      <c r="S46" s="25">
        <f t="shared" si="12"/>
        <v>478.29764597927732</v>
      </c>
    </row>
    <row r="47" spans="1:19" x14ac:dyDescent="0.25">
      <c r="A47" s="17">
        <f t="shared" si="13"/>
        <v>0.94049999999999989</v>
      </c>
      <c r="B47" s="7">
        <f t="shared" si="0"/>
        <v>7.8832822899215036E-3</v>
      </c>
      <c r="C47" s="7">
        <f t="shared" si="1"/>
        <v>2.3649846869764537E-2</v>
      </c>
      <c r="D47" s="7">
        <f t="shared" si="2"/>
        <v>0.24921771407298013</v>
      </c>
      <c r="E47" s="7">
        <f t="shared" si="3"/>
        <v>0</v>
      </c>
      <c r="F47" s="7">
        <f t="shared" si="4"/>
        <v>0.26498427865282315</v>
      </c>
      <c r="H47" s="24">
        <f t="shared" si="5"/>
        <v>410.25396941005101</v>
      </c>
      <c r="I47" s="28">
        <f t="shared" si="6"/>
        <v>1.3384655775547016</v>
      </c>
      <c r="J47" s="2"/>
      <c r="L47" s="39">
        <f t="shared" si="14"/>
        <v>1.0551501983206537E-2</v>
      </c>
      <c r="M47" s="39">
        <f t="shared" si="7"/>
        <v>8.3180468716283708E-5</v>
      </c>
      <c r="N47" s="39">
        <f t="shared" si="8"/>
        <v>2.4954140614885141E-4</v>
      </c>
      <c r="O47" s="39">
        <f t="shared" si="9"/>
        <v>3.1654505949619646E-2</v>
      </c>
      <c r="P47" s="39">
        <f t="shared" si="10"/>
        <v>7.4862421844655515E-4</v>
      </c>
      <c r="R47" s="35">
        <f t="shared" si="11"/>
        <v>1.0551501983206537E-2</v>
      </c>
      <c r="S47" s="25">
        <f t="shared" si="12"/>
        <v>891.34229562471046</v>
      </c>
    </row>
    <row r="48" spans="1:19" x14ac:dyDescent="0.25">
      <c r="A48" s="17">
        <f t="shared" si="13"/>
        <v>0.98999999999999988</v>
      </c>
      <c r="B48" s="7">
        <f t="shared" si="0"/>
        <v>1.347973253667522E-3</v>
      </c>
      <c r="C48" s="7">
        <f t="shared" si="1"/>
        <v>4.0439197610025509E-3</v>
      </c>
      <c r="D48" s="7">
        <f t="shared" si="2"/>
        <v>0.26689870422616613</v>
      </c>
      <c r="E48" s="7">
        <f t="shared" si="3"/>
        <v>0</v>
      </c>
      <c r="F48" s="7">
        <f t="shared" si="4"/>
        <v>0.2695946507335012</v>
      </c>
      <c r="H48" s="24">
        <f t="shared" si="5"/>
        <v>413.1686567164179</v>
      </c>
      <c r="I48" s="28">
        <f t="shared" si="6"/>
        <v>1.3664365697185619</v>
      </c>
      <c r="J48" s="2"/>
      <c r="L48" s="39">
        <f t="shared" si="14"/>
        <v>1.8419199488138177E-3</v>
      </c>
      <c r="M48" s="39">
        <f t="shared" si="7"/>
        <v>2.4828588263976776E-6</v>
      </c>
      <c r="N48" s="39">
        <f t="shared" si="8"/>
        <v>7.4485764791930041E-6</v>
      </c>
      <c r="O48" s="39">
        <f t="shared" si="9"/>
        <v>5.5257598464414324E-3</v>
      </c>
      <c r="P48" s="39">
        <f t="shared" si="10"/>
        <v>2.2345729437578929E-5</v>
      </c>
      <c r="R48" s="35">
        <f t="shared" si="11"/>
        <v>1.8419199488138177E-3</v>
      </c>
      <c r="S48" s="25">
        <f t="shared" si="12"/>
        <v>5374.8264176060002</v>
      </c>
    </row>
    <row r="50" spans="1:3" x14ac:dyDescent="0.25">
      <c r="A50" s="38">
        <v>1</v>
      </c>
      <c r="B50" s="26" t="s">
        <v>55</v>
      </c>
      <c r="C50" s="38">
        <f>IF($S$2=A50,1,0)</f>
        <v>1</v>
      </c>
    </row>
    <row r="51" spans="1:3" x14ac:dyDescent="0.25">
      <c r="A51" s="38">
        <v>2</v>
      </c>
      <c r="B51" s="26" t="s">
        <v>56</v>
      </c>
      <c r="C51" s="38">
        <f>IF($S$2=A51,1,0)</f>
        <v>0</v>
      </c>
    </row>
    <row r="52" spans="1:3" x14ac:dyDescent="0.25">
      <c r="A52" s="38">
        <v>3</v>
      </c>
      <c r="B52" s="26" t="s">
        <v>57</v>
      </c>
      <c r="C52" s="38">
        <f>IF($S$2=A52,1,0)</f>
        <v>0</v>
      </c>
    </row>
    <row r="53" spans="1:3" x14ac:dyDescent="0.25">
      <c r="A53" s="38">
        <v>4</v>
      </c>
      <c r="B53" s="26" t="s">
        <v>58</v>
      </c>
      <c r="C53" s="38">
        <f>IF($S$2=A53,1,0)</f>
        <v>0</v>
      </c>
    </row>
    <row r="54" spans="1:3" x14ac:dyDescent="0.25">
      <c r="A54" s="38">
        <v>5</v>
      </c>
      <c r="B54" s="26" t="s">
        <v>59</v>
      </c>
      <c r="C54" s="38">
        <f>IF($S$2=A54,1,0)</f>
        <v>0</v>
      </c>
    </row>
  </sheetData>
  <sheetProtection algorithmName="SHA-512" hashValue="jBliIvW74mjxfwM9x9QQPnnR7XLiGCH+BA/3Us3DAO/U870cmK/cRZ0Wmy7IcDMqOVLK92v6AhCXzGepR22B/w==" saltValue="IMr0SNS1EQ3m9BA5ysms9w==" spinCount="100000" sheet="1" objects="1" scenarios="1"/>
  <mergeCells count="1">
    <mergeCell ref="B2:C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3" name="Drop Down 4">
              <controlPr locked="0" defaultSize="0" autoLine="0" autoPict="0">
                <anchor moveWithCells="1">
                  <from>
                    <xdr:col>17</xdr:col>
                    <xdr:colOff>609600</xdr:colOff>
                    <xdr:row>0</xdr:row>
                    <xdr:rowOff>190500</xdr:rowOff>
                  </from>
                  <to>
                    <xdr:col>19</xdr:col>
                    <xdr:colOff>581025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showGridLines="0" zoomScaleNormal="100" workbookViewId="0">
      <selection activeCell="K4" sqref="K4"/>
    </sheetView>
  </sheetViews>
  <sheetFormatPr defaultRowHeight="15" x14ac:dyDescent="0.25"/>
  <sheetData>
    <row r="1" spans="1:2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thickBot="1" x14ac:dyDescent="0.3">
      <c r="A2" s="2"/>
      <c r="B2" s="42" t="s">
        <v>0</v>
      </c>
      <c r="C2" s="43"/>
      <c r="D2" s="2"/>
      <c r="E2" s="3" t="s">
        <v>7</v>
      </c>
      <c r="F2" s="30">
        <v>100</v>
      </c>
      <c r="G2" s="2" t="s">
        <v>8</v>
      </c>
      <c r="H2" s="3" t="s">
        <v>28</v>
      </c>
      <c r="I2" s="30">
        <f>Batch!I2</f>
        <v>10000</v>
      </c>
      <c r="J2" s="2" t="s">
        <v>35</v>
      </c>
      <c r="K2" s="2"/>
      <c r="L2" s="3" t="s">
        <v>36</v>
      </c>
      <c r="M2" s="32">
        <f>Batch!M2</f>
        <v>298.14999999999998</v>
      </c>
      <c r="N2" s="2" t="s">
        <v>31</v>
      </c>
      <c r="O2" s="3" t="s">
        <v>32</v>
      </c>
      <c r="P2" s="31">
        <f>Batch!P2</f>
        <v>-50000</v>
      </c>
      <c r="Q2" s="2" t="s">
        <v>35</v>
      </c>
      <c r="R2" s="64" t="s">
        <v>53</v>
      </c>
      <c r="S2" s="63">
        <v>1</v>
      </c>
      <c r="T2" s="2"/>
    </row>
    <row r="3" spans="1:20" x14ac:dyDescent="0.25">
      <c r="A3" s="2"/>
      <c r="B3" s="2"/>
      <c r="C3" s="2"/>
      <c r="D3" s="2"/>
      <c r="E3" s="1" t="s">
        <v>62</v>
      </c>
      <c r="F3" s="36">
        <f>F2*(1+C5*X..)*(M4/M3)</f>
        <v>74.185448211175128</v>
      </c>
      <c r="G3" s="2" t="s">
        <v>8</v>
      </c>
      <c r="H3" s="3" t="s">
        <v>27</v>
      </c>
      <c r="I3" s="33">
        <f>Batch!I3</f>
        <v>1</v>
      </c>
      <c r="J3" s="2" t="s">
        <v>41</v>
      </c>
      <c r="K3" s="2"/>
      <c r="L3" s="3" t="s">
        <v>29</v>
      </c>
      <c r="M3" s="32">
        <f>Batch!M3</f>
        <v>373.15</v>
      </c>
      <c r="N3" s="2" t="s">
        <v>31</v>
      </c>
      <c r="O3" s="1" t="s">
        <v>34</v>
      </c>
      <c r="P3" s="1">
        <f>(B11/B8)*J11+(B10/B8)*J10-(B9/B8)*J9-J8</f>
        <v>-8000</v>
      </c>
      <c r="Q3" s="2" t="s">
        <v>37</v>
      </c>
      <c r="R3" s="2"/>
      <c r="S3" s="2"/>
      <c r="T3" s="2"/>
    </row>
    <row r="4" spans="1:20" x14ac:dyDescent="0.25">
      <c r="A4" s="2"/>
      <c r="B4" s="1" t="s">
        <v>3</v>
      </c>
      <c r="C4" s="1">
        <f>(B11+B10-B9-B8)/B8</f>
        <v>-2</v>
      </c>
      <c r="D4" s="2"/>
      <c r="E4" s="2"/>
      <c r="F4" s="2"/>
      <c r="G4" s="2"/>
      <c r="H4" s="4" t="s">
        <v>54</v>
      </c>
      <c r="I4" s="29">
        <f>I3*EXP((I2/8.314)*(1/M3-1/M4))</f>
        <v>1.3664365697185619</v>
      </c>
      <c r="J4" s="2" t="s">
        <v>41</v>
      </c>
      <c r="K4" s="2"/>
      <c r="L4" s="4" t="s">
        <v>61</v>
      </c>
      <c r="M4" s="22">
        <f>(X..*(-P2+P3*M2)+M3*(F8*J8+F9*J9+F10*J10+F11*J11+F12*J12))/((F8*J8+F9*J9+F10*J10+F11*J11+F12*J12)+X..*P3)</f>
        <v>413.1686567164179</v>
      </c>
      <c r="N4" s="2" t="s">
        <v>31</v>
      </c>
      <c r="O4" s="2"/>
      <c r="P4" s="2"/>
      <c r="Q4" s="2"/>
      <c r="R4" s="2"/>
      <c r="S4" s="2"/>
      <c r="T4" s="2"/>
    </row>
    <row r="5" spans="1:20" x14ac:dyDescent="0.25">
      <c r="A5" s="2"/>
      <c r="B5" s="1" t="s">
        <v>9</v>
      </c>
      <c r="C5" s="37">
        <f>C4*E8</f>
        <v>-0.33333333333333331</v>
      </c>
      <c r="D5" s="2"/>
      <c r="E5" s="3" t="s">
        <v>2</v>
      </c>
      <c r="F5" s="40">
        <f>X</f>
        <v>0.99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1" t="s">
        <v>21</v>
      </c>
      <c r="B7" s="3" t="s">
        <v>1</v>
      </c>
      <c r="C7" s="3" t="s">
        <v>6</v>
      </c>
      <c r="D7" s="26" t="s">
        <v>14</v>
      </c>
      <c r="E7" s="26" t="s">
        <v>10</v>
      </c>
      <c r="F7" s="26" t="s">
        <v>12</v>
      </c>
      <c r="G7" s="26" t="s">
        <v>11</v>
      </c>
      <c r="H7" s="26" t="s">
        <v>15</v>
      </c>
      <c r="I7" s="26" t="s">
        <v>17</v>
      </c>
      <c r="J7" s="3" t="s">
        <v>33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6" t="s">
        <v>45</v>
      </c>
      <c r="B8" s="30">
        <v>1</v>
      </c>
      <c r="C8" s="30">
        <v>10</v>
      </c>
      <c r="D8" s="7">
        <f>C8/F$2</f>
        <v>0.1</v>
      </c>
      <c r="E8" s="7">
        <f>C8/C$13</f>
        <v>0.16666666666666666</v>
      </c>
      <c r="F8" s="8">
        <f t="shared" ref="F8:F11" si="0">E8/E$8</f>
        <v>1</v>
      </c>
      <c r="G8" s="5">
        <f>C$8*(1-X..)</f>
        <v>0.10000000000000009</v>
      </c>
      <c r="H8" s="7">
        <f>G8/F$3</f>
        <v>1.3479732536675073E-3</v>
      </c>
      <c r="I8" s="7">
        <f>G8/G$13</f>
        <v>2.4875621890547285E-3</v>
      </c>
      <c r="J8" s="31">
        <f>Batch!J8</f>
        <v>4000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9" t="s">
        <v>46</v>
      </c>
      <c r="B9" s="30">
        <v>3</v>
      </c>
      <c r="C9" s="30">
        <v>30</v>
      </c>
      <c r="D9" s="7">
        <f t="shared" ref="D9:D12" si="1">C9/F$2</f>
        <v>0.3</v>
      </c>
      <c r="E9" s="7">
        <f t="shared" ref="E9:E12" si="2">C9/C$13</f>
        <v>0.5</v>
      </c>
      <c r="F9" s="8">
        <f t="shared" si="0"/>
        <v>3</v>
      </c>
      <c r="G9" s="5">
        <f>C$8*(F9-(B9/B$8)*X..)</f>
        <v>0.30000000000000249</v>
      </c>
      <c r="H9" s="7">
        <f t="shared" ref="H9:H12" si="3">G9/F$3</f>
        <v>4.0439197610025518E-3</v>
      </c>
      <c r="I9" s="7">
        <f t="shared" ref="I9:I12" si="4">G9/G$13</f>
        <v>7.4626865671642405E-3</v>
      </c>
      <c r="J9" s="31">
        <f>Batch!J9</f>
        <v>4000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10" t="s">
        <v>47</v>
      </c>
      <c r="B10" s="30">
        <v>2</v>
      </c>
      <c r="C10" s="30">
        <v>0</v>
      </c>
      <c r="D10" s="7">
        <f t="shared" si="1"/>
        <v>0</v>
      </c>
      <c r="E10" s="7">
        <f t="shared" si="2"/>
        <v>0</v>
      </c>
      <c r="F10" s="8">
        <f t="shared" si="0"/>
        <v>0</v>
      </c>
      <c r="G10" s="5">
        <f>C$8*(F10+(B10/B$8)*X..)</f>
        <v>19.8</v>
      </c>
      <c r="H10" s="7">
        <f t="shared" si="3"/>
        <v>0.26689870422616618</v>
      </c>
      <c r="I10" s="7">
        <f t="shared" si="4"/>
        <v>0.4925373134328358</v>
      </c>
      <c r="J10" s="31">
        <f>Batch!J10</f>
        <v>4000</v>
      </c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11" t="s">
        <v>48</v>
      </c>
      <c r="B11" s="30">
        <v>0</v>
      </c>
      <c r="C11" s="30">
        <v>0</v>
      </c>
      <c r="D11" s="7">
        <f t="shared" si="1"/>
        <v>0</v>
      </c>
      <c r="E11" s="7">
        <f t="shared" si="2"/>
        <v>0</v>
      </c>
      <c r="F11" s="8">
        <f t="shared" si="0"/>
        <v>0</v>
      </c>
      <c r="G11" s="5">
        <f>C$8*(F11+(B11/B$8)*X..)</f>
        <v>0</v>
      </c>
      <c r="H11" s="7">
        <f t="shared" si="3"/>
        <v>0</v>
      </c>
      <c r="I11" s="7">
        <f t="shared" si="4"/>
        <v>0</v>
      </c>
      <c r="J11" s="31">
        <f>Batch!J11</f>
        <v>4000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2" t="s">
        <v>4</v>
      </c>
      <c r="B12" s="13" t="s">
        <v>5</v>
      </c>
      <c r="C12" s="30">
        <v>20</v>
      </c>
      <c r="D12" s="7">
        <f t="shared" si="1"/>
        <v>0.2</v>
      </c>
      <c r="E12" s="7">
        <f t="shared" si="2"/>
        <v>0.33333333333333331</v>
      </c>
      <c r="F12" s="8">
        <f>E12/E$8</f>
        <v>2</v>
      </c>
      <c r="G12" s="5">
        <f>C12</f>
        <v>20</v>
      </c>
      <c r="H12" s="7">
        <f t="shared" si="3"/>
        <v>0.2695946507335012</v>
      </c>
      <c r="I12" s="7">
        <f t="shared" si="4"/>
        <v>0.49751243781094523</v>
      </c>
      <c r="J12" s="31">
        <f>Batch!J12</f>
        <v>4000</v>
      </c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1" t="s">
        <v>16</v>
      </c>
      <c r="B13" s="13" t="s">
        <v>5</v>
      </c>
      <c r="C13" s="14">
        <f>SUM(C8:C12)</f>
        <v>60</v>
      </c>
      <c r="D13" s="15">
        <f>SUM(D8:D12)</f>
        <v>0.60000000000000009</v>
      </c>
      <c r="E13" s="15">
        <f>SUM(E8:E12)</f>
        <v>1</v>
      </c>
      <c r="F13" s="14" t="s">
        <v>5</v>
      </c>
      <c r="G13" s="14">
        <f>SUM(G8:G12)</f>
        <v>40.200000000000003</v>
      </c>
      <c r="H13" s="15">
        <f>SUM(H8:H12)</f>
        <v>0.54188524797433746</v>
      </c>
      <c r="I13" s="15">
        <f>SUM(I8:I12)</f>
        <v>1</v>
      </c>
      <c r="J13" s="14" t="s">
        <v>5</v>
      </c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16"/>
      <c r="L26" s="16"/>
      <c r="M26" s="16"/>
      <c r="N26" s="16"/>
      <c r="O26" s="16"/>
      <c r="P26" s="16"/>
      <c r="Q26" s="16"/>
      <c r="R26" s="16"/>
      <c r="S26" s="16"/>
      <c r="T26" s="2"/>
    </row>
    <row r="27" spans="1:20" x14ac:dyDescent="0.25">
      <c r="A27" s="26" t="s">
        <v>2</v>
      </c>
      <c r="B27" s="26" t="s">
        <v>13</v>
      </c>
      <c r="C27" s="26" t="s">
        <v>18</v>
      </c>
      <c r="D27" s="26" t="s">
        <v>19</v>
      </c>
      <c r="E27" s="26" t="s">
        <v>20</v>
      </c>
      <c r="F27" s="26" t="s">
        <v>38</v>
      </c>
      <c r="H27" s="26" t="s">
        <v>30</v>
      </c>
      <c r="I27" s="26" t="s">
        <v>24</v>
      </c>
      <c r="J27" s="2"/>
      <c r="L27" s="26" t="s">
        <v>55</v>
      </c>
      <c r="M27" s="26" t="s">
        <v>56</v>
      </c>
      <c r="N27" s="26" t="s">
        <v>57</v>
      </c>
      <c r="O27" s="26" t="s">
        <v>58</v>
      </c>
      <c r="P27" s="26" t="s">
        <v>59</v>
      </c>
      <c r="R27" s="26" t="s">
        <v>49</v>
      </c>
      <c r="S27" s="26" t="s">
        <v>51</v>
      </c>
    </row>
    <row r="28" spans="1:20" x14ac:dyDescent="0.25">
      <c r="A28" s="17">
        <v>0</v>
      </c>
      <c r="B28" s="7">
        <f t="shared" ref="B28:B48" si="5">D$8*(M$3/H28)*(1-A28)/(1+C$5*A28)</f>
        <v>0.1</v>
      </c>
      <c r="C28" s="7">
        <f t="shared" ref="C28:C48" si="6">D$8*(M$3/H28)*(F$9-(B$9/B$8)*A28)/(1+C$5*A28)</f>
        <v>0.30000000000000004</v>
      </c>
      <c r="D28" s="7">
        <f t="shared" ref="D28:D48" si="7">D$8*(M$3/H28)*(F$10+(B$10/B$8)*A28)/(1+C$5*A28)</f>
        <v>0</v>
      </c>
      <c r="E28" s="7">
        <f t="shared" ref="E28:E48" si="8">D$8*(M$3/H28)*(F$11+(B$11/B$8)*A28)/(1+C$5*A28)</f>
        <v>0</v>
      </c>
      <c r="F28" s="7">
        <f t="shared" ref="F28:F48" si="9">D$8*(M$3/H28)*(F$12)/(1+C$5*A28)</f>
        <v>0.2</v>
      </c>
      <c r="H28" s="24">
        <f t="shared" ref="H28:H48" si="10">(A28*(-P$2+P$3*M$2)+M$3*(F$8*J$8+F$9*J$9+F$10*J$10+F$11*J$11+F$12*J$12))/((F$8*J$8+F$9*J$9+F$10*J$10+F$11*J$11+F$12*J$12)+A28*P$3)</f>
        <v>373.15</v>
      </c>
      <c r="I28" s="28">
        <f t="shared" ref="I28:I48" si="11">I$3*EXP((I$2/8.314)*(1/M$3-1/H28))</f>
        <v>1</v>
      </c>
      <c r="J28" s="2"/>
      <c r="L28" s="39">
        <f>I28*B28</f>
        <v>0.1</v>
      </c>
      <c r="M28" s="39">
        <f t="shared" ref="M28:M48" si="12">I28*B28*B28</f>
        <v>1.0000000000000002E-2</v>
      </c>
      <c r="N28" s="39">
        <f t="shared" ref="N28:N48" si="13">I28*B28*C28</f>
        <v>3.0000000000000006E-2</v>
      </c>
      <c r="O28" s="39">
        <f t="shared" ref="O28:O48" si="14">I28*C28</f>
        <v>0.30000000000000004</v>
      </c>
      <c r="P28" s="39">
        <f t="shared" ref="P28:P48" si="15">I28*C28*C28</f>
        <v>9.0000000000000024E-2</v>
      </c>
      <c r="R28" s="35">
        <f t="shared" ref="R28:R48" si="16">$C$50*L28+$C$51*M28+$C$52*N28+$C$53*O28+$C$54*P28</f>
        <v>0.1</v>
      </c>
      <c r="S28" s="25">
        <v>0</v>
      </c>
    </row>
    <row r="29" spans="1:20" x14ac:dyDescent="0.25">
      <c r="A29" s="17">
        <f t="shared" ref="A29:A48" si="17">X../20+A28</f>
        <v>4.9500000000000002E-2</v>
      </c>
      <c r="B29" s="7">
        <f t="shared" si="5"/>
        <v>9.6292878752728669E-2</v>
      </c>
      <c r="C29" s="7">
        <f t="shared" si="6"/>
        <v>0.28887863625818605</v>
      </c>
      <c r="D29" s="7">
        <f t="shared" si="7"/>
        <v>1.0029452915854961E-2</v>
      </c>
      <c r="E29" s="7">
        <f t="shared" si="8"/>
        <v>0</v>
      </c>
      <c r="F29" s="7">
        <f t="shared" si="9"/>
        <v>0.20261521042131231</v>
      </c>
      <c r="H29" s="24">
        <f t="shared" si="10"/>
        <v>374.51311642094561</v>
      </c>
      <c r="I29" s="28">
        <f t="shared" si="11"/>
        <v>1.0118011006793006</v>
      </c>
      <c r="J29" s="2"/>
      <c r="L29" s="39">
        <f t="shared" ref="L29:L48" si="18">I29*B29</f>
        <v>9.7429240709589304E-2</v>
      </c>
      <c r="M29" s="39">
        <f t="shared" si="12"/>
        <v>9.3817420626188999E-3</v>
      </c>
      <c r="N29" s="39">
        <f t="shared" si="13"/>
        <v>2.8145226187856701E-2</v>
      </c>
      <c r="O29" s="39">
        <f t="shared" si="14"/>
        <v>0.29228772212876797</v>
      </c>
      <c r="P29" s="39">
        <f t="shared" si="15"/>
        <v>8.4435678563570121E-2</v>
      </c>
      <c r="R29" s="35">
        <f t="shared" si="16"/>
        <v>9.7429240709589304E-2</v>
      </c>
      <c r="S29" s="25">
        <f t="shared" ref="S29:S48" si="19">S28+$C$8*($A29-$A28)*(1/R29+1/R28)/2</f>
        <v>5.0153051301377971</v>
      </c>
    </row>
    <row r="30" spans="1:20" x14ac:dyDescent="0.25">
      <c r="A30" s="17">
        <f t="shared" si="17"/>
        <v>9.9000000000000005E-2</v>
      </c>
      <c r="B30" s="7">
        <f t="shared" si="5"/>
        <v>9.2487523977538372E-2</v>
      </c>
      <c r="C30" s="7">
        <f t="shared" si="6"/>
        <v>0.27746257193261509</v>
      </c>
      <c r="D30" s="7">
        <f t="shared" si="7"/>
        <v>2.0324672305829738E-2</v>
      </c>
      <c r="E30" s="7">
        <f t="shared" si="8"/>
        <v>0</v>
      </c>
      <c r="F30" s="7">
        <f t="shared" si="9"/>
        <v>0.20529972026090648</v>
      </c>
      <c r="H30" s="24">
        <f t="shared" si="10"/>
        <v>375.92275077559458</v>
      </c>
      <c r="I30" s="28">
        <f t="shared" si="11"/>
        <v>1.0240597794784003</v>
      </c>
      <c r="J30" s="2"/>
      <c r="L30" s="39">
        <f t="shared" si="18"/>
        <v>9.4712753408941211E-2</v>
      </c>
      <c r="M30" s="39">
        <f t="shared" si="12"/>
        <v>8.7597480518881287E-3</v>
      </c>
      <c r="N30" s="39">
        <f t="shared" si="13"/>
        <v>2.6279244155664384E-2</v>
      </c>
      <c r="O30" s="39">
        <f t="shared" si="14"/>
        <v>0.28413826022682359</v>
      </c>
      <c r="P30" s="39">
        <f t="shared" si="15"/>
        <v>7.8837732466993146E-2</v>
      </c>
      <c r="R30" s="35">
        <f t="shared" si="16"/>
        <v>9.4712753408941211E-2</v>
      </c>
      <c r="S30" s="25">
        <f t="shared" si="19"/>
        <v>10.168774708482156</v>
      </c>
    </row>
    <row r="31" spans="1:20" x14ac:dyDescent="0.25">
      <c r="A31" s="17">
        <f t="shared" si="17"/>
        <v>0.14850000000000002</v>
      </c>
      <c r="B31" s="7">
        <f t="shared" si="5"/>
        <v>8.8579978670254411E-2</v>
      </c>
      <c r="C31" s="7">
        <f t="shared" si="6"/>
        <v>0.26573993601076323</v>
      </c>
      <c r="D31" s="7">
        <f t="shared" si="7"/>
        <v>3.0896363670071127E-2</v>
      </c>
      <c r="E31" s="7">
        <f t="shared" si="8"/>
        <v>0</v>
      </c>
      <c r="F31" s="7">
        <f t="shared" si="9"/>
        <v>0.20805632101057994</v>
      </c>
      <c r="H31" s="24">
        <f t="shared" si="10"/>
        <v>377.38132561809579</v>
      </c>
      <c r="I31" s="28">
        <f t="shared" si="11"/>
        <v>1.0368022332510916</v>
      </c>
      <c r="J31" s="2"/>
      <c r="L31" s="39">
        <f t="shared" si="18"/>
        <v>9.1839919706653825E-2</v>
      </c>
      <c r="M31" s="39">
        <f t="shared" si="12"/>
        <v>8.1351781286932729E-3</v>
      </c>
      <c r="N31" s="39">
        <f t="shared" si="13"/>
        <v>2.440553438607982E-2</v>
      </c>
      <c r="O31" s="39">
        <f t="shared" si="14"/>
        <v>0.27551975911996146</v>
      </c>
      <c r="P31" s="39">
        <f t="shared" si="15"/>
        <v>7.3216603158239454E-2</v>
      </c>
      <c r="R31" s="35">
        <f t="shared" si="16"/>
        <v>9.1839919706653825E-2</v>
      </c>
      <c r="S31" s="25">
        <f t="shared" si="19"/>
        <v>15.476845693960751</v>
      </c>
    </row>
    <row r="32" spans="1:20" x14ac:dyDescent="0.25">
      <c r="A32" s="17">
        <f t="shared" si="17"/>
        <v>0.19800000000000001</v>
      </c>
      <c r="B32" s="7">
        <f t="shared" si="5"/>
        <v>8.4566070408263055E-2</v>
      </c>
      <c r="C32" s="7">
        <f t="shared" si="6"/>
        <v>0.25369821122478908</v>
      </c>
      <c r="D32" s="7">
        <f t="shared" si="7"/>
        <v>4.1755815313805698E-2</v>
      </c>
      <c r="E32" s="7">
        <f t="shared" si="8"/>
        <v>0</v>
      </c>
      <c r="F32" s="7">
        <f t="shared" si="9"/>
        <v>0.21088795613033179</v>
      </c>
      <c r="H32" s="24">
        <f t="shared" si="10"/>
        <v>378.89143468950749</v>
      </c>
      <c r="I32" s="28">
        <f t="shared" si="11"/>
        <v>1.0500566416485799</v>
      </c>
      <c r="J32" s="2"/>
      <c r="L32" s="39">
        <f t="shared" si="18"/>
        <v>8.8799163890318056E-2</v>
      </c>
      <c r="M32" s="39">
        <f t="shared" si="12"/>
        <v>7.5093963457435273E-3</v>
      </c>
      <c r="N32" s="39">
        <f t="shared" si="13"/>
        <v>2.2528189037230573E-2</v>
      </c>
      <c r="O32" s="39">
        <f t="shared" si="14"/>
        <v>0.26639749167095411</v>
      </c>
      <c r="P32" s="39">
        <f t="shared" si="15"/>
        <v>6.758456711169171E-2</v>
      </c>
      <c r="R32" s="35">
        <f t="shared" si="16"/>
        <v>8.8799163890318056E-2</v>
      </c>
      <c r="S32" s="25">
        <f t="shared" si="19"/>
        <v>20.958940636584259</v>
      </c>
    </row>
    <row r="33" spans="1:19" x14ac:dyDescent="0.25">
      <c r="A33" s="17">
        <f t="shared" si="17"/>
        <v>0.2475</v>
      </c>
      <c r="B33" s="7">
        <f t="shared" si="5"/>
        <v>8.0441396489082009E-2</v>
      </c>
      <c r="C33" s="7">
        <f t="shared" si="6"/>
        <v>0.2413241894672461</v>
      </c>
      <c r="D33" s="7">
        <f t="shared" si="7"/>
        <v>5.2914938554279867E-2</v>
      </c>
      <c r="E33" s="7">
        <f t="shared" si="8"/>
        <v>0</v>
      </c>
      <c r="F33" s="7">
        <f t="shared" si="9"/>
        <v>0.21379773153244389</v>
      </c>
      <c r="H33" s="24">
        <f t="shared" si="10"/>
        <v>380.4558583106267</v>
      </c>
      <c r="I33" s="28">
        <f t="shared" si="11"/>
        <v>1.0638533540436323</v>
      </c>
      <c r="J33" s="2"/>
      <c r="L33" s="39">
        <f t="shared" si="18"/>
        <v>8.557784945886357E-2</v>
      </c>
      <c r="M33" s="39">
        <f t="shared" si="12"/>
        <v>6.8840017190034165E-3</v>
      </c>
      <c r="N33" s="39">
        <f t="shared" si="13"/>
        <v>2.0652005157010257E-2</v>
      </c>
      <c r="O33" s="39">
        <f t="shared" si="14"/>
        <v>0.25673354837659079</v>
      </c>
      <c r="P33" s="39">
        <f t="shared" si="15"/>
        <v>6.1956015471030787E-2</v>
      </c>
      <c r="R33" s="35">
        <f t="shared" si="16"/>
        <v>8.557784945886357E-2</v>
      </c>
      <c r="S33" s="25">
        <f t="shared" si="19"/>
        <v>26.638232565978726</v>
      </c>
    </row>
    <row r="34" spans="1:19" x14ac:dyDescent="0.25">
      <c r="A34" s="17">
        <f t="shared" si="17"/>
        <v>0.29699999999999999</v>
      </c>
      <c r="B34" s="7">
        <f t="shared" si="5"/>
        <v>7.620130782139474E-2</v>
      </c>
      <c r="C34" s="7">
        <f t="shared" si="6"/>
        <v>0.22860392346418423</v>
      </c>
      <c r="D34" s="7">
        <f t="shared" si="7"/>
        <v>6.4386311302857005E-2</v>
      </c>
      <c r="E34" s="7">
        <f t="shared" si="8"/>
        <v>0</v>
      </c>
      <c r="F34" s="7">
        <f t="shared" si="9"/>
        <v>0.2167889269456465</v>
      </c>
      <c r="H34" s="24">
        <f t="shared" si="10"/>
        <v>382.07758046614873</v>
      </c>
      <c r="I34" s="28">
        <f t="shared" si="11"/>
        <v>1.0782250976003358</v>
      </c>
      <c r="J34" s="2"/>
      <c r="L34" s="39">
        <f t="shared" si="18"/>
        <v>8.2162162562996577E-2</v>
      </c>
      <c r="M34" s="39">
        <f t="shared" si="12"/>
        <v>6.2608642407343774E-3</v>
      </c>
      <c r="N34" s="39">
        <f t="shared" si="13"/>
        <v>1.8782592722203131E-2</v>
      </c>
      <c r="O34" s="39">
        <f t="shared" si="14"/>
        <v>0.24648648768898973</v>
      </c>
      <c r="P34" s="39">
        <f t="shared" si="15"/>
        <v>5.6347778166609401E-2</v>
      </c>
      <c r="R34" s="35">
        <f t="shared" si="16"/>
        <v>8.2162162562996577E-2</v>
      </c>
      <c r="S34" s="25">
        <f t="shared" si="19"/>
        <v>32.542671601641594</v>
      </c>
    </row>
    <row r="35" spans="1:19" x14ac:dyDescent="0.25">
      <c r="A35" s="17">
        <f t="shared" si="17"/>
        <v>0.34649999999999997</v>
      </c>
      <c r="B35" s="7">
        <f t="shared" si="5"/>
        <v>7.1840891444635069E-2</v>
      </c>
      <c r="C35" s="7">
        <f t="shared" si="6"/>
        <v>0.21552267433390521</v>
      </c>
      <c r="D35" s="7">
        <f t="shared" si="7"/>
        <v>7.6183225357508946E-2</v>
      </c>
      <c r="E35" s="7">
        <f t="shared" si="8"/>
        <v>0</v>
      </c>
      <c r="F35" s="7">
        <f t="shared" si="9"/>
        <v>0.21986500824677907</v>
      </c>
      <c r="H35" s="24">
        <f t="shared" si="10"/>
        <v>383.75980780101753</v>
      </c>
      <c r="I35" s="28">
        <f t="shared" si="11"/>
        <v>1.093207209287625</v>
      </c>
      <c r="J35" s="2"/>
      <c r="L35" s="39">
        <f t="shared" si="18"/>
        <v>7.8536980448924723E-2</v>
      </c>
      <c r="M35" s="39">
        <f t="shared" si="12"/>
        <v>5.6421666868206278E-3</v>
      </c>
      <c r="N35" s="39">
        <f t="shared" si="13"/>
        <v>1.6926500060461883E-2</v>
      </c>
      <c r="O35" s="39">
        <f t="shared" si="14"/>
        <v>0.23561094134677416</v>
      </c>
      <c r="P35" s="39">
        <f t="shared" si="15"/>
        <v>5.0779500181385648E-2</v>
      </c>
      <c r="R35" s="35">
        <f t="shared" si="16"/>
        <v>7.8536980448924723E-2</v>
      </c>
      <c r="S35" s="25">
        <f t="shared" si="19"/>
        <v>38.706388775572229</v>
      </c>
    </row>
    <row r="36" spans="1:19" x14ac:dyDescent="0.25">
      <c r="A36" s="17">
        <f t="shared" si="17"/>
        <v>0.39599999999999996</v>
      </c>
      <c r="B36" s="7">
        <f t="shared" si="5"/>
        <v>6.7354951538943386E-2</v>
      </c>
      <c r="C36" s="7">
        <f t="shared" si="6"/>
        <v>0.2020648546168301</v>
      </c>
      <c r="D36" s="7">
        <f t="shared" si="7"/>
        <v>8.8319737779541621E-2</v>
      </c>
      <c r="E36" s="7">
        <f t="shared" si="8"/>
        <v>0</v>
      </c>
      <c r="F36" s="7">
        <f t="shared" si="9"/>
        <v>0.22302964085742838</v>
      </c>
      <c r="H36" s="24">
        <f t="shared" si="10"/>
        <v>385.50599078341014</v>
      </c>
      <c r="I36" s="28">
        <f t="shared" si="11"/>
        <v>1.1088378950598592</v>
      </c>
      <c r="J36" s="2"/>
      <c r="L36" s="39">
        <f t="shared" si="18"/>
        <v>7.4685722686300804E-2</v>
      </c>
      <c r="M36" s="39">
        <f t="shared" si="12"/>
        <v>5.0304532321867549E-3</v>
      </c>
      <c r="N36" s="39">
        <f t="shared" si="13"/>
        <v>1.5091359696560261E-2</v>
      </c>
      <c r="O36" s="39">
        <f t="shared" si="14"/>
        <v>0.22405716805890236</v>
      </c>
      <c r="P36" s="39">
        <f t="shared" si="15"/>
        <v>4.5274079089680772E-2</v>
      </c>
      <c r="R36" s="35">
        <f t="shared" si="16"/>
        <v>7.4685722686300804E-2</v>
      </c>
      <c r="S36" s="25">
        <f t="shared" si="19"/>
        <v>45.171656828720543</v>
      </c>
    </row>
    <row r="37" spans="1:19" x14ac:dyDescent="0.25">
      <c r="A37" s="17">
        <f t="shared" si="17"/>
        <v>0.44549999999999995</v>
      </c>
      <c r="B37" s="7">
        <f t="shared" si="5"/>
        <v>6.2737988771170414E-2</v>
      </c>
      <c r="C37" s="7">
        <f t="shared" si="6"/>
        <v>0.18821396631351123</v>
      </c>
      <c r="D37" s="7">
        <f t="shared" si="7"/>
        <v>0.10081072677207001</v>
      </c>
      <c r="E37" s="7">
        <f t="shared" si="8"/>
        <v>0</v>
      </c>
      <c r="F37" s="7">
        <f t="shared" si="9"/>
        <v>0.22628670431441084</v>
      </c>
      <c r="H37" s="24">
        <f t="shared" si="10"/>
        <v>387.31984732824429</v>
      </c>
      <c r="I37" s="28">
        <f t="shared" si="11"/>
        <v>1.1251585199260645</v>
      </c>
      <c r="J37" s="2"/>
      <c r="L37" s="39">
        <f t="shared" si="18"/>
        <v>7.059018258890816E-2</v>
      </c>
      <c r="M37" s="39">
        <f t="shared" si="12"/>
        <v>4.4286860826177896E-3</v>
      </c>
      <c r="N37" s="39">
        <f t="shared" si="13"/>
        <v>1.3286058247853368E-2</v>
      </c>
      <c r="O37" s="39">
        <f t="shared" si="14"/>
        <v>0.21177054776672447</v>
      </c>
      <c r="P37" s="39">
        <f t="shared" si="15"/>
        <v>3.9858174743560099E-2</v>
      </c>
      <c r="R37" s="35">
        <f t="shared" si="16"/>
        <v>7.059018258890816E-2</v>
      </c>
      <c r="S37" s="25">
        <f t="shared" si="19"/>
        <v>51.991696496442948</v>
      </c>
    </row>
    <row r="38" spans="1:19" x14ac:dyDescent="0.25">
      <c r="A38" s="17">
        <f t="shared" si="17"/>
        <v>0.49499999999999994</v>
      </c>
      <c r="B38" s="7">
        <f t="shared" si="5"/>
        <v>5.7984177804308805E-2</v>
      </c>
      <c r="C38" s="7">
        <f t="shared" si="6"/>
        <v>0.17395253341292641</v>
      </c>
      <c r="D38" s="7">
        <f t="shared" si="7"/>
        <v>0.11367195252725883</v>
      </c>
      <c r="E38" s="7">
        <f t="shared" si="8"/>
        <v>0</v>
      </c>
      <c r="F38" s="7">
        <f t="shared" si="9"/>
        <v>0.22964030813587641</v>
      </c>
      <c r="H38" s="24">
        <f t="shared" si="10"/>
        <v>389.20538922155691</v>
      </c>
      <c r="I38" s="28">
        <f t="shared" si="11"/>
        <v>1.1422139332149885</v>
      </c>
      <c r="J38" s="2"/>
      <c r="L38" s="39">
        <f t="shared" si="18"/>
        <v>6.6230335794096803E-2</v>
      </c>
      <c r="M38" s="39">
        <f t="shared" si="12"/>
        <v>3.8403115667239866E-3</v>
      </c>
      <c r="N38" s="39">
        <f t="shared" si="13"/>
        <v>1.152093470017196E-2</v>
      </c>
      <c r="O38" s="39">
        <f t="shared" si="14"/>
        <v>0.1986910073822904</v>
      </c>
      <c r="P38" s="39">
        <f t="shared" si="15"/>
        <v>3.4562804100515876E-2</v>
      </c>
      <c r="R38" s="35">
        <f t="shared" si="16"/>
        <v>6.6230335794096803E-2</v>
      </c>
      <c r="S38" s="25">
        <f t="shared" si="19"/>
        <v>59.234808027162586</v>
      </c>
    </row>
    <row r="39" spans="1:19" x14ac:dyDescent="0.25">
      <c r="A39" s="17">
        <f t="shared" si="17"/>
        <v>0.54449999999999998</v>
      </c>
      <c r="B39" s="7">
        <f t="shared" si="5"/>
        <v>5.308734277695782E-2</v>
      </c>
      <c r="C39" s="7">
        <f t="shared" si="6"/>
        <v>0.15926202833087344</v>
      </c>
      <c r="D39" s="7">
        <f t="shared" si="7"/>
        <v>0.12692012356554788</v>
      </c>
      <c r="E39" s="7">
        <f t="shared" si="8"/>
        <v>0</v>
      </c>
      <c r="F39" s="7">
        <f t="shared" si="9"/>
        <v>0.23309480911946351</v>
      </c>
      <c r="H39" s="24">
        <f t="shared" si="10"/>
        <v>391.16695174098959</v>
      </c>
      <c r="I39" s="28">
        <f t="shared" si="11"/>
        <v>1.1600528340330243</v>
      </c>
      <c r="J39" s="2"/>
      <c r="L39" s="39">
        <f t="shared" si="18"/>
        <v>6.1584122439692524E-2</v>
      </c>
      <c r="M39" s="39">
        <f t="shared" si="12"/>
        <v>3.269337417574097E-3</v>
      </c>
      <c r="N39" s="39">
        <f t="shared" si="13"/>
        <v>9.8080122527222889E-3</v>
      </c>
      <c r="O39" s="39">
        <f t="shared" si="14"/>
        <v>0.18475236731907754</v>
      </c>
      <c r="P39" s="39">
        <f t="shared" si="15"/>
        <v>2.9424036758166863E-2</v>
      </c>
      <c r="R39" s="35">
        <f t="shared" si="16"/>
        <v>6.1584122439692524E-2</v>
      </c>
      <c r="S39" s="25">
        <f t="shared" si="19"/>
        <v>66.990659303989943</v>
      </c>
    </row>
    <row r="40" spans="1:19" x14ac:dyDescent="0.25">
      <c r="A40" s="17">
        <f t="shared" si="17"/>
        <v>0.59399999999999997</v>
      </c>
      <c r="B40" s="7">
        <f t="shared" si="5"/>
        <v>4.80409305357982E-2</v>
      </c>
      <c r="C40" s="7">
        <f t="shared" si="6"/>
        <v>0.14412279160739461</v>
      </c>
      <c r="D40" s="7">
        <f t="shared" si="7"/>
        <v>0.14057296915401049</v>
      </c>
      <c r="E40" s="7">
        <f t="shared" si="8"/>
        <v>0</v>
      </c>
      <c r="F40" s="7">
        <f t="shared" si="9"/>
        <v>0.2366548302256069</v>
      </c>
      <c r="H40" s="24">
        <f t="shared" si="10"/>
        <v>393.20922693266834</v>
      </c>
      <c r="I40" s="28">
        <f t="shared" si="11"/>
        <v>1.1787281827270959</v>
      </c>
      <c r="J40" s="2"/>
      <c r="L40" s="39">
        <f t="shared" si="18"/>
        <v>5.6627198746980065E-2</v>
      </c>
      <c r="M40" s="39">
        <f t="shared" si="12"/>
        <v>2.7204233214405084E-3</v>
      </c>
      <c r="N40" s="39">
        <f t="shared" si="13"/>
        <v>8.1612699643215242E-3</v>
      </c>
      <c r="O40" s="39">
        <f t="shared" si="14"/>
        <v>0.16988159624094018</v>
      </c>
      <c r="P40" s="39">
        <f t="shared" si="15"/>
        <v>2.4483809892964573E-2</v>
      </c>
      <c r="R40" s="35">
        <f t="shared" si="16"/>
        <v>5.6627198746980065E-2</v>
      </c>
      <c r="S40" s="25">
        <f t="shared" si="19"/>
        <v>75.38024354033162</v>
      </c>
    </row>
    <row r="41" spans="1:19" x14ac:dyDescent="0.25">
      <c r="A41" s="17">
        <f t="shared" si="17"/>
        <v>0.64349999999999996</v>
      </c>
      <c r="B41" s="7">
        <f t="shared" si="5"/>
        <v>4.2837981377125363E-2</v>
      </c>
      <c r="C41" s="7">
        <f t="shared" si="6"/>
        <v>0.12851394413137612</v>
      </c>
      <c r="D41" s="7">
        <f t="shared" si="7"/>
        <v>0.15464931846384389</v>
      </c>
      <c r="E41" s="7">
        <f t="shared" si="8"/>
        <v>0</v>
      </c>
      <c r="F41" s="7">
        <f t="shared" si="9"/>
        <v>0.24032528121809463</v>
      </c>
      <c r="H41" s="24">
        <f t="shared" si="10"/>
        <v>395.3373010821133</v>
      </c>
      <c r="I41" s="28">
        <f t="shared" si="11"/>
        <v>1.1982976651302766</v>
      </c>
      <c r="J41" s="2"/>
      <c r="L41" s="39">
        <f t="shared" si="18"/>
        <v>5.1332653063103591E-2</v>
      </c>
      <c r="M41" s="39">
        <f t="shared" si="12"/>
        <v>2.198987235955669E-3</v>
      </c>
      <c r="N41" s="39">
        <f t="shared" si="13"/>
        <v>6.5969617078670082E-3</v>
      </c>
      <c r="O41" s="39">
        <f t="shared" si="14"/>
        <v>0.15399795918931081</v>
      </c>
      <c r="P41" s="39">
        <f t="shared" si="15"/>
        <v>1.979088512360103E-2</v>
      </c>
      <c r="R41" s="35">
        <f t="shared" si="16"/>
        <v>5.1332653063103591E-2</v>
      </c>
      <c r="S41" s="25">
        <f t="shared" si="19"/>
        <v>84.572427219611654</v>
      </c>
    </row>
    <row r="42" spans="1:19" x14ac:dyDescent="0.25">
      <c r="A42" s="17">
        <f t="shared" si="17"/>
        <v>0.69299999999999995</v>
      </c>
      <c r="B42" s="7">
        <f t="shared" si="5"/>
        <v>3.7471097022743934E-2</v>
      </c>
      <c r="C42" s="7">
        <f t="shared" si="6"/>
        <v>0.11241329106823182</v>
      </c>
      <c r="D42" s="7">
        <f t="shared" si="7"/>
        <v>0.16916918721017288</v>
      </c>
      <c r="E42" s="7">
        <f t="shared" si="8"/>
        <v>0</v>
      </c>
      <c r="F42" s="7">
        <f t="shared" si="9"/>
        <v>0.24411138125566076</v>
      </c>
      <c r="H42" s="24">
        <f t="shared" si="10"/>
        <v>397.55669700910278</v>
      </c>
      <c r="I42" s="28">
        <f t="shared" si="11"/>
        <v>1.2188242175154107</v>
      </c>
      <c r="J42" s="2"/>
      <c r="L42" s="39">
        <f t="shared" si="18"/>
        <v>4.5670680508189912E-2</v>
      </c>
      <c r="M42" s="39">
        <f t="shared" si="12"/>
        <v>1.7113305004171245E-3</v>
      </c>
      <c r="N42" s="39">
        <f t="shared" si="13"/>
        <v>5.1339915012513738E-3</v>
      </c>
      <c r="O42" s="39">
        <f t="shared" si="14"/>
        <v>0.13701204152456975</v>
      </c>
      <c r="P42" s="39">
        <f t="shared" si="15"/>
        <v>1.5401974503754124E-2</v>
      </c>
      <c r="R42" s="35">
        <f t="shared" si="16"/>
        <v>4.5670680508189912E-2</v>
      </c>
      <c r="S42" s="25">
        <f t="shared" si="19"/>
        <v>94.813151394945663</v>
      </c>
    </row>
    <row r="43" spans="1:19" x14ac:dyDescent="0.25">
      <c r="A43" s="17">
        <f t="shared" si="17"/>
        <v>0.74249999999999994</v>
      </c>
      <c r="B43" s="7">
        <f t="shared" si="5"/>
        <v>3.1932405520351544E-2</v>
      </c>
      <c r="C43" s="7">
        <f t="shared" si="6"/>
        <v>9.579721656105461E-2</v>
      </c>
      <c r="D43" s="7">
        <f t="shared" si="7"/>
        <v>0.18415387261251273</v>
      </c>
      <c r="E43" s="7">
        <f t="shared" si="8"/>
        <v>0</v>
      </c>
      <c r="F43" s="7">
        <f t="shared" si="9"/>
        <v>0.24801868365321583</v>
      </c>
      <c r="H43" s="24">
        <f t="shared" si="10"/>
        <v>399.87342192691028</v>
      </c>
      <c r="I43" s="28">
        <f t="shared" si="11"/>
        <v>1.2403766215496015</v>
      </c>
      <c r="J43" s="2"/>
      <c r="L43" s="39">
        <f t="shared" si="18"/>
        <v>3.9608209277285492E-2</v>
      </c>
      <c r="M43" s="39">
        <f t="shared" si="12"/>
        <v>1.2647854005772305E-3</v>
      </c>
      <c r="N43" s="39">
        <f t="shared" si="13"/>
        <v>3.7943562017316904E-3</v>
      </c>
      <c r="O43" s="39">
        <f t="shared" si="14"/>
        <v>0.11882462783185645</v>
      </c>
      <c r="P43" s="39">
        <f t="shared" si="15"/>
        <v>1.1383068605195069E-2</v>
      </c>
      <c r="R43" s="35">
        <f t="shared" si="16"/>
        <v>3.9608209277285492E-2</v>
      </c>
      <c r="S43" s="25">
        <f t="shared" si="19"/>
        <v>106.48108771675182</v>
      </c>
    </row>
    <row r="44" spans="1:19" x14ac:dyDescent="0.25">
      <c r="A44" s="17">
        <f t="shared" si="17"/>
        <v>0.79199999999999993</v>
      </c>
      <c r="B44" s="7">
        <f t="shared" si="5"/>
        <v>2.6213522718215247E-2</v>
      </c>
      <c r="C44" s="7">
        <f t="shared" si="6"/>
        <v>7.8640568154645721E-2</v>
      </c>
      <c r="D44" s="7">
        <f t="shared" si="7"/>
        <v>0.19962605762333141</v>
      </c>
      <c r="E44" s="7">
        <f t="shared" si="8"/>
        <v>0</v>
      </c>
      <c r="F44" s="7">
        <f t="shared" si="9"/>
        <v>0.25205310305976192</v>
      </c>
      <c r="H44" s="24">
        <f t="shared" si="10"/>
        <v>402.29402173913041</v>
      </c>
      <c r="I44" s="28">
        <f t="shared" si="11"/>
        <v>1.263030180177644</v>
      </c>
      <c r="J44" s="2"/>
      <c r="L44" s="39">
        <f t="shared" si="18"/>
        <v>3.3108470321878171E-2</v>
      </c>
      <c r="M44" s="39">
        <f t="shared" si="12"/>
        <v>8.6788963894790874E-4</v>
      </c>
      <c r="N44" s="39">
        <f t="shared" si="13"/>
        <v>2.6036689168437255E-3</v>
      </c>
      <c r="O44" s="39">
        <f t="shared" si="14"/>
        <v>9.9325410965634478E-2</v>
      </c>
      <c r="P44" s="39">
        <f t="shared" si="15"/>
        <v>7.8110067505311733E-3</v>
      </c>
      <c r="R44" s="35">
        <f t="shared" si="16"/>
        <v>3.3108470321878171E-2</v>
      </c>
      <c r="S44" s="25">
        <f t="shared" si="19"/>
        <v>120.20522074955072</v>
      </c>
    </row>
    <row r="45" spans="1:19" x14ac:dyDescent="0.25">
      <c r="A45" s="17">
        <f t="shared" si="17"/>
        <v>0.84149999999999991</v>
      </c>
      <c r="B45" s="7">
        <f t="shared" si="5"/>
        <v>2.0305509917618265E-2</v>
      </c>
      <c r="C45" s="7">
        <f t="shared" si="6"/>
        <v>6.0916529752854796E-2</v>
      </c>
      <c r="D45" s="7">
        <f t="shared" si="7"/>
        <v>0.21560992549748592</v>
      </c>
      <c r="E45" s="7">
        <f t="shared" si="8"/>
        <v>0</v>
      </c>
      <c r="F45" s="7">
        <f t="shared" si="9"/>
        <v>0.25622094533272244</v>
      </c>
      <c r="H45" s="24">
        <f t="shared" si="10"/>
        <v>404.82564280750523</v>
      </c>
      <c r="I45" s="28">
        <f t="shared" si="11"/>
        <v>1.2868674873238022</v>
      </c>
      <c r="J45" s="2"/>
      <c r="L45" s="39">
        <f t="shared" si="18"/>
        <v>2.6130500526513962E-2</v>
      </c>
      <c r="M45" s="39">
        <f t="shared" si="12"/>
        <v>5.3059313759345854E-4</v>
      </c>
      <c r="N45" s="39">
        <f t="shared" si="13"/>
        <v>1.5917794127803756E-3</v>
      </c>
      <c r="O45" s="39">
        <f t="shared" si="14"/>
        <v>7.8391501579541889E-2</v>
      </c>
      <c r="P45" s="39">
        <f t="shared" si="15"/>
        <v>4.7753382383411268E-3</v>
      </c>
      <c r="R45" s="35">
        <f t="shared" si="16"/>
        <v>2.6130500526513962E-2</v>
      </c>
      <c r="S45" s="25">
        <f t="shared" si="19"/>
        <v>137.15233914958807</v>
      </c>
    </row>
    <row r="46" spans="1:19" x14ac:dyDescent="0.25">
      <c r="A46" s="17">
        <f t="shared" si="17"/>
        <v>0.8909999999999999</v>
      </c>
      <c r="B46" s="7">
        <f t="shared" si="5"/>
        <v>1.4198827253219267E-2</v>
      </c>
      <c r="C46" s="7">
        <f t="shared" si="6"/>
        <v>4.2596481759657821E-2</v>
      </c>
      <c r="D46" s="7">
        <f t="shared" si="7"/>
        <v>0.23213128591960286</v>
      </c>
      <c r="E46" s="7">
        <f t="shared" si="8"/>
        <v>0</v>
      </c>
      <c r="F46" s="7">
        <f t="shared" si="9"/>
        <v>0.26052894042604136</v>
      </c>
      <c r="H46" s="24">
        <f t="shared" si="10"/>
        <v>407.47610241820774</v>
      </c>
      <c r="I46" s="28">
        <f t="shared" si="11"/>
        <v>1.3119793066619185</v>
      </c>
      <c r="J46" s="2"/>
      <c r="L46" s="39">
        <f t="shared" si="18"/>
        <v>1.8628567535090967E-2</v>
      </c>
      <c r="M46" s="39">
        <f t="shared" si="12"/>
        <v>2.6450381240568528E-4</v>
      </c>
      <c r="N46" s="39">
        <f t="shared" si="13"/>
        <v>7.9351143721705618E-4</v>
      </c>
      <c r="O46" s="39">
        <f t="shared" si="14"/>
        <v>5.5885702605272924E-2</v>
      </c>
      <c r="P46" s="39">
        <f t="shared" si="15"/>
        <v>2.3805343116511698E-3</v>
      </c>
      <c r="R46" s="35">
        <f t="shared" si="16"/>
        <v>1.8628567535090967E-2</v>
      </c>
      <c r="S46" s="25">
        <f t="shared" si="19"/>
        <v>159.91007485087619</v>
      </c>
    </row>
    <row r="47" spans="1:19" x14ac:dyDescent="0.25">
      <c r="A47" s="17">
        <f t="shared" si="17"/>
        <v>0.94049999999999989</v>
      </c>
      <c r="B47" s="7">
        <f t="shared" si="5"/>
        <v>7.8832822899215036E-3</v>
      </c>
      <c r="C47" s="7">
        <f t="shared" si="6"/>
        <v>2.3649846869764537E-2</v>
      </c>
      <c r="D47" s="7">
        <f t="shared" si="7"/>
        <v>0.24921771407298013</v>
      </c>
      <c r="E47" s="7">
        <f t="shared" si="8"/>
        <v>0</v>
      </c>
      <c r="F47" s="7">
        <f t="shared" si="9"/>
        <v>0.26498427865282315</v>
      </c>
      <c r="H47" s="24">
        <f t="shared" si="10"/>
        <v>410.25396941005101</v>
      </c>
      <c r="I47" s="28">
        <f t="shared" si="11"/>
        <v>1.3384655775547016</v>
      </c>
      <c r="J47" s="2"/>
      <c r="L47" s="39">
        <f t="shared" si="18"/>
        <v>1.0551501983206537E-2</v>
      </c>
      <c r="M47" s="39">
        <f t="shared" si="12"/>
        <v>8.3180468716283708E-5</v>
      </c>
      <c r="N47" s="39">
        <f t="shared" si="13"/>
        <v>2.4954140614885141E-4</v>
      </c>
      <c r="O47" s="39">
        <f t="shared" si="14"/>
        <v>3.1654505949619646E-2</v>
      </c>
      <c r="P47" s="39">
        <f t="shared" si="15"/>
        <v>7.4862421844655515E-4</v>
      </c>
      <c r="R47" s="35">
        <f t="shared" si="16"/>
        <v>1.0551501983206537E-2</v>
      </c>
      <c r="S47" s="25">
        <f t="shared" si="19"/>
        <v>196.65249677317306</v>
      </c>
    </row>
    <row r="48" spans="1:19" x14ac:dyDescent="0.25">
      <c r="A48" s="17">
        <f t="shared" si="17"/>
        <v>0.98999999999999988</v>
      </c>
      <c r="B48" s="7">
        <f t="shared" si="5"/>
        <v>1.347973253667522E-3</v>
      </c>
      <c r="C48" s="7">
        <f t="shared" si="6"/>
        <v>4.0439197610025509E-3</v>
      </c>
      <c r="D48" s="7">
        <f t="shared" si="7"/>
        <v>0.26689870422616613</v>
      </c>
      <c r="E48" s="7">
        <f t="shared" si="8"/>
        <v>0</v>
      </c>
      <c r="F48" s="7">
        <f t="shared" si="9"/>
        <v>0.2695946507335012</v>
      </c>
      <c r="H48" s="24">
        <f t="shared" si="10"/>
        <v>413.1686567164179</v>
      </c>
      <c r="I48" s="28">
        <f t="shared" si="11"/>
        <v>1.3664365697185619</v>
      </c>
      <c r="J48" s="2"/>
      <c r="L48" s="39">
        <f t="shared" si="18"/>
        <v>1.8419199488138177E-3</v>
      </c>
      <c r="M48" s="39">
        <f t="shared" si="12"/>
        <v>2.4828588263976776E-6</v>
      </c>
      <c r="N48" s="39">
        <f t="shared" si="13"/>
        <v>7.4485764791930041E-6</v>
      </c>
      <c r="O48" s="39">
        <f t="shared" si="14"/>
        <v>5.5257598464414324E-3</v>
      </c>
      <c r="P48" s="39">
        <f t="shared" si="15"/>
        <v>2.2345729437578929E-5</v>
      </c>
      <c r="R48" s="35">
        <f t="shared" si="16"/>
        <v>1.8419199488138177E-3</v>
      </c>
      <c r="S48" s="25">
        <f t="shared" si="19"/>
        <v>354.47953341397329</v>
      </c>
    </row>
    <row r="50" spans="1:3" x14ac:dyDescent="0.25">
      <c r="A50" s="38">
        <v>1</v>
      </c>
      <c r="B50" s="26" t="s">
        <v>55</v>
      </c>
      <c r="C50" s="38">
        <f>IF($S$2=A50,1,0)</f>
        <v>1</v>
      </c>
    </row>
    <row r="51" spans="1:3" x14ac:dyDescent="0.25">
      <c r="A51" s="38">
        <v>2</v>
      </c>
      <c r="B51" s="26" t="s">
        <v>56</v>
      </c>
      <c r="C51" s="38">
        <f>IF($S$2=A51,1,0)</f>
        <v>0</v>
      </c>
    </row>
    <row r="52" spans="1:3" x14ac:dyDescent="0.25">
      <c r="A52" s="38">
        <v>3</v>
      </c>
      <c r="B52" s="26" t="s">
        <v>57</v>
      </c>
      <c r="C52" s="38">
        <f>IF($S$2=A52,1,0)</f>
        <v>0</v>
      </c>
    </row>
    <row r="53" spans="1:3" x14ac:dyDescent="0.25">
      <c r="A53" s="38">
        <v>4</v>
      </c>
      <c r="B53" s="26" t="s">
        <v>58</v>
      </c>
      <c r="C53" s="38">
        <f>IF($S$2=A53,1,0)</f>
        <v>0</v>
      </c>
    </row>
    <row r="54" spans="1:3" x14ac:dyDescent="0.25">
      <c r="A54" s="38">
        <v>5</v>
      </c>
      <c r="B54" s="26" t="s">
        <v>59</v>
      </c>
      <c r="C54" s="38">
        <f>IF($S$2=A54,1,0)</f>
        <v>0</v>
      </c>
    </row>
  </sheetData>
  <sheetProtection algorithmName="SHA-512" hashValue="ETOYWEGAGAiVG/ApetizWh8RRLrI/xy/LImZXyY7C4DxCoqKr40QUHh90IVDCrB8mFwudvYO3iCbHrCL6IeDrQ==" saltValue="FtgjML10LSjqx0mJ+sTV0w==" spinCount="100000" sheet="1" objects="1" scenarios="1"/>
  <mergeCells count="1">
    <mergeCell ref="B2:C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Drop Down 3">
              <controlPr locked="0" defaultSize="0" autoLine="0" autoPict="0">
                <anchor moveWithCells="1">
                  <from>
                    <xdr:col>17</xdr:col>
                    <xdr:colOff>609600</xdr:colOff>
                    <xdr:row>0</xdr:row>
                    <xdr:rowOff>190500</xdr:rowOff>
                  </from>
                  <to>
                    <xdr:col>19</xdr:col>
                    <xdr:colOff>581025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"/>
  <sheetViews>
    <sheetView showGridLines="0" topLeftCell="A4" workbookViewId="0">
      <selection activeCell="S9" sqref="S9"/>
    </sheetView>
  </sheetViews>
  <sheetFormatPr defaultRowHeight="15" x14ac:dyDescent="0.25"/>
  <cols>
    <col min="1" max="1" width="9.140625" customWidth="1"/>
    <col min="6" max="6" width="9.140625" customWidth="1"/>
  </cols>
  <sheetData>
    <row r="1" spans="2:18" ht="15.75" thickBot="1" x14ac:dyDescent="0.3"/>
    <row r="2" spans="2:18" ht="15.75" thickBot="1" x14ac:dyDescent="0.3">
      <c r="B2" s="50" t="s">
        <v>42</v>
      </c>
      <c r="C2" s="51"/>
      <c r="D2" s="51"/>
      <c r="E2" s="51"/>
      <c r="F2" s="52"/>
      <c r="H2" s="44" t="s">
        <v>43</v>
      </c>
      <c r="I2" s="45"/>
      <c r="J2" s="45"/>
      <c r="K2" s="45"/>
      <c r="L2" s="46"/>
      <c r="N2" s="47" t="s">
        <v>44</v>
      </c>
      <c r="O2" s="48"/>
      <c r="P2" s="48"/>
      <c r="Q2" s="48"/>
      <c r="R2" s="49"/>
    </row>
  </sheetData>
  <sheetProtection algorithmName="SHA-512" hashValue="cCpFuf86Gsn7t74w79JuR1jcZbIdP7xAzca9E3qfi7R9yRwmcfLFrqSJaOLyxi23QG8u4fZc6zSOmbq0Y2ynTw==" saltValue="LDRw9qH+4G06mWbVvOM8Ng==" spinCount="100000" sheet="1" objects="1" scenarios="1"/>
  <mergeCells count="3">
    <mergeCell ref="H2:L2"/>
    <mergeCell ref="N2:R2"/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53" t="s">
        <v>63</v>
      </c>
      <c r="C3" s="54"/>
      <c r="D3" s="54"/>
      <c r="E3" s="55"/>
    </row>
    <row r="4" spans="2:5" x14ac:dyDescent="0.25">
      <c r="B4" s="56" t="s">
        <v>64</v>
      </c>
      <c r="C4" s="57" t="s">
        <v>65</v>
      </c>
      <c r="D4" s="57"/>
      <c r="E4" s="58"/>
    </row>
    <row r="5" spans="2:5" ht="15.75" thickBot="1" x14ac:dyDescent="0.3">
      <c r="B5" s="59" t="s">
        <v>66</v>
      </c>
      <c r="C5" s="60">
        <v>2017</v>
      </c>
      <c r="D5" s="61"/>
      <c r="E5" s="62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8</vt:i4>
      </vt:variant>
    </vt:vector>
  </HeadingPairs>
  <TitlesOfParts>
    <vt:vector size="13" baseType="lpstr">
      <vt:lpstr>Batch</vt:lpstr>
      <vt:lpstr>CSTR</vt:lpstr>
      <vt:lpstr>PFR</vt:lpstr>
      <vt:lpstr>Graphs</vt:lpstr>
      <vt:lpstr>Credits</vt:lpstr>
      <vt:lpstr>k</vt:lpstr>
      <vt:lpstr>CSTR!k.</vt:lpstr>
      <vt:lpstr>k..</vt:lpstr>
      <vt:lpstr>X</vt:lpstr>
      <vt:lpstr>CSTR!X.</vt:lpstr>
      <vt:lpstr>X..</vt:lpstr>
      <vt:lpstr>Xo</vt:lpstr>
      <vt:lpstr>Xoo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2017-03-27T04:06:10Z</dcterms:modified>
</cp:coreProperties>
</file>