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es\Dropbox\planilhas\chemeng\transport phenomena\"/>
    </mc:Choice>
  </mc:AlternateContent>
  <workbookProtection workbookAlgorithmName="SHA-512" workbookHashValue="ZR7YnzEiszJ0dw0jiTotzzw4swLu3Zn/r6NAzwtz6wOD0kmVCUiSJiBudWY3Mpm9r0aEXqMXgkZ1Vq2i1OeOZA==" workbookSaltValue="pL3hx5VADy7H5/SpCs59og==" workbookSpinCount="100000" lockStructure="1"/>
  <bookViews>
    <workbookView xWindow="0" yWindow="0" windowWidth="20490" windowHeight="7530"/>
  </bookViews>
  <sheets>
    <sheet name="Cálculo" sheetId="1" r:id="rId1"/>
    <sheet name="Solvente" sheetId="2" r:id="rId2"/>
    <sheet name="Tanque" sheetId="3" r:id="rId3"/>
  </sheets>
  <definedNames>
    <definedName name="solver_adj" localSheetId="0" hidden="1">Cálculo!$K$12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Cálculo!$K$11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C13" i="1"/>
  <c r="C14" i="1"/>
  <c r="K2" i="1"/>
  <c r="K5" i="1" s="1"/>
  <c r="G16" i="1"/>
  <c r="G17" i="1"/>
  <c r="G3" i="1"/>
  <c r="F4" i="1"/>
  <c r="F3" i="1"/>
  <c r="C20" i="1" s="1"/>
  <c r="E5" i="3"/>
  <c r="E6" i="3"/>
  <c r="D6" i="3"/>
  <c r="C6" i="3"/>
  <c r="G4" i="1"/>
  <c r="G9" i="2" l="1"/>
  <c r="G7" i="2"/>
  <c r="G4" i="2"/>
  <c r="G6" i="2"/>
  <c r="G8" i="2"/>
  <c r="G5" i="2"/>
  <c r="G3" i="2"/>
  <c r="C12" i="1" l="1"/>
  <c r="C18" i="1" l="1"/>
  <c r="C21" i="1" s="1"/>
  <c r="K12" i="1" l="1"/>
  <c r="K10" i="1" s="1"/>
  <c r="C16" i="1"/>
  <c r="C23" i="1" s="1"/>
  <c r="K9" i="1" l="1"/>
</calcChain>
</file>

<file path=xl/sharedStrings.xml><?xml version="1.0" encoding="utf-8"?>
<sst xmlns="http://schemas.openxmlformats.org/spreadsheetml/2006/main" count="85" uniqueCount="66">
  <si>
    <t>kg/m³</t>
  </si>
  <si>
    <t>Vf</t>
  </si>
  <si>
    <t>L</t>
  </si>
  <si>
    <t>m³</t>
  </si>
  <si>
    <t>m</t>
  </si>
  <si>
    <t>x</t>
  </si>
  <si>
    <t>ri</t>
  </si>
  <si>
    <t>re</t>
  </si>
  <si>
    <t>h*</t>
  </si>
  <si>
    <t>Geometria do Tanque:</t>
  </si>
  <si>
    <t>altura do tanque</t>
  </si>
  <si>
    <t>espessura da parede</t>
  </si>
  <si>
    <t>J/kg.K</t>
  </si>
  <si>
    <t>Hexano</t>
  </si>
  <si>
    <t>Etanol</t>
  </si>
  <si>
    <t>Água</t>
  </si>
  <si>
    <t>Diclorometano</t>
  </si>
  <si>
    <t>Éter Etílico</t>
  </si>
  <si>
    <t>Clorofórmio</t>
  </si>
  <si>
    <t>Solvente</t>
  </si>
  <si>
    <t>Cp</t>
  </si>
  <si>
    <t>Vidro</t>
  </si>
  <si>
    <t>Aço</t>
  </si>
  <si>
    <t>HDPE</t>
  </si>
  <si>
    <t>PP</t>
  </si>
  <si>
    <t>ρ</t>
  </si>
  <si>
    <t>k</t>
  </si>
  <si>
    <t>Acetona</t>
  </si>
  <si>
    <t>MM</t>
  </si>
  <si>
    <t>kg/mol</t>
  </si>
  <si>
    <t>Tanque</t>
  </si>
  <si>
    <t>volume da parede</t>
  </si>
  <si>
    <t>raio interno do tanque</t>
  </si>
  <si>
    <t>raio externo do tanque</t>
  </si>
  <si>
    <t>Cp'</t>
  </si>
  <si>
    <t>J/mol.K</t>
  </si>
  <si>
    <t>Cp'2</t>
  </si>
  <si>
    <t>mf</t>
  </si>
  <si>
    <t>kg</t>
  </si>
  <si>
    <t>m²</t>
  </si>
  <si>
    <t>massa de fluido</t>
  </si>
  <si>
    <t>massa da parede</t>
  </si>
  <si>
    <t>Cheio</t>
  </si>
  <si>
    <t>qf</t>
  </si>
  <si>
    <t>T1</t>
  </si>
  <si>
    <t>Ta</t>
  </si>
  <si>
    <t>temperatura ambiente</t>
  </si>
  <si>
    <t>J</t>
  </si>
  <si>
    <t>Calor Transferido:</t>
  </si>
  <si>
    <t>volume do fluido</t>
  </si>
  <si>
    <t>V</t>
  </si>
  <si>
    <t>Vp</t>
  </si>
  <si>
    <t>qp</t>
  </si>
  <si>
    <t>mp</t>
  </si>
  <si>
    <t>temperatura final do solvente</t>
  </si>
  <si>
    <t>T2</t>
  </si>
  <si>
    <t>temperatura da parede quente</t>
  </si>
  <si>
    <t>Tbp</t>
  </si>
  <si>
    <t>temperatura de ebulição do solvente</t>
  </si>
  <si>
    <t>°C</t>
  </si>
  <si>
    <t>do volume total</t>
  </si>
  <si>
    <t>área lateral</t>
  </si>
  <si>
    <t>área da base</t>
  </si>
  <si>
    <t>A.lado</t>
  </si>
  <si>
    <t>A.base</t>
  </si>
  <si>
    <t>volume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</si>
</sst>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0"/>
    <numFmt numFmtId="167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3" fillId="2" borderId="0" xfId="0" applyFont="1" applyFill="1"/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0" fontId="0" fillId="0" borderId="5" xfId="0" applyBorder="1"/>
    <xf numFmtId="0" fontId="7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left"/>
    </xf>
    <xf numFmtId="0" fontId="0" fillId="0" borderId="6" xfId="0" applyBorder="1"/>
    <xf numFmtId="0" fontId="3" fillId="2" borderId="4" xfId="0" applyFont="1" applyFill="1" applyBorder="1"/>
    <xf numFmtId="166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66" fontId="8" fillId="0" borderId="6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11" fontId="0" fillId="0" borderId="0" xfId="0" applyNumberFormat="1"/>
    <xf numFmtId="9" fontId="9" fillId="0" borderId="0" xfId="0" applyNumberFormat="1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9" fillId="0" borderId="0" xfId="0" applyNumberFormat="1" applyFont="1"/>
    <xf numFmtId="2" fontId="8" fillId="0" borderId="6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Font="1"/>
    <xf numFmtId="11" fontId="5" fillId="0" borderId="0" xfId="0" applyNumberFormat="1" applyFont="1"/>
    <xf numFmtId="164" fontId="1" fillId="3" borderId="1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164" fontId="9" fillId="4" borderId="1" xfId="0" applyNumberFormat="1" applyFont="1" applyFill="1" applyBorder="1" applyAlignment="1" applyProtection="1">
      <alignment horizontal="center"/>
      <protection locked="0"/>
    </xf>
    <xf numFmtId="165" fontId="9" fillId="4" borderId="1" xfId="0" applyNumberFormat="1" applyFont="1" applyFill="1" applyBorder="1" applyProtection="1">
      <protection locked="0"/>
    </xf>
    <xf numFmtId="0" fontId="9" fillId="4" borderId="1" xfId="0" applyFont="1" applyFill="1" applyBorder="1" applyProtection="1">
      <protection locked="0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numFmt numFmtId="166" formatCode="0.000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$A$3" fmlaRange="Solvente!$B$3:$B$9" noThreeD="1" sel="7" val="0"/>
</file>

<file path=xl/ctrlProps/ctrlProp2.xml><?xml version="1.0" encoding="utf-8"?>
<formControlPr xmlns="http://schemas.microsoft.com/office/spreadsheetml/2009/9/main" objectType="Drop" dropStyle="combo" dx="16" fmlaLink="$A$4" fmlaRange="Tanque!$B$3:$B$6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4</xdr:col>
          <xdr:colOff>76200</xdr:colOff>
          <xdr:row>3</xdr:row>
          <xdr:rowOff>9525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3</xdr:row>
          <xdr:rowOff>19050</xdr:rowOff>
        </xdr:from>
        <xdr:to>
          <xdr:col>4</xdr:col>
          <xdr:colOff>76200</xdr:colOff>
          <xdr:row>4</xdr:row>
          <xdr:rowOff>28575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2:G9" totalsRowShown="0" headerRowDxfId="14" headerRowBorderDxfId="13" tableBorderDxfId="12" totalsRowBorderDxfId="11">
  <autoFilter ref="B2:G9"/>
  <sortState ref="B3:G9">
    <sortCondition ref="B2:B9"/>
  </sortState>
  <tableColumns count="6">
    <tableColumn id="1" name="Solvente" dataDxfId="10"/>
    <tableColumn id="5" name="MM" dataDxfId="9"/>
    <tableColumn id="4" name="Tbp" dataDxfId="8"/>
    <tableColumn id="2" name="ρ" dataDxfId="7"/>
    <tableColumn id="3" name="Cp'" dataDxfId="6"/>
    <tableColumn id="6" name="Cp'2" dataDxfId="5">
      <calculatedColumnFormula>Tabela1[[#This Row],[Cp'']]/Tabela1[[#This Row],[MM]]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B2:E6" totalsRowShown="0" tableBorderDxfId="4">
  <autoFilter ref="B2:E6"/>
  <tableColumns count="4">
    <tableColumn id="1" name="Tanque" dataDxfId="3"/>
    <tableColumn id="2" name="ρ" dataDxfId="2"/>
    <tableColumn id="3" name="Cp" dataDxfId="1"/>
    <tableColumn id="5" name="k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23"/>
  <sheetViews>
    <sheetView showGridLines="0" tabSelected="1" workbookViewId="0">
      <selection activeCell="H19" sqref="H19"/>
    </sheetView>
  </sheetViews>
  <sheetFormatPr defaultRowHeight="15" x14ac:dyDescent="0.25"/>
  <cols>
    <col min="1" max="1" width="4.5703125" customWidth="1"/>
  </cols>
  <sheetData>
    <row r="2" spans="1:12" x14ac:dyDescent="0.25">
      <c r="F2" s="23" t="s">
        <v>25</v>
      </c>
      <c r="G2" s="2" t="s">
        <v>20</v>
      </c>
      <c r="J2" s="3" t="s">
        <v>57</v>
      </c>
      <c r="K2" s="38">
        <f>VLOOKUP(A3,Solvente!A3:G9,4)</f>
        <v>69.099999999999994</v>
      </c>
      <c r="L2" t="s">
        <v>58</v>
      </c>
    </row>
    <row r="3" spans="1:12" x14ac:dyDescent="0.25">
      <c r="A3" s="22">
        <v>7</v>
      </c>
      <c r="B3" s="3" t="s">
        <v>19</v>
      </c>
      <c r="C3" s="39">
        <v>1</v>
      </c>
      <c r="F3" s="4">
        <f>VLOOKUP($A$3,Solvente!A3:G9,5)</f>
        <v>658</v>
      </c>
      <c r="G3" s="34">
        <f>VLOOKUP(A3,Solvente!A3:G9,7)</f>
        <v>3077.2801113947548</v>
      </c>
    </row>
    <row r="4" spans="1:12" x14ac:dyDescent="0.25">
      <c r="A4" s="22">
        <v>1</v>
      </c>
      <c r="B4" s="3" t="s">
        <v>30</v>
      </c>
      <c r="C4" s="39">
        <v>1</v>
      </c>
      <c r="F4" s="4">
        <f>VLOOKUP(Cálculo!A4,Tanque!A3:E6,3)</f>
        <v>2225</v>
      </c>
      <c r="G4" s="34">
        <f>VLOOKUP(Cálculo!A4,Tanque!A3:E6,4)</f>
        <v>835</v>
      </c>
      <c r="J4" s="3" t="s">
        <v>45</v>
      </c>
      <c r="K4" s="40">
        <v>25</v>
      </c>
      <c r="L4" t="s">
        <v>46</v>
      </c>
    </row>
    <row r="5" spans="1:12" x14ac:dyDescent="0.25">
      <c r="J5" s="3" t="s">
        <v>44</v>
      </c>
      <c r="K5" s="40">
        <f>K2</f>
        <v>69.099999999999994</v>
      </c>
      <c r="L5" t="s">
        <v>56</v>
      </c>
    </row>
    <row r="7" spans="1:12" x14ac:dyDescent="0.25">
      <c r="B7" s="43" t="s">
        <v>9</v>
      </c>
      <c r="C7" s="43"/>
      <c r="D7" s="43"/>
      <c r="J7" s="43" t="s">
        <v>48</v>
      </c>
      <c r="K7" s="43"/>
      <c r="L7" s="43"/>
    </row>
    <row r="8" spans="1:12" x14ac:dyDescent="0.25">
      <c r="B8" s="2"/>
      <c r="C8" s="2"/>
      <c r="D8" s="2"/>
      <c r="J8" s="2"/>
      <c r="K8" s="2"/>
      <c r="L8" s="2"/>
    </row>
    <row r="9" spans="1:12" x14ac:dyDescent="0.25">
      <c r="B9" s="30" t="s">
        <v>8</v>
      </c>
      <c r="C9" s="41">
        <v>0.08</v>
      </c>
      <c r="D9" t="s">
        <v>4</v>
      </c>
      <c r="E9" t="s">
        <v>10</v>
      </c>
      <c r="J9" t="s">
        <v>43</v>
      </c>
      <c r="K9" s="25">
        <f>C20*G3*(K4-K12)</f>
        <v>-2948.2669357178097</v>
      </c>
      <c r="L9" t="s">
        <v>47</v>
      </c>
    </row>
    <row r="10" spans="1:12" x14ac:dyDescent="0.25">
      <c r="B10" s="30" t="s">
        <v>6</v>
      </c>
      <c r="C10" s="41">
        <v>0.03</v>
      </c>
      <c r="D10" t="s">
        <v>4</v>
      </c>
      <c r="E10" t="s">
        <v>32</v>
      </c>
      <c r="G10" s="35"/>
      <c r="H10" s="35"/>
      <c r="J10" t="s">
        <v>52</v>
      </c>
      <c r="K10" s="25">
        <f>C21*G4*(K5-K12)</f>
        <v>2948.2669357178092</v>
      </c>
      <c r="L10" t="s">
        <v>47</v>
      </c>
    </row>
    <row r="11" spans="1:12" x14ac:dyDescent="0.25">
      <c r="B11" s="30" t="s">
        <v>5</v>
      </c>
      <c r="C11" s="42">
        <v>3.0000000000000001E-3</v>
      </c>
      <c r="D11" t="s">
        <v>4</v>
      </c>
      <c r="E11" t="s">
        <v>11</v>
      </c>
      <c r="G11" s="35"/>
      <c r="H11" s="35"/>
      <c r="K11" s="27"/>
    </row>
    <row r="12" spans="1:12" x14ac:dyDescent="0.25">
      <c r="B12" s="30" t="s">
        <v>7</v>
      </c>
      <c r="C12">
        <f>C11+C10</f>
        <v>3.3000000000000002E-2</v>
      </c>
      <c r="D12" t="s">
        <v>4</v>
      </c>
      <c r="E12" t="s">
        <v>33</v>
      </c>
      <c r="G12" s="35"/>
      <c r="H12" s="35"/>
      <c r="J12" s="3" t="s">
        <v>55</v>
      </c>
      <c r="K12" s="37">
        <f>(C20*G3*K4+C21*G4*K5)/(C20*G3+C21*G4)</f>
        <v>39.560419189288858</v>
      </c>
      <c r="L12" t="s">
        <v>54</v>
      </c>
    </row>
    <row r="13" spans="1:12" x14ac:dyDescent="0.25">
      <c r="B13" s="30" t="s">
        <v>63</v>
      </c>
      <c r="C13" s="26">
        <f>2*PI()*C10*C9</f>
        <v>1.5079644737231007E-2</v>
      </c>
      <c r="D13" t="s">
        <v>39</v>
      </c>
      <c r="E13" t="s">
        <v>61</v>
      </c>
      <c r="G13" s="35"/>
      <c r="H13" s="35"/>
    </row>
    <row r="14" spans="1:12" x14ac:dyDescent="0.25">
      <c r="B14" s="30" t="s">
        <v>64</v>
      </c>
      <c r="C14" s="26">
        <f>PI()*C10*C10</f>
        <v>2.8274333882308137E-3</v>
      </c>
      <c r="D14" t="s">
        <v>39</v>
      </c>
      <c r="E14" t="s">
        <v>62</v>
      </c>
      <c r="G14" s="35"/>
      <c r="H14" s="35"/>
    </row>
    <row r="15" spans="1:12" x14ac:dyDescent="0.25">
      <c r="G15" s="35"/>
      <c r="H15" s="35"/>
      <c r="I15" s="35"/>
    </row>
    <row r="16" spans="1:12" x14ac:dyDescent="0.25">
      <c r="B16" s="29" t="s">
        <v>50</v>
      </c>
      <c r="C16" s="31">
        <f>G16*1000</f>
        <v>0.22619467105846511</v>
      </c>
      <c r="D16" t="s">
        <v>2</v>
      </c>
      <c r="E16" t="s">
        <v>65</v>
      </c>
      <c r="G16" s="36">
        <f>PI()*C10*C10*C9</f>
        <v>2.261946710584651E-4</v>
      </c>
      <c r="H16" s="35" t="s">
        <v>3</v>
      </c>
      <c r="I16" s="35"/>
    </row>
    <row r="17" spans="2:9" x14ac:dyDescent="0.25">
      <c r="B17" s="29" t="s">
        <v>1</v>
      </c>
      <c r="C17" s="41">
        <v>0.1</v>
      </c>
      <c r="D17" t="s">
        <v>2</v>
      </c>
      <c r="E17" t="s">
        <v>49</v>
      </c>
      <c r="G17" s="36">
        <f>C17/1000</f>
        <v>1E-4</v>
      </c>
      <c r="H17" s="35" t="s">
        <v>3</v>
      </c>
      <c r="I17" s="35"/>
    </row>
    <row r="18" spans="2:9" x14ac:dyDescent="0.25">
      <c r="B18" s="29" t="s">
        <v>51</v>
      </c>
      <c r="C18" s="31">
        <f>G18*1000</f>
        <v>5.3721234376385464E-2</v>
      </c>
      <c r="D18" t="s">
        <v>2</v>
      </c>
      <c r="E18" t="s">
        <v>31</v>
      </c>
      <c r="G18" s="36">
        <f>(C13+C14)*C11</f>
        <v>5.3721234376385463E-5</v>
      </c>
      <c r="H18" s="35" t="s">
        <v>3</v>
      </c>
      <c r="I18" s="35"/>
    </row>
    <row r="19" spans="2:9" x14ac:dyDescent="0.25">
      <c r="G19" s="35"/>
      <c r="H19" s="35"/>
      <c r="I19" s="35"/>
    </row>
    <row r="20" spans="2:9" x14ac:dyDescent="0.25">
      <c r="B20" s="30" t="s">
        <v>37</v>
      </c>
      <c r="C20" s="24">
        <f>F3*C17/1000</f>
        <v>6.5799999999999997E-2</v>
      </c>
      <c r="D20" t="s">
        <v>38</v>
      </c>
      <c r="E20" t="s">
        <v>40</v>
      </c>
      <c r="G20" s="35"/>
      <c r="H20" s="35"/>
    </row>
    <row r="21" spans="2:9" x14ac:dyDescent="0.25">
      <c r="B21" s="30" t="s">
        <v>53</v>
      </c>
      <c r="C21" s="24">
        <f>F4*C18/1000</f>
        <v>0.11952974648745766</v>
      </c>
      <c r="D21" t="s">
        <v>38</v>
      </c>
      <c r="E21" t="s">
        <v>41</v>
      </c>
      <c r="G21" s="35"/>
      <c r="H21" s="35"/>
    </row>
    <row r="22" spans="2:9" x14ac:dyDescent="0.25">
      <c r="G22" s="35"/>
      <c r="H22" s="35"/>
    </row>
    <row r="23" spans="2:9" x14ac:dyDescent="0.25">
      <c r="B23" s="30" t="s">
        <v>42</v>
      </c>
      <c r="C23" s="28">
        <f>C17/C16</f>
        <v>0.44209706414415373</v>
      </c>
      <c r="E23" t="s">
        <v>60</v>
      </c>
    </row>
  </sheetData>
  <sheetProtection algorithmName="SHA-512" hashValue="ZJjqHI4W/koT+6IocGoqx9kikM5Ee/u9Vj4ub7miU00ilxOBo1zd2cwdrfgGyMi4T3eYsyZ+FkwsEqpBEZzT5Q==" saltValue="v5ObmzZAW8cHUfMVw5U8Uw==" spinCount="100000" sheet="1" objects="1" scenarios="1"/>
  <mergeCells count="2">
    <mergeCell ref="B7:D7"/>
    <mergeCell ref="J7:L7"/>
  </mergeCells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2</xdr:col>
                    <xdr:colOff>57150</xdr:colOff>
                    <xdr:row>2</xdr:row>
                    <xdr:rowOff>0</xdr:rowOff>
                  </from>
                  <to>
                    <xdr:col>4</xdr:col>
                    <xdr:colOff>76200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2</xdr:col>
                    <xdr:colOff>57150</xdr:colOff>
                    <xdr:row>3</xdr:row>
                    <xdr:rowOff>19050</xdr:rowOff>
                  </from>
                  <to>
                    <xdr:col>4</xdr:col>
                    <xdr:colOff>76200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H14" sqref="H14"/>
    </sheetView>
  </sheetViews>
  <sheetFormatPr defaultRowHeight="15" x14ac:dyDescent="0.25"/>
  <cols>
    <col min="1" max="1" width="4.5703125" customWidth="1"/>
    <col min="2" max="2" width="14.28515625" bestFit="1" customWidth="1"/>
    <col min="3" max="4" width="9.140625" customWidth="1"/>
  </cols>
  <sheetData>
    <row r="1" spans="1:7" x14ac:dyDescent="0.25">
      <c r="C1" t="s">
        <v>29</v>
      </c>
      <c r="D1" t="s">
        <v>59</v>
      </c>
      <c r="E1" t="s">
        <v>0</v>
      </c>
      <c r="F1" t="s">
        <v>35</v>
      </c>
      <c r="G1" t="s">
        <v>12</v>
      </c>
    </row>
    <row r="2" spans="1:7" x14ac:dyDescent="0.25">
      <c r="B2" s="8" t="s">
        <v>19</v>
      </c>
      <c r="C2" s="15" t="s">
        <v>28</v>
      </c>
      <c r="D2" s="15" t="s">
        <v>57</v>
      </c>
      <c r="E2" s="10" t="s">
        <v>25</v>
      </c>
      <c r="F2" s="11" t="s">
        <v>34</v>
      </c>
      <c r="G2" s="11" t="s">
        <v>36</v>
      </c>
    </row>
    <row r="3" spans="1:7" x14ac:dyDescent="0.25">
      <c r="A3">
        <v>1</v>
      </c>
      <c r="B3" s="7" t="s">
        <v>27</v>
      </c>
      <c r="C3" s="16">
        <v>5.808E-2</v>
      </c>
      <c r="D3" s="18">
        <v>56.05</v>
      </c>
      <c r="E3" s="17">
        <v>791</v>
      </c>
      <c r="F3" s="18">
        <v>125.45</v>
      </c>
      <c r="G3" s="18">
        <f>Tabela1[[#This Row],[Cp'']]/Tabela1[[#This Row],[MM]]</f>
        <v>2159.9517906336087</v>
      </c>
    </row>
    <row r="4" spans="1:7" x14ac:dyDescent="0.25">
      <c r="A4">
        <v>2</v>
      </c>
      <c r="B4" s="7" t="s">
        <v>15</v>
      </c>
      <c r="C4" s="16">
        <v>1.8015283300000001E-2</v>
      </c>
      <c r="D4" s="18">
        <v>100</v>
      </c>
      <c r="E4" s="17">
        <v>997</v>
      </c>
      <c r="F4" s="18">
        <v>75.375</v>
      </c>
      <c r="G4" s="18">
        <f>Tabela1[[#This Row],[Cp'']]/Tabela1[[#This Row],[MM]]</f>
        <v>4183.9475263761187</v>
      </c>
    </row>
    <row r="5" spans="1:7" x14ac:dyDescent="0.25">
      <c r="A5">
        <v>3</v>
      </c>
      <c r="B5" s="7" t="s">
        <v>18</v>
      </c>
      <c r="C5" s="16">
        <v>0.11937</v>
      </c>
      <c r="D5" s="18">
        <v>61.15</v>
      </c>
      <c r="E5" s="17">
        <v>1489</v>
      </c>
      <c r="F5" s="18">
        <v>114.25</v>
      </c>
      <c r="G5" s="18">
        <f>Tabela1[[#This Row],[Cp'']]/Tabela1[[#This Row],[MM]]</f>
        <v>957.10815112674868</v>
      </c>
    </row>
    <row r="6" spans="1:7" x14ac:dyDescent="0.25">
      <c r="A6">
        <v>4</v>
      </c>
      <c r="B6" s="7" t="s">
        <v>16</v>
      </c>
      <c r="C6" s="16">
        <v>8.4930000000000005E-2</v>
      </c>
      <c r="D6" s="18">
        <v>39.6</v>
      </c>
      <c r="E6" s="17">
        <v>1327</v>
      </c>
      <c r="F6" s="18">
        <v>102.3</v>
      </c>
      <c r="G6" s="18">
        <f>Tabela1[[#This Row],[Cp'']]/Tabela1[[#This Row],[MM]]</f>
        <v>1204.5213705404449</v>
      </c>
    </row>
    <row r="7" spans="1:7" x14ac:dyDescent="0.25">
      <c r="A7">
        <v>5</v>
      </c>
      <c r="B7" s="7" t="s">
        <v>14</v>
      </c>
      <c r="C7" s="16">
        <v>4.607E-2</v>
      </c>
      <c r="D7" s="18">
        <v>78.239999999999995</v>
      </c>
      <c r="E7" s="17">
        <v>789</v>
      </c>
      <c r="F7" s="18">
        <v>111.46</v>
      </c>
      <c r="G7" s="18">
        <f>Tabela1[[#This Row],[Cp'']]/Tabela1[[#This Row],[MM]]</f>
        <v>2419.3618406772302</v>
      </c>
    </row>
    <row r="8" spans="1:7" x14ac:dyDescent="0.25">
      <c r="A8">
        <v>6</v>
      </c>
      <c r="B8" s="7" t="s">
        <v>17</v>
      </c>
      <c r="C8" s="16">
        <v>7.4120000000000005E-2</v>
      </c>
      <c r="D8" s="18">
        <v>34.6</v>
      </c>
      <c r="E8" s="17">
        <v>713</v>
      </c>
      <c r="F8" s="18">
        <v>172.5</v>
      </c>
      <c r="G8" s="18">
        <f>Tabela1[[#This Row],[Cp'']]/Tabela1[[#This Row],[MM]]</f>
        <v>2327.3070696168375</v>
      </c>
    </row>
    <row r="9" spans="1:7" x14ac:dyDescent="0.25">
      <c r="A9">
        <v>7</v>
      </c>
      <c r="B9" s="9" t="s">
        <v>13</v>
      </c>
      <c r="C9" s="19">
        <v>8.6180000000000007E-2</v>
      </c>
      <c r="D9" s="21">
        <v>69.099999999999994</v>
      </c>
      <c r="E9" s="20">
        <v>658</v>
      </c>
      <c r="F9" s="21">
        <v>265.2</v>
      </c>
      <c r="G9" s="21">
        <f>Tabela1[[#This Row],[Cp'']]/Tabela1[[#This Row],[MM]]</f>
        <v>3077.2801113947548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workbookViewId="0">
      <selection activeCell="D18" sqref="D18"/>
    </sheetView>
  </sheetViews>
  <sheetFormatPr defaultRowHeight="15" x14ac:dyDescent="0.25"/>
  <cols>
    <col min="1" max="1" width="4.5703125" customWidth="1"/>
    <col min="2" max="2" width="10.7109375" customWidth="1"/>
  </cols>
  <sheetData>
    <row r="1" spans="1:12" x14ac:dyDescent="0.25">
      <c r="C1" t="s">
        <v>0</v>
      </c>
      <c r="D1" t="s">
        <v>12</v>
      </c>
      <c r="E1" t="s">
        <v>12</v>
      </c>
    </row>
    <row r="2" spans="1:12" x14ac:dyDescent="0.25">
      <c r="B2" s="5" t="s">
        <v>30</v>
      </c>
      <c r="C2" s="13" t="s">
        <v>25</v>
      </c>
      <c r="D2" s="12" t="s">
        <v>20</v>
      </c>
      <c r="E2" s="12" t="s">
        <v>26</v>
      </c>
    </row>
    <row r="3" spans="1:12" x14ac:dyDescent="0.25">
      <c r="A3">
        <v>1</v>
      </c>
      <c r="B3" s="6" t="s">
        <v>21</v>
      </c>
      <c r="C3" s="17">
        <v>2225</v>
      </c>
      <c r="D3" s="17">
        <v>835</v>
      </c>
      <c r="E3" s="33">
        <v>1.4</v>
      </c>
    </row>
    <row r="4" spans="1:12" x14ac:dyDescent="0.25">
      <c r="A4">
        <v>2</v>
      </c>
      <c r="B4" s="6" t="s">
        <v>22</v>
      </c>
      <c r="C4" s="17">
        <v>7900</v>
      </c>
      <c r="D4" s="17">
        <v>477</v>
      </c>
      <c r="E4" s="33">
        <v>14.9</v>
      </c>
      <c r="L4" s="1"/>
    </row>
    <row r="5" spans="1:12" x14ac:dyDescent="0.25">
      <c r="A5">
        <v>3</v>
      </c>
      <c r="B5" s="6" t="s">
        <v>24</v>
      </c>
      <c r="C5" s="17">
        <v>900</v>
      </c>
      <c r="D5" s="17">
        <v>1920</v>
      </c>
      <c r="E5" s="33">
        <f>AVERAGE(0.1,0.22)</f>
        <v>0.16</v>
      </c>
      <c r="L5" s="1"/>
    </row>
    <row r="6" spans="1:12" x14ac:dyDescent="0.25">
      <c r="A6">
        <v>4</v>
      </c>
      <c r="B6" s="14" t="s">
        <v>23</v>
      </c>
      <c r="C6" s="20">
        <f>AVERAGE(910,970)</f>
        <v>940</v>
      </c>
      <c r="D6" s="20">
        <f>AVERAGE(1800,2700)</f>
        <v>2250</v>
      </c>
      <c r="E6" s="32">
        <f>AVERAGE(0.42,0.51)</f>
        <v>0.46499999999999997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Cálculo</vt:lpstr>
      <vt:lpstr>Solvente</vt:lpstr>
      <vt:lpstr>Tanque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</dc:creator>
  <cp:lastModifiedBy>Pires</cp:lastModifiedBy>
  <dcterms:created xsi:type="dcterms:W3CDTF">2017-03-03T02:05:56Z</dcterms:created>
  <dcterms:modified xsi:type="dcterms:W3CDTF">2017-03-30T18:51:44Z</dcterms:modified>
</cp:coreProperties>
</file>