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workbookProtection workbookAlgorithmName="SHA-512" workbookHashValue="MIkZ0YP3c5xGzXO4+ztkD40Cu0/y6xCH/0zpuIGbqGYCff/1E+HbHAl1ixU1832brYzuGyhtRiByk6MQqFdu6w==" workbookSaltValue="imZoFOupafVUffdw1vTiOQ==" workbookSpinCount="100000" lockStructure="1"/>
  <bookViews>
    <workbookView xWindow="360" yWindow="300" windowWidth="18735" windowHeight="11700"/>
  </bookViews>
  <sheets>
    <sheet name="Liquid-Liquid Extraction" sheetId="6" r:id="rId1"/>
    <sheet name="Equilibrium" sheetId="5" r:id="rId2"/>
    <sheet name="Figures" sheetId="7" r:id="rId3"/>
    <sheet name="Credits" sheetId="8" r:id="rId4"/>
  </sheets>
  <externalReferences>
    <externalReference r:id="rId5"/>
    <externalReference r:id="rId6"/>
  </externalReferences>
  <definedNames>
    <definedName name="A">Equilibrium!$G$3</definedName>
    <definedName name="A." localSheetId="3">[1]Operation!$C$3</definedName>
    <definedName name="A." localSheetId="0">Equilibrium!$G$3</definedName>
    <definedName name="A.">Equilibrium!$G$3</definedName>
    <definedName name="A..">#REF!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 localSheetId="3">[2]Main!$P$8</definedName>
    <definedName name="B">#REF!</definedName>
    <definedName name="B." localSheetId="3">[1]Operation!$C$4</definedName>
    <definedName name="B." localSheetId="0">Equilibrium!$G$4</definedName>
    <definedName name="B.">Equilibrium!$G$4</definedName>
    <definedName name="B..">#REF!</definedName>
    <definedName name="C." localSheetId="3">[1]Operation!$C$5</definedName>
    <definedName name="C." localSheetId="0">Equilibrium!$G$5</definedName>
    <definedName name="C.">Equilibrium!$G$5</definedName>
    <definedName name="C_">#REF!</definedName>
    <definedName name="const1">#REF!</definedName>
    <definedName name="const10">#REF!</definedName>
    <definedName name="const11">#REF!</definedName>
    <definedName name="const12">#REF!</definedName>
    <definedName name="const13">#REF!</definedName>
    <definedName name="const14">#REF!</definedName>
    <definedName name="const15">#REF!</definedName>
    <definedName name="const16">#REF!</definedName>
    <definedName name="const17">#REF!</definedName>
    <definedName name="const18">#REF!</definedName>
    <definedName name="const19">#REF!</definedName>
    <definedName name="const2">#REF!</definedName>
    <definedName name="const20">#REF!</definedName>
    <definedName name="const3">#REF!</definedName>
    <definedName name="const4">#REF!</definedName>
    <definedName name="const5">#REF!</definedName>
    <definedName name="const6">#REF!</definedName>
    <definedName name="const7">#REF!</definedName>
    <definedName name="const8">#REF!</definedName>
    <definedName name="const9">#REF!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 localSheetId="3">[1]Equilibrium!$R$3</definedName>
    <definedName name="D." localSheetId="0">Equilibrium!$G$7</definedName>
    <definedName name="D.">Equilibrium!$G$7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 localSheetId="3">[1]Equilibrium!$R$4</definedName>
    <definedName name="E.">Equilibrium!$G$8</definedName>
    <definedName name="eu">[2]Main!#REF!</definedName>
    <definedName name="F">[2]Main!$J$15</definedName>
    <definedName name="F." localSheetId="3">[1]Equilibrium!$R$5</definedName>
    <definedName name="F.">Equilibrium!$G$9</definedName>
    <definedName name="f1_0">'Liquid-Liquid Extraction'!#REF!</definedName>
    <definedName name="f2_0">'Liquid-Liquid Extraction'!$G$32</definedName>
    <definedName name="G.">Equilibrium!$O$23</definedName>
    <definedName name="Gi">[2]Main!$M$17</definedName>
    <definedName name="Go">[2]Main!$P$17</definedName>
    <definedName name="H.">Equilibrium!$O$24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I.">Equilibrium!$O$25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 localSheetId="3">[1]Absorption_packed!$B$6</definedName>
    <definedName name="L." localSheetId="0">'Liquid-Liquid Extraction'!#REF!</definedName>
    <definedName name="L.">#REF!</definedName>
    <definedName name="L_" localSheetId="0">'Liquid-Liquid Extraction'!#REF!</definedName>
    <definedName name="L_">#REF!</definedName>
    <definedName name="LA">#REF!</definedName>
    <definedName name="Ln">#REF!</definedName>
    <definedName name="Ln.">'Liquid-Liquid Extraction'!$E$10</definedName>
    <definedName name="Lo" localSheetId="0">'Liquid-Liquid Extraction'!$B$2</definedName>
    <definedName name="Lo">#REF!</definedName>
    <definedName name="Lo.">#REF!</definedName>
    <definedName name="Lt">[2]Main!$M$7</definedName>
    <definedName name="M">'Liquid-Liquid Extraction'!$B$13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d">#REF!</definedName>
    <definedName name="NM">#REF!</definedName>
    <definedName name="Nn">#REF!</definedName>
    <definedName name="Nn_1">#REF!</definedName>
    <definedName name="No">#REF!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[2]Main!#REF!</definedName>
    <definedName name="S.">[2]Main!$J$14</definedName>
    <definedName name="slope.L1.V2">'Liquid-Liquid Extraction'!#REF!</definedName>
    <definedName name="slope.Ln.V1">'Liquid-Liquid Extraction'!#REF!</definedName>
    <definedName name="slope_n">#REF!</definedName>
    <definedName name="solver_adj" localSheetId="1" hidden="1">Equilibrium!$O$23:$O$25</definedName>
    <definedName name="solver_adj" localSheetId="0" hidden="1">Equilibrium!$G$7:$G$9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in" localSheetId="1" hidden="1">2</definedName>
    <definedName name="solver_lin" localSheetId="0" hidden="1">2</definedName>
    <definedName name="solver_neg" localSheetId="1" hidden="1">2</definedName>
    <definedName name="solver_neg" localSheetId="0" hidden="1">2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Equilibrium!$L$26</definedName>
    <definedName name="solver_opt" localSheetId="0" hidden="1">Equilibrium!$D$32</definedName>
    <definedName name="solver_pre" localSheetId="1" hidden="1">0.000001</definedName>
    <definedName name="solver_pre" localSheetId="0" hidden="1">0.000001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" localSheetId="0">'Liquid-Liquid Extraction'!#REF!</definedName>
    <definedName name="V">#REF!</definedName>
    <definedName name="V." localSheetId="3">[1]Absorption_packed!$B$2</definedName>
    <definedName name="V." localSheetId="0">'Liquid-Liquid Extraction'!#REF!</definedName>
    <definedName name="V.">#REF!</definedName>
    <definedName name="V1." localSheetId="0">'Liquid-Liquid Extraction'!$E$9</definedName>
    <definedName name="V1.">#REF!</definedName>
    <definedName name="V1_" localSheetId="0">#REF!</definedName>
    <definedName name="V1_">#REF!</definedName>
    <definedName name="Vc">[2]Main!$C$3</definedName>
    <definedName name="Vn_1" localSheetId="0">'Liquid-Liquid Extraction'!$B$9</definedName>
    <definedName name="Vn_1">#REF!</definedName>
    <definedName name="Vn_1." localSheetId="0">#REF!</definedName>
    <definedName name="Vn_1.">#REF!</definedName>
    <definedName name="x1.">[1]Absorption_packed!$B$9</definedName>
    <definedName name="x2.">[1]Absorption_packed!$B$7</definedName>
    <definedName name="xam" localSheetId="0">'Liquid-Liquid Extraction'!$B$14</definedName>
    <definedName name="xaM">#REF!</definedName>
    <definedName name="xan" localSheetId="0">'Liquid-Liquid Extraction'!$B$6</definedName>
    <definedName name="xan">#REF!</definedName>
    <definedName name="xao" localSheetId="0">'Liquid-Liquid Extraction'!$B$3</definedName>
    <definedName name="xao">#REF!</definedName>
    <definedName name="xbo" localSheetId="0">'Liquid-Liquid Extraction'!$B$4</definedName>
    <definedName name="xbo">#REF!</definedName>
    <definedName name="xcm">'Liquid-Liquid Extraction'!$B$15</definedName>
    <definedName name="xcn">'Liquid-Liquid Extraction'!$B$7</definedName>
    <definedName name="xco" localSheetId="0">'Liquid-Liquid Extraction'!$B$5</definedName>
    <definedName name="xco">#REF!</definedName>
    <definedName name="xn" localSheetId="0">'Liquid-Liquid Extraction'!$B$6</definedName>
    <definedName name="xn">#REF!</definedName>
    <definedName name="xo" localSheetId="0">'Liquid-Liquid Extraction'!$B$3</definedName>
    <definedName name="xo">#REF!</definedName>
    <definedName name="y1.">[1]Absorption_packed!$B$3</definedName>
    <definedName name="y1_" localSheetId="0">'Liquid-Liquid Extraction'!$B$15</definedName>
    <definedName name="y1_">#REF!</definedName>
    <definedName name="y2.">[1]Absorption_packed!$B$4</definedName>
    <definedName name="ya1." localSheetId="0">#REF!</definedName>
    <definedName name="ya1.">#REF!</definedName>
    <definedName name="ya1_" localSheetId="0">'Liquid-Liquid Extraction'!#REF!</definedName>
    <definedName name="ya1_">#REF!</definedName>
    <definedName name="ya10.">#REF!</definedName>
    <definedName name="ya2.">#REF!</definedName>
    <definedName name="ya2_">'Liquid-Liquid Extraction'!$E$32</definedName>
    <definedName name="ya3.">#REF!</definedName>
    <definedName name="ya4.">#REF!</definedName>
    <definedName name="ya5.">#REF!</definedName>
    <definedName name="ya6.">#REF!</definedName>
    <definedName name="ya7.">#REF!</definedName>
    <definedName name="ya8.">#REF!</definedName>
    <definedName name="ya9.">#REF!</definedName>
    <definedName name="yad">#REF!</definedName>
    <definedName name="yaM">#REF!</definedName>
    <definedName name="yan">#REF!</definedName>
    <definedName name="yan_1" localSheetId="0">'Liquid-Liquid Extraction'!$B$10</definedName>
    <definedName name="yan_1">#REF!</definedName>
    <definedName name="yao" localSheetId="0">#REF!</definedName>
    <definedName name="yao">#REF!</definedName>
    <definedName name="yc1_">'Liquid-Liquid Extraction'!#REF!</definedName>
    <definedName name="yc2_">'Liquid-Liquid Extraction'!$D$32</definedName>
    <definedName name="ycn_1" localSheetId="0">'Liquid-Liquid Extraction'!$B$11</definedName>
    <definedName name="ycn_1">#REF!</definedName>
    <definedName name="yco" localSheetId="0">#REF!</definedName>
    <definedName name="yco">#REF!</definedName>
    <definedName name="yn_1" localSheetId="0">'Liquid-Liquid Extraction'!$B$10</definedName>
    <definedName name="yn_1">#REF!</definedName>
  </definedNames>
  <calcPr calcId="171027"/>
</workbook>
</file>

<file path=xl/calcChain.xml><?xml version="1.0" encoding="utf-8"?>
<calcChain xmlns="http://schemas.openxmlformats.org/spreadsheetml/2006/main">
  <c r="C30" i="5" l="1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D32" i="5" l="1"/>
  <c r="D31" i="5"/>
  <c r="E27" i="6" l="1"/>
  <c r="D27" i="6"/>
  <c r="C30" i="6"/>
  <c r="B30" i="6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3" i="5"/>
  <c r="L3" i="5" s="1"/>
  <c r="J30" i="6" l="1"/>
  <c r="K27" i="6"/>
  <c r="L26" i="5"/>
  <c r="B13" i="6"/>
  <c r="B14" i="6"/>
  <c r="C29" i="6" s="1"/>
  <c r="C28" i="6"/>
  <c r="B7" i="6"/>
  <c r="B15" i="6"/>
  <c r="B4" i="6"/>
  <c r="B28" i="6" l="1"/>
  <c r="J28" i="6" s="1"/>
  <c r="B29" i="6"/>
  <c r="J29" i="6" s="1"/>
  <c r="F31" i="6" l="1"/>
  <c r="G31" i="6" s="1"/>
  <c r="D31" i="6" s="1"/>
  <c r="E9" i="6" l="1"/>
  <c r="E10" i="6" s="1"/>
  <c r="E31" i="6"/>
  <c r="K31" i="6" s="1"/>
  <c r="E11" i="6" l="1"/>
  <c r="B19" i="6"/>
  <c r="A19" i="6"/>
  <c r="C31" i="6"/>
  <c r="B31" i="6" l="1"/>
  <c r="H31" i="6" l="1"/>
  <c r="J31" i="6"/>
  <c r="F32" i="6"/>
  <c r="G32" i="6" s="1"/>
  <c r="D32" i="6" s="1"/>
  <c r="E32" i="6" l="1"/>
  <c r="C32" i="6" s="1"/>
  <c r="K32" i="6" l="1"/>
  <c r="B32" i="6"/>
  <c r="H32" i="6" l="1"/>
  <c r="J32" i="6"/>
  <c r="F33" i="6"/>
  <c r="G33" i="6" s="1"/>
  <c r="D33" i="6" l="1"/>
  <c r="E33" i="6" l="1"/>
  <c r="C33" i="6" s="1"/>
  <c r="K33" i="6" l="1"/>
  <c r="B33" i="6"/>
  <c r="H33" i="6" l="1"/>
  <c r="J33" i="6"/>
  <c r="F34" i="6"/>
  <c r="G34" i="6" s="1"/>
  <c r="D34" i="6" s="1"/>
  <c r="E34" i="6" l="1"/>
  <c r="C34" i="6" s="1"/>
  <c r="K34" i="6" l="1"/>
  <c r="B34" i="6"/>
  <c r="H34" i="6" l="1"/>
  <c r="J34" i="6"/>
  <c r="F35" i="6"/>
  <c r="G35" i="6" s="1"/>
  <c r="D35" i="6" l="1"/>
  <c r="E35" i="6" l="1"/>
  <c r="C35" i="6" s="1"/>
  <c r="B35" i="6" l="1"/>
  <c r="K35" i="6"/>
  <c r="H35" i="6" l="1"/>
  <c r="J35" i="6"/>
  <c r="F36" i="6"/>
  <c r="G36" i="6" s="1"/>
  <c r="D36" i="6" s="1"/>
  <c r="E36" i="6" l="1"/>
  <c r="C36" i="6" s="1"/>
  <c r="B36" i="6" l="1"/>
  <c r="K36" i="6"/>
  <c r="H36" i="6" l="1"/>
  <c r="J36" i="6"/>
  <c r="F37" i="6"/>
  <c r="G37" i="6" s="1"/>
  <c r="D37" i="6" s="1"/>
  <c r="E37" i="6" l="1"/>
  <c r="C37" i="6" s="1"/>
  <c r="B37" i="6" l="1"/>
  <c r="F38" i="6" s="1"/>
  <c r="G38" i="6" s="1"/>
  <c r="D38" i="6" s="1"/>
  <c r="K37" i="6"/>
  <c r="E38" i="6" l="1"/>
  <c r="C38" i="6" s="1"/>
  <c r="H37" i="6"/>
  <c r="J37" i="6"/>
  <c r="B38" i="6" l="1"/>
  <c r="K38" i="6"/>
  <c r="H38" i="6" l="1"/>
  <c r="J38" i="6"/>
  <c r="F39" i="6"/>
  <c r="G39" i="6" s="1"/>
  <c r="D39" i="6" s="1"/>
  <c r="E39" i="6" l="1"/>
  <c r="C39" i="6" s="1"/>
  <c r="B39" i="6" l="1"/>
  <c r="K39" i="6"/>
  <c r="H39" i="6" l="1"/>
  <c r="J39" i="6"/>
  <c r="F40" i="6"/>
  <c r="G40" i="6" l="1"/>
  <c r="D40" i="6" s="1"/>
  <c r="E40" i="6" l="1"/>
  <c r="C40" i="6" s="1"/>
  <c r="B40" i="6" l="1"/>
  <c r="K40" i="6"/>
  <c r="H40" i="6" l="1"/>
  <c r="J40" i="6"/>
  <c r="F41" i="6"/>
  <c r="G41" i="6" l="1"/>
  <c r="D41" i="6" s="1"/>
  <c r="E41" i="6" l="1"/>
  <c r="C41" i="6" s="1"/>
  <c r="B41" i="6" l="1"/>
  <c r="K41" i="6"/>
  <c r="H41" i="6" l="1"/>
  <c r="J41" i="6"/>
  <c r="F42" i="6"/>
  <c r="G42" i="6" l="1"/>
  <c r="D42" i="6" s="1"/>
  <c r="E42" i="6" l="1"/>
  <c r="C42" i="6" s="1"/>
  <c r="B42" i="6" l="1"/>
  <c r="K42" i="6"/>
  <c r="H42" i="6" l="1"/>
  <c r="J42" i="6"/>
  <c r="F43" i="6"/>
  <c r="G43" i="6" s="1"/>
  <c r="D43" i="6" s="1"/>
  <c r="E43" i="6" l="1"/>
  <c r="C43" i="6" s="1"/>
  <c r="K43" i="6" l="1"/>
  <c r="B43" i="6"/>
  <c r="F44" i="6" s="1"/>
  <c r="H43" i="6" l="1"/>
  <c r="J43" i="6"/>
  <c r="G44" i="6"/>
  <c r="D44" i="6" s="1"/>
  <c r="E44" i="6" l="1"/>
  <c r="C44" i="6" s="1"/>
  <c r="B44" i="6" l="1"/>
  <c r="K44" i="6"/>
  <c r="H44" i="6" l="1"/>
  <c r="J44" i="6"/>
  <c r="F45" i="6"/>
  <c r="G45" i="6" l="1"/>
  <c r="D45" i="6" s="1"/>
  <c r="E45" i="6" l="1"/>
  <c r="C45" i="6" s="1"/>
  <c r="B45" i="6" l="1"/>
  <c r="F46" i="6" s="1"/>
  <c r="G46" i="6" s="1"/>
  <c r="D46" i="6" s="1"/>
  <c r="K45" i="6"/>
  <c r="E46" i="6" l="1"/>
  <c r="C46" i="6" s="1"/>
  <c r="H45" i="6"/>
  <c r="J45" i="6"/>
  <c r="B46" i="6" l="1"/>
  <c r="K46" i="6"/>
  <c r="J46" i="6" l="1"/>
  <c r="H46" i="6"/>
  <c r="F47" i="6"/>
  <c r="G47" i="6" s="1"/>
  <c r="D47" i="6" s="1"/>
  <c r="E47" i="6" l="1"/>
  <c r="C47" i="6" s="1"/>
  <c r="K47" i="6" l="1"/>
  <c r="B47" i="6"/>
  <c r="H47" i="6" l="1"/>
  <c r="J47" i="6"/>
  <c r="F48" i="6"/>
  <c r="G48" i="6" l="1"/>
  <c r="D48" i="6" s="1"/>
  <c r="E48" i="6" l="1"/>
  <c r="C48" i="6" s="1"/>
  <c r="B48" i="6" l="1"/>
  <c r="K48" i="6"/>
  <c r="J48" i="6" l="1"/>
  <c r="H48" i="6"/>
  <c r="F49" i="6"/>
  <c r="G49" i="6" l="1"/>
  <c r="D49" i="6" s="1"/>
  <c r="E49" i="6" l="1"/>
  <c r="C49" i="6" s="1"/>
  <c r="B49" i="6" l="1"/>
  <c r="K49" i="6"/>
  <c r="H49" i="6" l="1"/>
  <c r="J49" i="6"/>
  <c r="F50" i="6"/>
  <c r="G50" i="6" l="1"/>
  <c r="D50" i="6" s="1"/>
  <c r="E50" i="6" l="1"/>
  <c r="C50" i="6" s="1"/>
  <c r="B50" i="6" s="1"/>
  <c r="H50" i="6" l="1"/>
  <c r="E15" i="6" s="1"/>
  <c r="J50" i="6"/>
  <c r="K50" i="6"/>
</calcChain>
</file>

<file path=xl/sharedStrings.xml><?xml version="1.0" encoding="utf-8"?>
<sst xmlns="http://schemas.openxmlformats.org/spreadsheetml/2006/main" count="89" uniqueCount="61">
  <si>
    <t>Initial Data:</t>
  </si>
  <si>
    <t>Lo</t>
  </si>
  <si>
    <t>kg/h</t>
  </si>
  <si>
    <t>Vn+1</t>
  </si>
  <si>
    <t>Coefficients:</t>
  </si>
  <si>
    <t>A.</t>
  </si>
  <si>
    <t>B.</t>
  </si>
  <si>
    <t>C.</t>
  </si>
  <si>
    <t>D.</t>
  </si>
  <si>
    <t>Nstages</t>
  </si>
  <si>
    <t>Stages:</t>
  </si>
  <si>
    <t>diff x</t>
  </si>
  <si>
    <t>xbo</t>
  </si>
  <si>
    <t>xco</t>
  </si>
  <si>
    <t>xao</t>
  </si>
  <si>
    <t>xan</t>
  </si>
  <si>
    <t>xam</t>
  </si>
  <si>
    <t>xcm</t>
  </si>
  <si>
    <t>M</t>
  </si>
  <si>
    <t>Operating Point:</t>
  </si>
  <si>
    <t>ycn+1</t>
  </si>
  <si>
    <t>yan+1</t>
  </si>
  <si>
    <t>Equilibrium Curve:</t>
  </si>
  <si>
    <t>xc,yc</t>
  </si>
  <si>
    <t>xa,ya</t>
  </si>
  <si>
    <t>xa',ya'</t>
  </si>
  <si>
    <t>E</t>
  </si>
  <si>
    <t>xad</t>
  </si>
  <si>
    <t>xcd</t>
  </si>
  <si>
    <t>E.</t>
  </si>
  <si>
    <t>F.</t>
  </si>
  <si>
    <t>SE1</t>
  </si>
  <si>
    <t>SE2</t>
  </si>
  <si>
    <t>V1.</t>
  </si>
  <si>
    <t>Ln.</t>
  </si>
  <si>
    <t>xcn</t>
  </si>
  <si>
    <t>n</t>
  </si>
  <si>
    <t>xc</t>
  </si>
  <si>
    <t>xa</t>
  </si>
  <si>
    <t>yc</t>
  </si>
  <si>
    <t>ya</t>
  </si>
  <si>
    <t>m</t>
  </si>
  <si>
    <t>slope</t>
  </si>
  <si>
    <t>f(0)</t>
  </si>
  <si>
    <t>delta</t>
  </si>
  <si>
    <t>xa'</t>
  </si>
  <si>
    <t>G.</t>
  </si>
  <si>
    <t>H.</t>
  </si>
  <si>
    <t>I.</t>
  </si>
  <si>
    <t>SE</t>
  </si>
  <si>
    <t>-</t>
  </si>
  <si>
    <t>n+1</t>
  </si>
  <si>
    <t>xb</t>
  </si>
  <si>
    <t>yb</t>
  </si>
  <si>
    <t>Nmax = 20</t>
  </si>
  <si>
    <t>Extract Curve</t>
  </si>
  <si>
    <t>Raffinate Curve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</si>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</sst>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/>
    <xf numFmtId="2" fontId="2" fillId="7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5" fontId="2" fillId="2" borderId="1" xfId="0" applyNumberFormat="1" applyFont="1" applyFill="1" applyBorder="1" applyAlignment="1" applyProtection="1">
      <alignment horizontal="center"/>
      <protection locked="0"/>
    </xf>
    <xf numFmtId="165" fontId="0" fillId="2" borderId="1" xfId="0" applyNumberFormat="1" applyFont="1" applyFill="1" applyBorder="1" applyAlignment="1" applyProtection="1">
      <alignment horizontal="center"/>
      <protection locked="0"/>
    </xf>
    <xf numFmtId="165" fontId="0" fillId="11" borderId="1" xfId="0" applyNumberFormat="1" applyFont="1" applyFill="1" applyBorder="1" applyAlignment="1" applyProtection="1">
      <alignment horizontal="center"/>
      <protection locked="0"/>
    </xf>
    <xf numFmtId="0" fontId="0" fillId="10" borderId="1" xfId="0" applyFont="1" applyFill="1" applyBorder="1" applyAlignment="1" applyProtection="1">
      <alignment horizontal="center"/>
      <protection locked="0"/>
    </xf>
    <xf numFmtId="11" fontId="0" fillId="10" borderId="5" xfId="0" applyNumberFormat="1" applyFont="1" applyFill="1" applyBorder="1" applyAlignment="1" applyProtection="1">
      <alignment horizontal="center"/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0" fontId="0" fillId="10" borderId="1" xfId="0" applyFill="1" applyBorder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0" fillId="0" borderId="0" xfId="0" applyBorder="1"/>
    <xf numFmtId="0" fontId="0" fillId="0" borderId="12" xfId="0" applyBorder="1"/>
    <xf numFmtId="0" fontId="2" fillId="0" borderId="13" xfId="0" applyFont="1" applyBorder="1"/>
    <xf numFmtId="0" fontId="0" fillId="0" borderId="14" xfId="0" applyBorder="1" applyAlignment="1">
      <alignment horizontal="left"/>
    </xf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Equilibrium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Equilibrium!$A$3:$A$30</c:f>
              <c:numCache>
                <c:formatCode>0.000</c:formatCode>
                <c:ptCount val="28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0.19900000000000001</c:v>
                </c:pt>
                <c:pt idx="18">
                  <c:v>0.18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0.100000000000001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0.02</c:v>
                </c:pt>
                <c:pt idx="27">
                  <c:v>0</c:v>
                </c:pt>
              </c:numCache>
            </c:numRef>
          </c:xVal>
          <c:yVal>
            <c:numRef>
              <c:f>Equilibrium!$B$3:$B$30</c:f>
              <c:numCache>
                <c:formatCode>0.000</c:formatCode>
                <c:ptCount val="28"/>
                <c:pt idx="0">
                  <c:v>0</c:v>
                </c:pt>
                <c:pt idx="1">
                  <c:v>4.4999999999999998E-2</c:v>
                </c:pt>
                <c:pt idx="2">
                  <c:v>0.09</c:v>
                </c:pt>
                <c:pt idx="3">
                  <c:v>0.13500000000000001</c:v>
                </c:pt>
                <c:pt idx="4">
                  <c:v>0.17499999999999999</c:v>
                </c:pt>
                <c:pt idx="5">
                  <c:v>0.215</c:v>
                </c:pt>
                <c:pt idx="6">
                  <c:v>0.245</c:v>
                </c:pt>
                <c:pt idx="7">
                  <c:v>0.28000000000000003</c:v>
                </c:pt>
                <c:pt idx="8">
                  <c:v>0.31</c:v>
                </c:pt>
                <c:pt idx="9">
                  <c:v>0.34</c:v>
                </c:pt>
                <c:pt idx="10">
                  <c:v>0.37</c:v>
                </c:pt>
                <c:pt idx="11">
                  <c:v>0.39300000000000002</c:v>
                </c:pt>
                <c:pt idx="12">
                  <c:v>0.41199999999999998</c:v>
                </c:pt>
                <c:pt idx="13">
                  <c:v>0.43</c:v>
                </c:pt>
                <c:pt idx="14">
                  <c:v>0.44500000000000001</c:v>
                </c:pt>
                <c:pt idx="15">
                  <c:v>0.45600000000000002</c:v>
                </c:pt>
                <c:pt idx="16">
                  <c:v>0.46300000000000002</c:v>
                </c:pt>
                <c:pt idx="17">
                  <c:v>0.46200000000000002</c:v>
                </c:pt>
                <c:pt idx="18">
                  <c:v>0.46200000000000002</c:v>
                </c:pt>
                <c:pt idx="19">
                  <c:v>0.45800000000000002</c:v>
                </c:pt>
                <c:pt idx="20">
                  <c:v>0.44</c:v>
                </c:pt>
                <c:pt idx="21">
                  <c:v>0.41</c:v>
                </c:pt>
                <c:pt idx="22">
                  <c:v>0.37</c:v>
                </c:pt>
                <c:pt idx="23">
                  <c:v>0.32</c:v>
                </c:pt>
                <c:pt idx="24">
                  <c:v>0.26</c:v>
                </c:pt>
                <c:pt idx="25">
                  <c:v>0.19</c:v>
                </c:pt>
                <c:pt idx="26">
                  <c:v>0.1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8-48E8-8C81-FC539E41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3552"/>
        <c:axId val="52962816"/>
      </c:scatterChart>
      <c:scatterChart>
        <c:scatterStyle val="smoothMarker"/>
        <c:varyColors val="0"/>
        <c:ser>
          <c:idx val="1"/>
          <c:order val="1"/>
          <c:tx>
            <c:v>modelo</c:v>
          </c:tx>
          <c:spPr>
            <a:ln w="1905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Equilibrium!$A$3:$A$30</c:f>
              <c:numCache>
                <c:formatCode>0.000</c:formatCode>
                <c:ptCount val="28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0.45000000000000101</c:v>
                </c:pt>
                <c:pt idx="12">
                  <c:v>0.40000000000000102</c:v>
                </c:pt>
                <c:pt idx="13">
                  <c:v>0.35000000000000098</c:v>
                </c:pt>
                <c:pt idx="14">
                  <c:v>0.30000000000000099</c:v>
                </c:pt>
                <c:pt idx="15">
                  <c:v>0.250000000000001</c:v>
                </c:pt>
                <c:pt idx="16">
                  <c:v>0.20000000000000101</c:v>
                </c:pt>
                <c:pt idx="17">
                  <c:v>0.19900000000000001</c:v>
                </c:pt>
                <c:pt idx="18">
                  <c:v>0.18</c:v>
                </c:pt>
                <c:pt idx="19">
                  <c:v>0.16</c:v>
                </c:pt>
                <c:pt idx="20">
                  <c:v>0.14000000000000001</c:v>
                </c:pt>
                <c:pt idx="21">
                  <c:v>0.12</c:v>
                </c:pt>
                <c:pt idx="22">
                  <c:v>0.100000000000001</c:v>
                </c:pt>
                <c:pt idx="23">
                  <c:v>0.08</c:v>
                </c:pt>
                <c:pt idx="24">
                  <c:v>0.06</c:v>
                </c:pt>
                <c:pt idx="25">
                  <c:v>0.04</c:v>
                </c:pt>
                <c:pt idx="26">
                  <c:v>0.02</c:v>
                </c:pt>
                <c:pt idx="27">
                  <c:v>0</c:v>
                </c:pt>
              </c:numCache>
            </c:numRef>
          </c:xVal>
          <c:yVal>
            <c:numRef>
              <c:f>Equilibrium!$C$3:$C$30</c:f>
              <c:numCache>
                <c:formatCode>0.000</c:formatCode>
                <c:ptCount val="28"/>
                <c:pt idx="0">
                  <c:v>-5.0728543310604168E-3</c:v>
                </c:pt>
                <c:pt idx="1">
                  <c:v>4.3803059999996563E-2</c:v>
                </c:pt>
                <c:pt idx="2">
                  <c:v>9.0084911051517724E-2</c:v>
                </c:pt>
                <c:pt idx="3">
                  <c:v>0.13377269882350329</c:v>
                </c:pt>
                <c:pt idx="4">
                  <c:v>0.17486642331595309</c:v>
                </c:pt>
                <c:pt idx="5">
                  <c:v>0.21336608452886729</c:v>
                </c:pt>
                <c:pt idx="6">
                  <c:v>0.24927168246224582</c:v>
                </c:pt>
                <c:pt idx="7">
                  <c:v>0.28258321711608858</c:v>
                </c:pt>
                <c:pt idx="8">
                  <c:v>0.31330068849039566</c:v>
                </c:pt>
                <c:pt idx="9">
                  <c:v>0.34142409658516704</c:v>
                </c:pt>
                <c:pt idx="10">
                  <c:v>0.36695344140040276</c:v>
                </c:pt>
                <c:pt idx="11">
                  <c:v>0.38988872293610238</c:v>
                </c:pt>
                <c:pt idx="12">
                  <c:v>0.41022994119226674</c:v>
                </c:pt>
                <c:pt idx="13">
                  <c:v>0.42797709616889551</c:v>
                </c:pt>
                <c:pt idx="14">
                  <c:v>0.44313018786598851</c:v>
                </c:pt>
                <c:pt idx="15">
                  <c:v>0.45568921628354581</c:v>
                </c:pt>
                <c:pt idx="16">
                  <c:v>0.46199999999999974</c:v>
                </c:pt>
                <c:pt idx="17">
                  <c:v>0.46236680000000008</c:v>
                </c:pt>
                <c:pt idx="18">
                  <c:v>0.46432000000000007</c:v>
                </c:pt>
                <c:pt idx="19">
                  <c:v>0.45608000000000004</c:v>
                </c:pt>
                <c:pt idx="20">
                  <c:v>0.43728000000000017</c:v>
                </c:pt>
                <c:pt idx="21">
                  <c:v>0.40792</c:v>
                </c:pt>
                <c:pt idx="22">
                  <c:v>0.36800000000000233</c:v>
                </c:pt>
                <c:pt idx="23">
                  <c:v>0.31752000000000002</c:v>
                </c:pt>
                <c:pt idx="24">
                  <c:v>0.25647999999999999</c:v>
                </c:pt>
                <c:pt idx="25">
                  <c:v>0.18488000000000002</c:v>
                </c:pt>
                <c:pt idx="26">
                  <c:v>0.10271999999999999</c:v>
                </c:pt>
                <c:pt idx="2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8-48E8-8C81-FC539E419509}"/>
            </c:ext>
          </c:extLst>
        </c:ser>
        <c:ser>
          <c:idx val="2"/>
          <c:order val="2"/>
          <c:tx>
            <c:v>reta45</c:v>
          </c:tx>
          <c:spPr>
            <a:ln w="254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Extraction'!$B$10,'Liquid-Liquid Extraction'!$B$11)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('Liquid-Liquid Extraction'!$B$11,'Liquid-Liquid Extraction'!$B$10)</c:f>
              <c:numCache>
                <c:formatCode>0.000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D8-48E8-8C81-FC539E419509}"/>
            </c:ext>
          </c:extLst>
        </c:ser>
        <c:ser>
          <c:idx val="3"/>
          <c:order val="3"/>
          <c:tx>
            <c:v>Vn+1.Lo</c:v>
          </c:tx>
          <c:spPr>
            <a:ln w="25400" cap="flat" cmpd="sng" algn="ctr">
              <a:solidFill>
                <a:schemeClr val="dk1"/>
              </a:solidFill>
              <a:prstDash val="dash"/>
            </a:ln>
            <a:effectLst/>
          </c:spPr>
          <c:marker>
            <c:symbol val="none"/>
          </c:marker>
          <c:xVal>
            <c:numRef>
              <c:f>('Liquid-Liquid Extraction'!$B$11,'Liquid-Liquid Extraction'!$B$5)</c:f>
              <c:numCache>
                <c:formatCode>0.000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('Liquid-Liquid Extraction'!$B$10,'Liquid-Liquid Extraction'!$B$3)</c:f>
              <c:numCache>
                <c:formatCode>0.000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D8-48E8-8C81-FC539E419509}"/>
            </c:ext>
          </c:extLst>
        </c:ser>
        <c:ser>
          <c:idx val="4"/>
          <c:order val="4"/>
          <c:tx>
            <c:v>Ln.M.V1</c:v>
          </c:tx>
          <c:spPr>
            <a:ln w="25400" cap="flat" cmpd="sng" algn="ctr">
              <a:solidFill>
                <a:schemeClr val="dk1"/>
              </a:solidFill>
              <a:prstDash val="dash"/>
            </a:ln>
            <a:effectLst/>
          </c:spPr>
          <c:marker>
            <c:symbol val="none"/>
          </c:marker>
          <c:xVal>
            <c:numRef>
              <c:f>('Liquid-Liquid Extraction'!$B$28,'Liquid-Liquid Extraction'!$B$29,'Liquid-Liquid Extraction'!$D$31)</c:f>
              <c:numCache>
                <c:formatCode>0.000</c:formatCode>
                <c:ptCount val="3"/>
                <c:pt idx="0">
                  <c:v>8.3511404955101867E-3</c:v>
                </c:pt>
                <c:pt idx="1">
                  <c:v>0.5</c:v>
                </c:pt>
                <c:pt idx="2">
                  <c:v>0.62246713743597992</c:v>
                </c:pt>
              </c:numCache>
            </c:numRef>
          </c:xVal>
          <c:yVal>
            <c:numRef>
              <c:f>('Liquid-Liquid Extraction'!$C$28,'Liquid-Liquid Extraction'!$C$29,'Liquid-Liquid Extraction'!$E$31)</c:f>
              <c:numCache>
                <c:formatCode>0.000</c:formatCode>
                <c:ptCount val="3"/>
                <c:pt idx="0">
                  <c:v>0.05</c:v>
                </c:pt>
                <c:pt idx="1">
                  <c:v>0.25</c:v>
                </c:pt>
                <c:pt idx="2">
                  <c:v>0.29981894499233014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FD8-48E8-8C81-FC539E419509}"/>
            </c:ext>
          </c:extLst>
        </c:ser>
        <c:ser>
          <c:idx val="5"/>
          <c:order val="5"/>
          <c:tx>
            <c:v>d.Lo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Extraction'!$B$5,'Liquid-Liquid Extraction'!$A$19)</c:f>
              <c:numCache>
                <c:formatCode>0.00000</c:formatCode>
                <c:ptCount val="2"/>
                <c:pt idx="0" formatCode="0.000">
                  <c:v>0</c:v>
                </c:pt>
                <c:pt idx="1">
                  <c:v>1.6579112123142017</c:v>
                </c:pt>
              </c:numCache>
            </c:numRef>
          </c:xVal>
          <c:yVal>
            <c:numRef>
              <c:f>('Liquid-Liquid Extraction'!$B$3,'Liquid-Liquid Extraction'!$B$19)</c:f>
              <c:numCache>
                <c:formatCode>0.00000</c:formatCode>
                <c:ptCount val="2"/>
                <c:pt idx="0" formatCode="0.000">
                  <c:v>0.5</c:v>
                </c:pt>
                <c:pt idx="1">
                  <c:v>-3.3172589571823966E-2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D8-48E8-8C81-FC539E419509}"/>
            </c:ext>
          </c:extLst>
        </c:ser>
        <c:ser>
          <c:idx val="7"/>
          <c:order val="6"/>
          <c:tx>
            <c:v>d.L1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Extraction'!$B$31)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0.13781812354624595</c:v>
                </c:pt>
              </c:numCache>
            </c:numRef>
          </c:xVal>
          <c:yVal>
            <c:numRef>
              <c:f>('Liquid-Liquid Extraction'!$B$19,'Liquid-Liquid Extraction'!$C$31)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0.43459018102953556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FD8-48E8-8C81-FC539E419509}"/>
            </c:ext>
          </c:extLst>
        </c:ser>
        <c:ser>
          <c:idx val="8"/>
          <c:order val="7"/>
          <c:tx>
            <c:v>d.L2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Extraction'!$B$32)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0.12478569868342466</c:v>
                </c:pt>
              </c:numCache>
            </c:numRef>
          </c:xVal>
          <c:yVal>
            <c:numRef>
              <c:f>('Liquid-Liquid Extraction'!$B$19,'Liquid-Liquid Extraction'!$C$32)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0.41590651168276299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D8-48E8-8C81-FC539E419509}"/>
            </c:ext>
          </c:extLst>
        </c:ser>
        <c:ser>
          <c:idx val="6"/>
          <c:order val="8"/>
          <c:tx>
            <c:v>d.L3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Extraction'!$B$33)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0.11262829672603224</c:v>
                </c:pt>
              </c:numCache>
            </c:numRef>
          </c:xVal>
          <c:yVal>
            <c:numRef>
              <c:f>('Liquid-Liquid Extraction'!$B$19,'Liquid-Liquid Extraction'!$C$33)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0.39443489540858351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FD8-48E8-8C81-FC539E419509}"/>
            </c:ext>
          </c:extLst>
        </c:ser>
        <c:ser>
          <c:idx val="9"/>
          <c:order val="9"/>
          <c:tx>
            <c:v>d.L4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Extraction'!$B$34)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0.10075202693440752</c:v>
                </c:pt>
              </c:numCache>
            </c:numRef>
          </c:xVal>
          <c:yVal>
            <c:numRef>
              <c:f>('Liquid-Liquid Extraction'!$B$19,'Liquid-Liquid Extraction'!$C$34)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0.36969211568422811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FD8-48E8-8C81-FC539E419509}"/>
            </c:ext>
          </c:extLst>
        </c:ser>
        <c:ser>
          <c:idx val="10"/>
          <c:order val="10"/>
          <c:tx>
            <c:v>d.L5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Extraction'!$B$35)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8.884124736484722E-2</c:v>
                </c:pt>
              </c:numCache>
            </c:numRef>
          </c:xVal>
          <c:yVal>
            <c:numRef>
              <c:f>('Liquid-Liquid Extraction'!$B$19,'Liquid-Liquid Extraction'!$C$35)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0.34113758460763743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FD8-48E8-8C81-FC539E419509}"/>
            </c:ext>
          </c:extLst>
        </c:ser>
        <c:ser>
          <c:idx val="11"/>
          <c:order val="11"/>
          <c:tx>
            <c:v>d.L6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Extraction'!$B$36)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7.6724019749015757E-2</c:v>
                </c:pt>
              </c:numCache>
            </c:numRef>
          </c:xVal>
          <c:yVal>
            <c:numRef>
              <c:f>('Liquid-Liquid Extraction'!$B$19,'Liquid-Liquid Extraction'!$C$36)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0.30824490404507215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FD8-48E8-8C81-FC539E419509}"/>
            </c:ext>
          </c:extLst>
        </c:ser>
        <c:ser>
          <c:idx val="12"/>
          <c:order val="12"/>
          <c:tx>
            <c:v>d.L7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Extraction'!$B$37)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6.4326305824071783E-2</c:v>
                </c:pt>
              </c:numCache>
            </c:numRef>
          </c:xVal>
          <c:yVal>
            <c:numRef>
              <c:f>('Liquid-Liquid Extraction'!$B$19,'Liquid-Liquid Extraction'!$C$37)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0.27057896674112125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FD8-48E8-8C81-FC539E419509}"/>
            </c:ext>
          </c:extLst>
        </c:ser>
        <c:ser>
          <c:idx val="13"/>
          <c:order val="13"/>
          <c:tx>
            <c:v>d.L8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Extraction'!$B$38)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5.1655751709270691E-2</c:v>
                </c:pt>
              </c:numCache>
            </c:numRef>
          </c:xVal>
          <c:yVal>
            <c:numRef>
              <c:f>('Liquid-Liquid Extraction'!$B$19,'Liquid-Liquid Extraction'!$C$38)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0.22789140313804881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FD8-48E8-8C81-FC539E419509}"/>
            </c:ext>
          </c:extLst>
        </c:ser>
        <c:ser>
          <c:idx val="14"/>
          <c:order val="14"/>
          <c:tx>
            <c:v>d.L9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Extraction'!$B$39)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3.8794747905867989E-2</c:v>
                </c:pt>
              </c:numCache>
            </c:numRef>
          </c:xVal>
          <c:yVal>
            <c:numRef>
              <c:f>('Liquid-Liquid Extraction'!$B$19,'Liquid-Liquid Extraction'!$C$39)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0.1802278361996992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FD8-48E8-8C81-FC539E419509}"/>
            </c:ext>
          </c:extLst>
        </c:ser>
        <c:ser>
          <c:idx val="15"/>
          <c:order val="15"/>
          <c:tx>
            <c:v>d.L10</c:v>
          </c:tx>
          <c:marker>
            <c:symbol val="none"/>
          </c:marker>
          <c:dPt>
            <c:idx val="1"/>
            <c:bubble3D val="0"/>
            <c:spPr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10-BFD8-48E8-8C81-FC539E419509}"/>
              </c:ext>
            </c:extLst>
          </c:dPt>
          <c:xVal>
            <c:numRef>
              <c:f>('Liquid-Liquid Extraction'!$A$19,'Liquid-Liquid Extraction'!$B$40)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2.5892990975197375E-2</c:v>
                </c:pt>
              </c:numCache>
            </c:numRef>
          </c:xVal>
          <c:yVal>
            <c:numRef>
              <c:f>('Liquid-Liquid Extraction'!$B$19,'Liquid-Liquid Extraction'!$C$40)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0.12802575562079738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FD8-48E8-8C81-FC539E419509}"/>
            </c:ext>
          </c:extLst>
        </c:ser>
        <c:ser>
          <c:idx val="21"/>
          <c:order val="16"/>
          <c:tx>
            <c:v>V1.L1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Extraction'!$B$31,'Liquid-Liquid Extraction'!$D$31)</c:f>
              <c:numCache>
                <c:formatCode>0.000</c:formatCode>
                <c:ptCount val="2"/>
                <c:pt idx="0">
                  <c:v>0.13781812354624595</c:v>
                </c:pt>
                <c:pt idx="1">
                  <c:v>0.62246713743597992</c:v>
                </c:pt>
              </c:numCache>
            </c:numRef>
          </c:xVal>
          <c:yVal>
            <c:numRef>
              <c:f>('Liquid-Liquid Extraction'!$C$31,'Liquid-Liquid Extraction'!$E$31)</c:f>
              <c:numCache>
                <c:formatCode>0.000</c:formatCode>
                <c:ptCount val="2"/>
                <c:pt idx="0">
                  <c:v>0.43459018102953556</c:v>
                </c:pt>
                <c:pt idx="1">
                  <c:v>0.29981894499233014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FD8-48E8-8C81-FC539E419509}"/>
            </c:ext>
          </c:extLst>
        </c:ser>
        <c:ser>
          <c:idx val="22"/>
          <c:order val="17"/>
          <c:tx>
            <c:v>V2.L2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Extraction'!$B$32,'Liquid-Liquid Extraction'!$D$32)</c:f>
              <c:numCache>
                <c:formatCode>0.000</c:formatCode>
                <c:ptCount val="2"/>
                <c:pt idx="0">
                  <c:v>0.12478569868342466</c:v>
                </c:pt>
                <c:pt idx="1">
                  <c:v>0.66642247934576215</c:v>
                </c:pt>
              </c:numCache>
            </c:numRef>
          </c:xVal>
          <c:yVal>
            <c:numRef>
              <c:f>('Liquid-Liquid Extraction'!$C$32,'Liquid-Liquid Extraction'!$E$32)</c:f>
              <c:numCache>
                <c:formatCode>0.000</c:formatCode>
                <c:ptCount val="2"/>
                <c:pt idx="0">
                  <c:v>0.41590651168276299</c:v>
                </c:pt>
                <c:pt idx="1">
                  <c:v>0.27192814417945338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FD8-48E8-8C81-FC539E419509}"/>
            </c:ext>
          </c:extLst>
        </c:ser>
        <c:ser>
          <c:idx val="23"/>
          <c:order val="18"/>
          <c:tx>
            <c:v>V3.L3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Extraction'!$B$33,'Liquid-Liquid Extraction'!$D$33)</c:f>
              <c:numCache>
                <c:formatCode>0.000</c:formatCode>
                <c:ptCount val="2"/>
                <c:pt idx="0">
                  <c:v>0.11262829672603224</c:v>
                </c:pt>
                <c:pt idx="1">
                  <c:v>0.70461952253799909</c:v>
                </c:pt>
              </c:numCache>
            </c:numRef>
          </c:xVal>
          <c:yVal>
            <c:numRef>
              <c:f>('Liquid-Liquid Extraction'!$C$33,'Liquid-Liquid Extraction'!$E$33)</c:f>
              <c:numCache>
                <c:formatCode>0.000</c:formatCode>
                <c:ptCount val="2"/>
                <c:pt idx="0">
                  <c:v>0.39443489540858351</c:v>
                </c:pt>
                <c:pt idx="1">
                  <c:v>0.24606310996612255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FD8-48E8-8C81-FC539E419509}"/>
            </c:ext>
          </c:extLst>
        </c:ser>
        <c:ser>
          <c:idx val="24"/>
          <c:order val="19"/>
          <c:tx>
            <c:v>V4.L4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Extraction'!$B$34,'Liquid-Liquid Extraction'!$D$34)</c:f>
              <c:numCache>
                <c:formatCode>0.000</c:formatCode>
                <c:ptCount val="2"/>
                <c:pt idx="0">
                  <c:v>0.10075202693440752</c:v>
                </c:pt>
                <c:pt idx="1">
                  <c:v>0.7398354705707072</c:v>
                </c:pt>
              </c:numCache>
            </c:numRef>
          </c:xVal>
          <c:yVal>
            <c:numRef>
              <c:f>('Liquid-Liquid Extraction'!$C$34,'Liquid-Liquid Extraction'!$E$34)</c:f>
              <c:numCache>
                <c:formatCode>0.000</c:formatCode>
                <c:ptCount val="2"/>
                <c:pt idx="0">
                  <c:v>0.36969211568422811</c:v>
                </c:pt>
                <c:pt idx="1">
                  <c:v>0.22087542648291547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FD8-48E8-8C81-FC539E419509}"/>
            </c:ext>
          </c:extLst>
        </c:ser>
        <c:ser>
          <c:idx val="25"/>
          <c:order val="20"/>
          <c:tx>
            <c:v>V5.L5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Extraction'!$B$35,'Liquid-Liquid Extraction'!$D$35)</c:f>
              <c:numCache>
                <c:formatCode>0.000</c:formatCode>
                <c:ptCount val="2"/>
                <c:pt idx="0">
                  <c:v>8.884124736484722E-2</c:v>
                </c:pt>
                <c:pt idx="1">
                  <c:v>0.7734098515508</c:v>
                </c:pt>
              </c:numCache>
            </c:numRef>
          </c:xVal>
          <c:yVal>
            <c:numRef>
              <c:f>('Liquid-Liquid Extraction'!$C$35,'Liquid-Liquid Extraction'!$E$35)</c:f>
              <c:numCache>
                <c:formatCode>0.000</c:formatCode>
                <c:ptCount val="2"/>
                <c:pt idx="0">
                  <c:v>0.34113758460763743</c:v>
                </c:pt>
                <c:pt idx="1">
                  <c:v>0.19566360350859907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FD8-48E8-8C81-FC539E419509}"/>
            </c:ext>
          </c:extLst>
        </c:ser>
        <c:ser>
          <c:idx val="26"/>
          <c:order val="21"/>
          <c:tx>
            <c:v>V6.L6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Extraction'!$B$36,'Liquid-Liquid Extraction'!$D$36)</c:f>
              <c:numCache>
                <c:formatCode>0.000</c:formatCode>
                <c:ptCount val="2"/>
                <c:pt idx="0">
                  <c:v>7.6724019749015757E-2</c:v>
                </c:pt>
                <c:pt idx="1">
                  <c:v>0.80602959322291479</c:v>
                </c:pt>
              </c:numCache>
            </c:numRef>
          </c:xVal>
          <c:yVal>
            <c:numRef>
              <c:f>('Liquid-Liquid Extraction'!$C$36,'Liquid-Liquid Extraction'!$E$36)</c:f>
              <c:numCache>
                <c:formatCode>0.000</c:formatCode>
                <c:ptCount val="2"/>
                <c:pt idx="0">
                  <c:v>0.30824490404507215</c:v>
                </c:pt>
                <c:pt idx="1">
                  <c:v>0.17004840397554372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FD8-48E8-8C81-FC539E419509}"/>
            </c:ext>
          </c:extLst>
        </c:ser>
        <c:ser>
          <c:idx val="27"/>
          <c:order val="22"/>
          <c:tx>
            <c:v>V7.L7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Extraction'!$B$37,'Liquid-Liquid Extraction'!$D$37)</c:f>
              <c:numCache>
                <c:formatCode>0.000</c:formatCode>
                <c:ptCount val="2"/>
                <c:pt idx="0">
                  <c:v>6.4326305824071783E-2</c:v>
                </c:pt>
                <c:pt idx="1">
                  <c:v>0.83800841772318657</c:v>
                </c:pt>
              </c:numCache>
            </c:numRef>
          </c:xVal>
          <c:yVal>
            <c:numRef>
              <c:f>('Liquid-Liquid Extraction'!$C$37,'Liquid-Liquid Extraction'!$E$37)</c:f>
              <c:numCache>
                <c:formatCode>0.000</c:formatCode>
                <c:ptCount val="2"/>
                <c:pt idx="0">
                  <c:v>0.27057896674112125</c:v>
                </c:pt>
                <c:pt idx="1">
                  <c:v>0.14386473937631883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FD8-48E8-8C81-FC539E419509}"/>
            </c:ext>
          </c:extLst>
        </c:ser>
        <c:ser>
          <c:idx val="28"/>
          <c:order val="23"/>
          <c:tx>
            <c:v>V8.L8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Extraction'!$B$38,'Liquid-Liquid Extraction'!$D$38)</c:f>
              <c:numCache>
                <c:formatCode>0.000</c:formatCode>
                <c:ptCount val="2"/>
                <c:pt idx="0">
                  <c:v>5.1655751709270691E-2</c:v>
                </c:pt>
                <c:pt idx="1">
                  <c:v>0.86940755192609498</c:v>
                </c:pt>
              </c:numCache>
            </c:numRef>
          </c:xVal>
          <c:yVal>
            <c:numRef>
              <c:f>('Liquid-Liquid Extraction'!$C$38,'Liquid-Liquid Extraction'!$E$38)</c:f>
              <c:numCache>
                <c:formatCode>0.000</c:formatCode>
                <c:ptCount val="2"/>
                <c:pt idx="0">
                  <c:v>0.22789140313804881</c:v>
                </c:pt>
                <c:pt idx="1">
                  <c:v>0.11712327042653686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FD8-48E8-8C81-FC539E419509}"/>
            </c:ext>
          </c:extLst>
        </c:ser>
        <c:ser>
          <c:idx val="29"/>
          <c:order val="24"/>
          <c:tx>
            <c:v>V9.L9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Extraction'!$B$39,'Liquid-Liquid Extraction'!$D$39)</c:f>
              <c:numCache>
                <c:formatCode>0.000</c:formatCode>
                <c:ptCount val="2"/>
                <c:pt idx="0">
                  <c:v>3.8794747905867989E-2</c:v>
                </c:pt>
                <c:pt idx="1">
                  <c:v>0.90010108936217093</c:v>
                </c:pt>
              </c:numCache>
            </c:numRef>
          </c:xVal>
          <c:yVal>
            <c:numRef>
              <c:f>('Liquid-Liquid Extraction'!$C$39,'Liquid-Liquid Extraction'!$E$39)</c:f>
              <c:numCache>
                <c:formatCode>0.000</c:formatCode>
                <c:ptCount val="2"/>
                <c:pt idx="0">
                  <c:v>0.1802278361996992</c:v>
                </c:pt>
                <c:pt idx="1">
                  <c:v>8.9993956015706367E-2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FD8-48E8-8C81-FC539E419509}"/>
            </c:ext>
          </c:extLst>
        </c:ser>
        <c:ser>
          <c:idx val="30"/>
          <c:order val="25"/>
          <c:tx>
            <c:v>V10.L10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Extraction'!$B$40,'Liquid-Liquid Extraction'!$D$40)</c:f>
              <c:numCache>
                <c:formatCode>0.000</c:formatCode>
                <c:ptCount val="2"/>
                <c:pt idx="0">
                  <c:v>2.5892990975197375E-2</c:v>
                </c:pt>
                <c:pt idx="1">
                  <c:v>0.9298255000996305</c:v>
                </c:pt>
              </c:numCache>
            </c:numRef>
          </c:xVal>
          <c:yVal>
            <c:numRef>
              <c:f>('Liquid-Liquid Extraction'!$C$40,'Liquid-Liquid Extraction'!$E$40)</c:f>
              <c:numCache>
                <c:formatCode>0.000</c:formatCode>
                <c:ptCount val="2"/>
                <c:pt idx="0">
                  <c:v>0.12802575562079738</c:v>
                </c:pt>
                <c:pt idx="1">
                  <c:v>6.2789501111708057E-2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FD8-48E8-8C81-FC539E419509}"/>
            </c:ext>
          </c:extLst>
        </c:ser>
        <c:ser>
          <c:idx val="16"/>
          <c:order val="26"/>
          <c:tx>
            <c:v>d.L11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Extraction'!$B$41)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1.3154052461010287E-2</c:v>
                </c:pt>
              </c:numCache>
            </c:numRef>
          </c:xVal>
          <c:yVal>
            <c:numRef>
              <c:f>('Liquid-Liquid Extraction'!$B$19,'Liquid-Liquid Extraction'!$C$41)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7.217087298980987E-2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FD8-48E8-8C81-FC539E419509}"/>
            </c:ext>
          </c:extLst>
        </c:ser>
        <c:ser>
          <c:idx val="17"/>
          <c:order val="27"/>
          <c:tx>
            <c:v>d.L12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Extraction'!$B$42)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8.1385926267042339E-4</c:v>
                </c:pt>
              </c:numCache>
            </c:numRef>
          </c:xVal>
          <c:yVal>
            <c:numRef>
              <c:f>('Liquid-Liquid Extraction'!$B$19,'Liquid-Liquid Extraction'!$C$42)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1.3979167144012613E-2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FD8-48E8-8C81-FC539E419509}"/>
            </c:ext>
          </c:extLst>
        </c:ser>
        <c:ser>
          <c:idx val="18"/>
          <c:order val="28"/>
          <c:tx>
            <c:v>d.L13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Extraction'!$B$43)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-1.0887332806866474E-2</c:v>
                </c:pt>
              </c:numCache>
            </c:numRef>
          </c:xVal>
          <c:yVal>
            <c:numRef>
              <c:f>('Liquid-Liquid Extraction'!$B$19,'Liquid-Liquid Extraction'!$C$43)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-4.4912579760192244E-2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FD8-48E8-8C81-FC539E419509}"/>
            </c:ext>
          </c:extLst>
        </c:ser>
        <c:ser>
          <c:idx val="19"/>
          <c:order val="29"/>
          <c:tx>
            <c:v>d.L14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Extraction'!$B$44)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-2.1734614170821093E-2</c:v>
                </c:pt>
              </c:numCache>
            </c:numRef>
          </c:xVal>
          <c:yVal>
            <c:numRef>
              <c:f>('Liquid-Liquid Extraction'!$B$19,'Liquid-Liquid Extraction'!$C$44)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-0.10273520301866212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FD8-48E8-8C81-FC539E419509}"/>
            </c:ext>
          </c:extLst>
        </c:ser>
        <c:ser>
          <c:idx val="20"/>
          <c:order val="30"/>
          <c:tx>
            <c:v>d.L15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Extraction'!$A$19,'Liquid-Liquid Extraction'!$B$45)</c:f>
              <c:numCache>
                <c:formatCode>0.000</c:formatCode>
                <c:ptCount val="2"/>
                <c:pt idx="0" formatCode="0.00000">
                  <c:v>1.6579112123142017</c:v>
                </c:pt>
                <c:pt idx="1">
                  <c:v>-3.1563384223022128E-2</c:v>
                </c:pt>
              </c:numCache>
            </c:numRef>
          </c:xVal>
          <c:yVal>
            <c:numRef>
              <c:f>('Liquid-Liquid Extraction'!$B$19,'Liquid-Liquid Extraction'!$C$45)</c:f>
              <c:numCache>
                <c:formatCode>0.000</c:formatCode>
                <c:ptCount val="2"/>
                <c:pt idx="0" formatCode="0.00000">
                  <c:v>-3.3172589571823966E-2</c:v>
                </c:pt>
                <c:pt idx="1">
                  <c:v>-0.157811046044462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FD8-48E8-8C81-FC539E419509}"/>
            </c:ext>
          </c:extLst>
        </c:ser>
        <c:ser>
          <c:idx val="31"/>
          <c:order val="31"/>
          <c:tx>
            <c:v>V11.L11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Extraction'!$B$41,'Liquid-Liquid Extraction'!$D$41)</c:f>
              <c:numCache>
                <c:formatCode>0.000</c:formatCode>
                <c:ptCount val="2"/>
                <c:pt idx="0">
                  <c:v>1.3154052461010287E-2</c:v>
                </c:pt>
                <c:pt idx="1">
                  <c:v>0.95822981087209314</c:v>
                </c:pt>
              </c:numCache>
            </c:numRef>
          </c:xVal>
          <c:yVal>
            <c:numRef>
              <c:f>('Liquid-Liquid Extraction'!$C$41,'Liquid-Liquid Extraction'!$E$41)</c:f>
              <c:numCache>
                <c:formatCode>0.000</c:formatCode>
                <c:ptCount val="2"/>
                <c:pt idx="0">
                  <c:v>7.217087298980987E-2</c:v>
                </c:pt>
                <c:pt idx="1">
                  <c:v>3.5936616808227684E-2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FD8-48E8-8C81-FC539E419509}"/>
            </c:ext>
          </c:extLst>
        </c:ser>
        <c:ser>
          <c:idx val="32"/>
          <c:order val="32"/>
          <c:tx>
            <c:v>V12.L12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Extraction'!$B$42,'Liquid-Liquid Extraction'!$D$42)</c:f>
              <c:numCache>
                <c:formatCode>0.000</c:formatCode>
                <c:ptCount val="2"/>
                <c:pt idx="0">
                  <c:v>8.1385926267042339E-4</c:v>
                </c:pt>
                <c:pt idx="1">
                  <c:v>0.98493098797448686</c:v>
                </c:pt>
              </c:numCache>
            </c:numRef>
          </c:xVal>
          <c:yVal>
            <c:numRef>
              <c:f>('Liquid-Liquid Extraction'!$C$42,'Liquid-Liquid Extraction'!$E$42)</c:f>
              <c:numCache>
                <c:formatCode>0.000</c:formatCode>
                <c:ptCount val="2"/>
                <c:pt idx="0">
                  <c:v>1.3979167144012613E-2</c:v>
                </c:pt>
                <c:pt idx="1">
                  <c:v>9.9304707448605867E-3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FD8-48E8-8C81-FC539E419509}"/>
            </c:ext>
          </c:extLst>
        </c:ser>
        <c:ser>
          <c:idx val="33"/>
          <c:order val="33"/>
          <c:tx>
            <c:v>V13.L13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Extraction'!$B$43,'Liquid-Liquid Extraction'!$D$43)</c:f>
              <c:numCache>
                <c:formatCode>0.000</c:formatCode>
                <c:ptCount val="2"/>
                <c:pt idx="0">
                  <c:v>-1.0887332806866474E-2</c:v>
                </c:pt>
                <c:pt idx="1">
                  <c:v>1.0095709542440647</c:v>
                </c:pt>
              </c:numCache>
            </c:numRef>
          </c:xVal>
          <c:yVal>
            <c:numRef>
              <c:f>('Liquid-Liquid Extraction'!$C$43,'Liquid-Liquid Extraction'!$E$43)</c:f>
              <c:numCache>
                <c:formatCode>0.000</c:formatCode>
                <c:ptCount val="2"/>
                <c:pt idx="0">
                  <c:v>-4.4912579760192244E-2</c:v>
                </c:pt>
                <c:pt idx="1">
                  <c:v>-1.4724438615991042E-2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FD8-48E8-8C81-FC539E419509}"/>
            </c:ext>
          </c:extLst>
        </c:ser>
        <c:ser>
          <c:idx val="34"/>
          <c:order val="34"/>
          <c:tx>
            <c:v>V14.L14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Extraction'!$B$44,'Liquid-Liquid Extraction'!$D$44)</c:f>
              <c:numCache>
                <c:formatCode>0.000</c:formatCode>
                <c:ptCount val="2"/>
                <c:pt idx="0">
                  <c:v>-2.1734614170821093E-2</c:v>
                </c:pt>
                <c:pt idx="1">
                  <c:v>1.0318668762346308</c:v>
                </c:pt>
              </c:numCache>
            </c:numRef>
          </c:xVal>
          <c:yVal>
            <c:numRef>
              <c:f>('Liquid-Liquid Extraction'!$C$44,'Liquid-Liquid Extraction'!$E$44)</c:f>
              <c:numCache>
                <c:formatCode>0.000</c:formatCode>
                <c:ptCount val="2"/>
                <c:pt idx="0">
                  <c:v>-0.10273520301866212</c:v>
                </c:pt>
                <c:pt idx="1">
                  <c:v>-3.7576808633822734E-2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FD8-48E8-8C81-FC539E419509}"/>
            </c:ext>
          </c:extLst>
        </c:ser>
        <c:ser>
          <c:idx val="35"/>
          <c:order val="35"/>
          <c:tx>
            <c:v>V15.L15</c:v>
          </c:tx>
          <c:spPr>
            <a:ln w="25400" cap="flat" cmpd="sng" algn="ctr">
              <a:solidFill>
                <a:schemeClr val="accent2"/>
              </a:solidFill>
              <a:prstDash val="sysDash"/>
            </a:ln>
            <a:effectLst/>
          </c:spPr>
          <c:marker>
            <c:symbol val="none"/>
          </c:marker>
          <c:xVal>
            <c:numRef>
              <c:f>('Liquid-Liquid Extraction'!$B$45,'Liquid-Liquid Extraction'!$D$45)</c:f>
              <c:numCache>
                <c:formatCode>0.000</c:formatCode>
                <c:ptCount val="2"/>
                <c:pt idx="0">
                  <c:v>-3.1563384223022128E-2</c:v>
                </c:pt>
                <c:pt idx="1">
                  <c:v>1.0516457863005055</c:v>
                </c:pt>
              </c:numCache>
            </c:numRef>
          </c:xVal>
          <c:yVal>
            <c:numRef>
              <c:f>('Liquid-Liquid Extraction'!$C$45,'Liquid-Liquid Extraction'!$E$45)</c:f>
              <c:numCache>
                <c:formatCode>0.000</c:formatCode>
                <c:ptCount val="2"/>
                <c:pt idx="0">
                  <c:v>-0.157811046044462</c:v>
                </c:pt>
                <c:pt idx="1">
                  <c:v>-5.8281101622980169E-2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FD8-48E8-8C81-FC539E41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3552"/>
        <c:axId val="52962816"/>
      </c:scatterChart>
      <c:valAx>
        <c:axId val="52743552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xc, yc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2962816"/>
        <c:crosses val="autoZero"/>
        <c:crossBetween val="midCat"/>
      </c:valAx>
      <c:valAx>
        <c:axId val="52962816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 b="1" i="0"/>
                </a:pPr>
                <a:r>
                  <a:rPr lang="en-US" sz="1200" b="1" i="0"/>
                  <a:t>xa, ya</a:t>
                </a:r>
              </a:p>
            </c:rich>
          </c:tx>
          <c:overlay val="0"/>
        </c:title>
        <c:numFmt formatCode="#,##0.00" sourceLinked="0"/>
        <c:majorTickMark val="out"/>
        <c:minorTickMark val="none"/>
        <c:tickLblPos val="nextTo"/>
        <c:crossAx val="52743552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508" footer="0.314960620000005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Equilibrium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Equilibrium!$I$3:$I$25</c:f>
              <c:numCache>
                <c:formatCode>0.000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0.43</c:v>
                </c:pt>
              </c:numCache>
            </c:numRef>
          </c:xVal>
          <c:yVal>
            <c:numRef>
              <c:f>Equilibrium!$J$3:$J$26</c:f>
              <c:numCache>
                <c:formatCode>0.000</c:formatCode>
                <c:ptCount val="2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0.19</c:v>
                </c:pt>
                <c:pt idx="6">
                  <c:v>0.22500000000000001</c:v>
                </c:pt>
                <c:pt idx="7">
                  <c:v>0.25700000000000001</c:v>
                </c:pt>
                <c:pt idx="8">
                  <c:v>0.28699999999999998</c:v>
                </c:pt>
                <c:pt idx="9">
                  <c:v>0.315</c:v>
                </c:pt>
                <c:pt idx="10">
                  <c:v>0.34</c:v>
                </c:pt>
                <c:pt idx="11">
                  <c:v>0.36499999999999999</c:v>
                </c:pt>
                <c:pt idx="12">
                  <c:v>0.38500000000000001</c:v>
                </c:pt>
                <c:pt idx="13">
                  <c:v>0.40500000000000003</c:v>
                </c:pt>
                <c:pt idx="14">
                  <c:v>0.42199999999999999</c:v>
                </c:pt>
                <c:pt idx="15">
                  <c:v>0.435</c:v>
                </c:pt>
                <c:pt idx="16">
                  <c:v>0.44800000000000001</c:v>
                </c:pt>
                <c:pt idx="17">
                  <c:v>0.45700000000000002</c:v>
                </c:pt>
                <c:pt idx="18">
                  <c:v>0.46500000000000002</c:v>
                </c:pt>
                <c:pt idx="19">
                  <c:v>0.46300000000000002</c:v>
                </c:pt>
                <c:pt idx="20">
                  <c:v>0.46</c:v>
                </c:pt>
                <c:pt idx="21">
                  <c:v>0.45500000000000002</c:v>
                </c:pt>
                <c:pt idx="22">
                  <c:v>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4-46B1-8FDC-D9A53DA2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464"/>
        <c:axId val="53112832"/>
      </c:scatterChart>
      <c:scatterChart>
        <c:scatterStyle val="smoothMarker"/>
        <c:varyColors val="0"/>
        <c:ser>
          <c:idx val="1"/>
          <c:order val="1"/>
          <c:tx>
            <c:v>modelo</c:v>
          </c:tx>
          <c:spPr>
            <a:ln w="25400" cap="flat" cmpd="sng" algn="ctr">
              <a:solidFill>
                <a:schemeClr val="accent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Equilibrium!$I$3:$I$25</c:f>
              <c:numCache>
                <c:formatCode>0.000</c:formatCode>
                <c:ptCount val="23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0.43</c:v>
                </c:pt>
              </c:numCache>
            </c:numRef>
          </c:xVal>
          <c:yVal>
            <c:numRef>
              <c:f>Equilibrium!$K$3:$K$25</c:f>
              <c:numCache>
                <c:formatCode>General</c:formatCode>
                <c:ptCount val="23"/>
                <c:pt idx="0">
                  <c:v>-9.3052647455272152E-3</c:v>
                </c:pt>
                <c:pt idx="1">
                  <c:v>3.6989280388866945E-2</c:v>
                </c:pt>
                <c:pt idx="2">
                  <c:v>8.0898905553835027E-2</c:v>
                </c:pt>
                <c:pt idx="3">
                  <c:v>0.12242361074937703</c:v>
                </c:pt>
                <c:pt idx="4">
                  <c:v>0.16156339597549299</c:v>
                </c:pt>
                <c:pt idx="5">
                  <c:v>0.19831826123218285</c:v>
                </c:pt>
                <c:pt idx="6">
                  <c:v>0.23268820651944663</c:v>
                </c:pt>
                <c:pt idx="7">
                  <c:v>0.26467323183728431</c:v>
                </c:pt>
                <c:pt idx="8">
                  <c:v>0.29427333718569587</c:v>
                </c:pt>
                <c:pt idx="9">
                  <c:v>0.32148852256468141</c:v>
                </c:pt>
                <c:pt idx="10">
                  <c:v>0.34631878797424093</c:v>
                </c:pt>
                <c:pt idx="11">
                  <c:v>0.36876413341437431</c:v>
                </c:pt>
                <c:pt idx="12">
                  <c:v>0.38882455888508161</c:v>
                </c:pt>
                <c:pt idx="13">
                  <c:v>0.40650006438636282</c:v>
                </c:pt>
                <c:pt idx="14">
                  <c:v>0.42179064991821807</c:v>
                </c:pt>
                <c:pt idx="15">
                  <c:v>0.43469631548064708</c:v>
                </c:pt>
                <c:pt idx="16">
                  <c:v>0.44521706107365</c:v>
                </c:pt>
                <c:pt idx="17">
                  <c:v>0.45335288669722701</c:v>
                </c:pt>
                <c:pt idx="18">
                  <c:v>0.45910379235137777</c:v>
                </c:pt>
                <c:pt idx="19">
                  <c:v>0.46246977803610262</c:v>
                </c:pt>
                <c:pt idx="20">
                  <c:v>0.46345084375140122</c:v>
                </c:pt>
                <c:pt idx="21">
                  <c:v>0.46204698949727391</c:v>
                </c:pt>
                <c:pt idx="22">
                  <c:v>0.46045071738167548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4-46B1-8FDC-D9A53DA24B0E}"/>
            </c:ext>
          </c:extLst>
        </c:ser>
        <c:ser>
          <c:idx val="2"/>
          <c:order val="2"/>
          <c:tx>
            <c:v>reta45</c:v>
          </c:tx>
          <c:spPr>
            <a:ln w="254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  <a:effectLst/>
          </c:spPr>
          <c:marker>
            <c:symbol val="none"/>
          </c:marker>
          <c:xVal>
            <c:numRef>
              <c:f>('Liquid-Liquid Extraction'!$B$10,'Liquid-Liquid Extraction'!$B$11)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('Liquid-Liquid Extraction'!$B$10,'Liquid-Liquid Extraction'!$B$11)</c:f>
              <c:numCache>
                <c:formatCode>0.000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4-46B1-8FDC-D9A53DA24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02464"/>
        <c:axId val="53112832"/>
      </c:scatterChart>
      <c:valAx>
        <c:axId val="53102464"/>
        <c:scaling>
          <c:orientation val="minMax"/>
          <c:max val="1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3112832"/>
        <c:crosses val="autoZero"/>
        <c:crossBetween val="midCat"/>
      </c:valAx>
      <c:valAx>
        <c:axId val="53112832"/>
        <c:scaling>
          <c:orientation val="minMax"/>
          <c:max val="1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xa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3102464"/>
        <c:crosses val="autoZero"/>
        <c:crossBetween val="midCat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524" footer="0.3149606200000052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323850</xdr:colOff>
      <xdr:row>22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91C0EE7-8A57-4119-8232-4CBF202C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0</xdr:row>
      <xdr:rowOff>190499</xdr:rowOff>
    </xdr:from>
    <xdr:to>
      <xdr:col>20</xdr:col>
      <xdr:colOff>0</xdr:colOff>
      <xdr:row>20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489055</xdr:colOff>
      <xdr:row>6</xdr:row>
      <xdr:rowOff>61270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251B4E32-B7E5-42EC-8C79-7A3870CBC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0"/>
          <a:ext cx="5365855" cy="1013770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18</xdr:col>
      <xdr:colOff>600075</xdr:colOff>
      <xdr:row>22</xdr:row>
      <xdr:rowOff>117116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69C0F751-627C-4241-9010-D9697C047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-15000" contrast="25000"/>
        </a:blip>
        <a:srcRect l="6698" t="2240" r="8931" b="2240"/>
        <a:stretch>
          <a:fillRect/>
        </a:stretch>
      </xdr:blipFill>
      <xdr:spPr bwMode="auto">
        <a:xfrm>
          <a:off x="7924800" y="190500"/>
          <a:ext cx="3648075" cy="4117616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11</xdr:col>
      <xdr:colOff>352425</xdr:colOff>
      <xdr:row>17</xdr:row>
      <xdr:rowOff>168055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C7A08DAF-3BD4-4176-A836-23922EEB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lum contrast="22000"/>
        </a:blip>
        <a:srcRect/>
        <a:stretch>
          <a:fillRect/>
        </a:stretch>
      </xdr:blipFill>
      <xdr:spPr bwMode="auto">
        <a:xfrm>
          <a:off x="609600" y="1524000"/>
          <a:ext cx="6448425" cy="1882555"/>
        </a:xfrm>
        <a:prstGeom prst="rect">
          <a:avLst/>
        </a:prstGeom>
        <a:noFill/>
        <a:ln w="28575">
          <a:solidFill>
            <a:sysClr val="windowText" lastClr="000000"/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showGridLines="0" tabSelected="1" workbookViewId="0">
      <selection activeCell="E17" sqref="E17"/>
    </sheetView>
  </sheetViews>
  <sheetFormatPr defaultRowHeight="15" x14ac:dyDescent="0.25"/>
  <cols>
    <col min="2" max="2" width="9.140625" customWidth="1"/>
    <col min="3" max="3" width="6.85546875" customWidth="1"/>
    <col min="7" max="7" width="6" customWidth="1"/>
    <col min="8" max="8" width="9.28515625" customWidth="1"/>
    <col min="21" max="21" width="9.5703125" customWidth="1"/>
  </cols>
  <sheetData>
    <row r="1" spans="1:21" x14ac:dyDescent="0.25">
      <c r="A1" s="33" t="s">
        <v>0</v>
      </c>
      <c r="B1" s="3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s="12" t="s">
        <v>1</v>
      </c>
      <c r="B2" s="22">
        <v>100</v>
      </c>
      <c r="C2" s="5" t="s">
        <v>2</v>
      </c>
      <c r="G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5">
      <c r="A3" s="12" t="s">
        <v>14</v>
      </c>
      <c r="B3" s="23">
        <v>0.5</v>
      </c>
      <c r="C3" s="5"/>
      <c r="G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5">
      <c r="A4" s="9" t="s">
        <v>12</v>
      </c>
      <c r="B4" s="10">
        <f>1-xo</f>
        <v>0.5</v>
      </c>
      <c r="C4" s="5"/>
      <c r="G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5">
      <c r="A5" s="9" t="s">
        <v>13</v>
      </c>
      <c r="B5" s="10">
        <v>0</v>
      </c>
      <c r="C5" s="5"/>
      <c r="D5" s="5"/>
      <c r="E5" s="5"/>
      <c r="G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5">
      <c r="A6" s="12" t="s">
        <v>15</v>
      </c>
      <c r="B6" s="23">
        <v>0.05</v>
      </c>
      <c r="C6" s="5"/>
      <c r="D6" s="5"/>
      <c r="E6" s="5"/>
      <c r="G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5">
      <c r="A7" s="9" t="s">
        <v>35</v>
      </c>
      <c r="B7" s="10">
        <f>(-E.+SQRT(E.^2-4*D.*(F.-xan)))/(2*D.)</f>
        <v>8.3511404955101867E-3</v>
      </c>
      <c r="C7" s="5"/>
      <c r="G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5">
      <c r="A8" s="5"/>
      <c r="B8" s="5"/>
      <c r="C8" s="5"/>
      <c r="G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5">
      <c r="A9" s="12" t="s">
        <v>3</v>
      </c>
      <c r="B9" s="22">
        <v>100</v>
      </c>
      <c r="C9" s="5" t="s">
        <v>2</v>
      </c>
      <c r="D9" s="8" t="s">
        <v>33</v>
      </c>
      <c r="E9" s="7">
        <f>M*(xcm-xcn)/(D31-xcn)</f>
        <v>160.11595918487322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9" t="s">
        <v>21</v>
      </c>
      <c r="B10" s="10">
        <v>0</v>
      </c>
      <c r="C10" s="5"/>
      <c r="D10" s="8" t="s">
        <v>34</v>
      </c>
      <c r="E10" s="7">
        <f>M-V1.</f>
        <v>39.884040815126781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9" t="s">
        <v>20</v>
      </c>
      <c r="B11" s="10">
        <v>1</v>
      </c>
      <c r="C11" s="5"/>
      <c r="D11" s="9" t="s">
        <v>44</v>
      </c>
      <c r="E11" s="11">
        <f>Lo-V1.</f>
        <v>-60.115959184873219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5"/>
      <c r="B12" s="5"/>
      <c r="C12" s="5"/>
      <c r="D12" s="5"/>
      <c r="E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9" t="s">
        <v>18</v>
      </c>
      <c r="B13" s="9">
        <f>Lo+Vn_1</f>
        <v>200</v>
      </c>
      <c r="C13" s="5" t="s">
        <v>2</v>
      </c>
      <c r="D13" s="5"/>
      <c r="E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5.75" thickBot="1" x14ac:dyDescent="0.3">
      <c r="A14" s="9" t="s">
        <v>16</v>
      </c>
      <c r="B14" s="10">
        <f>(Lo*xao+Vn_1*yan_1)/(Lo+Vn_1)</f>
        <v>0.25</v>
      </c>
      <c r="C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5.75" thickBot="1" x14ac:dyDescent="0.3">
      <c r="A15" s="9" t="s">
        <v>17</v>
      </c>
      <c r="B15" s="10">
        <f>(Lo*xco+Vn_1*ycn_1)/(Lo+Vn_1)</f>
        <v>0.5</v>
      </c>
      <c r="C15" s="5"/>
      <c r="D15" s="2" t="s">
        <v>9</v>
      </c>
      <c r="E15" s="3">
        <f>COUNT(H31:H50)+1</f>
        <v>12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5"/>
      <c r="B16" s="5"/>
      <c r="C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31" t="s">
        <v>19</v>
      </c>
      <c r="B17" s="32"/>
      <c r="C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8" t="s">
        <v>28</v>
      </c>
      <c r="B18" s="8" t="s">
        <v>27</v>
      </c>
      <c r="C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20">
        <f>(Lo*xco-V1.*D31)/(Lo-V1.)</f>
        <v>1.6579112123142017</v>
      </c>
      <c r="B19" s="20">
        <f>(Lo*xao-V1.*E31)/(Lo-V1.)</f>
        <v>-3.3172589571823966E-2</v>
      </c>
      <c r="C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C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C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C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C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C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x14ac:dyDescent="0.25">
      <c r="A25" s="5"/>
      <c r="B25" s="4" t="s">
        <v>10</v>
      </c>
      <c r="C25" t="s">
        <v>54</v>
      </c>
      <c r="D25" s="5"/>
      <c r="E25" s="5"/>
      <c r="F25" s="5"/>
      <c r="G25" s="5"/>
      <c r="H25" s="5"/>
      <c r="I25" s="5"/>
      <c r="J25" s="5"/>
      <c r="K25" s="5"/>
    </row>
    <row r="26" spans="1:21" x14ac:dyDescent="0.25">
      <c r="A26" s="6"/>
      <c r="B26" s="21" t="s">
        <v>37</v>
      </c>
      <c r="C26" s="21" t="s">
        <v>38</v>
      </c>
      <c r="D26" s="21" t="s">
        <v>39</v>
      </c>
      <c r="E26" s="21" t="s">
        <v>40</v>
      </c>
      <c r="F26" s="21" t="s">
        <v>42</v>
      </c>
      <c r="G26" s="21" t="s">
        <v>43</v>
      </c>
      <c r="H26" s="21" t="s">
        <v>11</v>
      </c>
      <c r="I26" s="6"/>
      <c r="J26" s="21" t="s">
        <v>52</v>
      </c>
      <c r="K26" s="21" t="s">
        <v>53</v>
      </c>
    </row>
    <row r="27" spans="1:21" x14ac:dyDescent="0.25">
      <c r="A27" s="17" t="s">
        <v>51</v>
      </c>
      <c r="B27" s="15" t="s">
        <v>50</v>
      </c>
      <c r="C27" s="15" t="s">
        <v>50</v>
      </c>
      <c r="D27" s="15">
        <f>ycn_1</f>
        <v>1</v>
      </c>
      <c r="E27" s="15">
        <f>yan_1</f>
        <v>0</v>
      </c>
      <c r="F27" s="13" t="s">
        <v>50</v>
      </c>
      <c r="G27" s="13" t="s">
        <v>50</v>
      </c>
      <c r="H27" s="13" t="s">
        <v>50</v>
      </c>
      <c r="J27" s="15" t="s">
        <v>50</v>
      </c>
      <c r="K27" s="15">
        <f>1-(D27+E27)</f>
        <v>0</v>
      </c>
    </row>
    <row r="28" spans="1:21" x14ac:dyDescent="0.25">
      <c r="A28" s="17" t="s">
        <v>36</v>
      </c>
      <c r="B28" s="15">
        <f>xcn</f>
        <v>8.3511404955101867E-3</v>
      </c>
      <c r="C28" s="15">
        <f>xan</f>
        <v>0.05</v>
      </c>
      <c r="D28" s="15" t="s">
        <v>50</v>
      </c>
      <c r="E28" s="15" t="s">
        <v>50</v>
      </c>
      <c r="F28" s="13" t="s">
        <v>50</v>
      </c>
      <c r="G28" s="13" t="s">
        <v>50</v>
      </c>
      <c r="H28" s="13" t="s">
        <v>50</v>
      </c>
      <c r="J28" s="15">
        <f t="shared" ref="J28:J50" si="0">1-(B28+C28)</f>
        <v>0.94164885950448984</v>
      </c>
      <c r="K28" s="15" t="s">
        <v>50</v>
      </c>
    </row>
    <row r="29" spans="1:21" x14ac:dyDescent="0.25">
      <c r="A29" s="17" t="s">
        <v>41</v>
      </c>
      <c r="B29" s="15">
        <f>xcm</f>
        <v>0.5</v>
      </c>
      <c r="C29" s="15">
        <f>xam</f>
        <v>0.25</v>
      </c>
      <c r="D29" s="15" t="s">
        <v>50</v>
      </c>
      <c r="E29" s="15" t="s">
        <v>50</v>
      </c>
      <c r="F29" s="13" t="s">
        <v>50</v>
      </c>
      <c r="G29" s="13" t="s">
        <v>50</v>
      </c>
      <c r="H29" s="13" t="s">
        <v>50</v>
      </c>
      <c r="J29" s="15">
        <f t="shared" si="0"/>
        <v>0.25</v>
      </c>
      <c r="K29" s="15" t="s">
        <v>50</v>
      </c>
    </row>
    <row r="30" spans="1:21" x14ac:dyDescent="0.25">
      <c r="A30" s="17">
        <v>0</v>
      </c>
      <c r="B30" s="15">
        <f>xco</f>
        <v>0</v>
      </c>
      <c r="C30" s="15">
        <f>xao</f>
        <v>0.5</v>
      </c>
      <c r="D30" s="15" t="s">
        <v>50</v>
      </c>
      <c r="E30" s="15" t="s">
        <v>50</v>
      </c>
      <c r="F30" s="13" t="s">
        <v>50</v>
      </c>
      <c r="G30" s="13" t="s">
        <v>50</v>
      </c>
      <c r="H30" s="13" t="s">
        <v>50</v>
      </c>
      <c r="J30" s="15">
        <f t="shared" si="0"/>
        <v>0.5</v>
      </c>
      <c r="K30" s="15" t="s">
        <v>50</v>
      </c>
    </row>
    <row r="31" spans="1:21" x14ac:dyDescent="0.25">
      <c r="A31" s="17">
        <v>1</v>
      </c>
      <c r="B31" s="15">
        <f t="shared" ref="B31:B50" si="1">(-E.+SQRT(E.^2-4*D.*(F.-C31)))/(2*D.)</f>
        <v>0.13781812354624595</v>
      </c>
      <c r="C31" s="15">
        <f t="shared" ref="C31:C45" si="2">G.*E31^2+H.*E31+I.</f>
        <v>0.43459018102953556</v>
      </c>
      <c r="D31" s="15">
        <f t="shared" ref="D31:D50" si="3">(-(B.-F31)-SQRT((B.-F31)^2-4*A.*(C.-G31)))/(2*A.)</f>
        <v>0.62246713743597992</v>
      </c>
      <c r="E31" s="15">
        <f t="shared" ref="E31:E50" si="4">A.*D31^2+B.*D31+C.</f>
        <v>0.29981894499233014</v>
      </c>
      <c r="F31" s="13">
        <f>SLOPE(C28:C29,B28:B29)</f>
        <v>0.40679439427881675</v>
      </c>
      <c r="G31" s="13">
        <f>C28-F31*B28</f>
        <v>4.6602802860591638E-2</v>
      </c>
      <c r="H31" s="13">
        <f t="shared" ref="H31:H45" si="5">SQRT(B31-xcn)</f>
        <v>0.35981520680862805</v>
      </c>
      <c r="J31" s="15">
        <f t="shared" si="0"/>
        <v>0.42759169542421849</v>
      </c>
      <c r="K31" s="15">
        <f t="shared" ref="K31:K50" si="6">1-(D31+E31)</f>
        <v>7.7713917571689883E-2</v>
      </c>
    </row>
    <row r="32" spans="1:21" x14ac:dyDescent="0.25">
      <c r="A32" s="17">
        <v>2</v>
      </c>
      <c r="B32" s="15">
        <f t="shared" si="1"/>
        <v>0.12478569868342466</v>
      </c>
      <c r="C32" s="15">
        <f t="shared" si="2"/>
        <v>0.41590651168276299</v>
      </c>
      <c r="D32" s="15">
        <f t="shared" si="3"/>
        <v>0.66642247934576215</v>
      </c>
      <c r="E32" s="15">
        <f t="shared" si="4"/>
        <v>0.27192814417945338</v>
      </c>
      <c r="F32" s="13">
        <f t="shared" ref="F32:F50" si="7">(B$19-C31)/(A$19-B31)</f>
        <v>-0.30771981930427955</v>
      </c>
      <c r="G32" s="13">
        <f t="shared" ref="G32:G45" si="8">C31-F32*B31</f>
        <v>0.47699954910404124</v>
      </c>
      <c r="H32" s="13">
        <f t="shared" si="5"/>
        <v>0.34122508434743554</v>
      </c>
      <c r="J32" s="15">
        <f t="shared" si="0"/>
        <v>0.45930778963381236</v>
      </c>
      <c r="K32" s="15">
        <f t="shared" si="6"/>
        <v>6.1649376474784523E-2</v>
      </c>
    </row>
    <row r="33" spans="1:11" x14ac:dyDescent="0.25">
      <c r="A33" s="17">
        <v>3</v>
      </c>
      <c r="B33" s="15">
        <f t="shared" si="1"/>
        <v>0.11262829672603224</v>
      </c>
      <c r="C33" s="15">
        <f t="shared" si="2"/>
        <v>0.39443489540858351</v>
      </c>
      <c r="D33" s="15">
        <f t="shared" si="3"/>
        <v>0.70461952253799909</v>
      </c>
      <c r="E33" s="15">
        <f t="shared" si="4"/>
        <v>0.24606310996612255</v>
      </c>
      <c r="F33" s="13">
        <f t="shared" si="7"/>
        <v>-0.29291737516719635</v>
      </c>
      <c r="G33" s="13">
        <f t="shared" si="8"/>
        <v>0.45245841099951639</v>
      </c>
      <c r="H33" s="13">
        <f t="shared" si="5"/>
        <v>0.32291973651438843</v>
      </c>
      <c r="J33" s="15">
        <f t="shared" si="0"/>
        <v>0.4929368078653843</v>
      </c>
      <c r="K33" s="15">
        <f t="shared" si="6"/>
        <v>4.9317367495878339E-2</v>
      </c>
    </row>
    <row r="34" spans="1:11" x14ac:dyDescent="0.25">
      <c r="A34" s="17">
        <v>4</v>
      </c>
      <c r="B34" s="15">
        <f t="shared" si="1"/>
        <v>0.10075202693440752</v>
      </c>
      <c r="C34" s="15">
        <f t="shared" si="2"/>
        <v>0.36969211568422811</v>
      </c>
      <c r="D34" s="15">
        <f t="shared" si="3"/>
        <v>0.7398354705707072</v>
      </c>
      <c r="E34" s="15">
        <f t="shared" si="4"/>
        <v>0.22087542648291547</v>
      </c>
      <c r="F34" s="13">
        <f t="shared" si="7"/>
        <v>-0.27671792696785907</v>
      </c>
      <c r="G34" s="13">
        <f t="shared" si="8"/>
        <v>0.42560116419653204</v>
      </c>
      <c r="H34" s="13">
        <f t="shared" si="5"/>
        <v>0.30397514115285373</v>
      </c>
      <c r="J34" s="15">
        <f t="shared" si="0"/>
        <v>0.52955585738136435</v>
      </c>
      <c r="K34" s="15">
        <f t="shared" si="6"/>
        <v>3.928910294637733E-2</v>
      </c>
    </row>
    <row r="35" spans="1:11" x14ac:dyDescent="0.25">
      <c r="A35" s="17">
        <v>5</v>
      </c>
      <c r="B35" s="15">
        <f t="shared" si="1"/>
        <v>8.884124736484722E-2</v>
      </c>
      <c r="C35" s="15">
        <f t="shared" si="2"/>
        <v>0.34113758460763743</v>
      </c>
      <c r="D35" s="15">
        <f t="shared" si="3"/>
        <v>0.7734098515508</v>
      </c>
      <c r="E35" s="15">
        <f t="shared" si="4"/>
        <v>0.19566360350859907</v>
      </c>
      <c r="F35" s="13">
        <f t="shared" si="7"/>
        <v>-0.25871773999637204</v>
      </c>
      <c r="G35" s="13">
        <f t="shared" si="8"/>
        <v>0.39575845239275165</v>
      </c>
      <c r="H35" s="13">
        <f t="shared" si="5"/>
        <v>0.28370778429457488</v>
      </c>
      <c r="J35" s="15">
        <f t="shared" si="0"/>
        <v>0.57002116802751535</v>
      </c>
      <c r="K35" s="15">
        <f t="shared" si="6"/>
        <v>3.0926544940600875E-2</v>
      </c>
    </row>
    <row r="36" spans="1:11" x14ac:dyDescent="0.25">
      <c r="A36" s="17">
        <v>6</v>
      </c>
      <c r="B36" s="15">
        <f t="shared" si="1"/>
        <v>7.6724019749015757E-2</v>
      </c>
      <c r="C36" s="15">
        <f t="shared" si="2"/>
        <v>0.30824490404507215</v>
      </c>
      <c r="D36" s="15">
        <f t="shared" si="3"/>
        <v>0.80602959322291479</v>
      </c>
      <c r="E36" s="15">
        <f t="shared" si="4"/>
        <v>0.17004840397554372</v>
      </c>
      <c r="F36" s="13">
        <f t="shared" si="7"/>
        <v>-0.23855543891667264</v>
      </c>
      <c r="G36" s="13">
        <f t="shared" si="8"/>
        <v>0.36233114736666328</v>
      </c>
      <c r="H36" s="13">
        <f t="shared" si="5"/>
        <v>0.26148208208882223</v>
      </c>
      <c r="J36" s="15">
        <f t="shared" si="0"/>
        <v>0.61503107620591213</v>
      </c>
      <c r="K36" s="15">
        <f t="shared" si="6"/>
        <v>2.3922002801541442E-2</v>
      </c>
    </row>
    <row r="37" spans="1:11" x14ac:dyDescent="0.25">
      <c r="A37" s="17">
        <v>7</v>
      </c>
      <c r="B37" s="15">
        <f t="shared" si="1"/>
        <v>6.4326305824071783E-2</v>
      </c>
      <c r="C37" s="15">
        <f t="shared" si="2"/>
        <v>0.27057896674112125</v>
      </c>
      <c r="D37" s="15">
        <f t="shared" si="3"/>
        <v>0.83800841772318657</v>
      </c>
      <c r="E37" s="15">
        <f t="shared" si="4"/>
        <v>0.14386473937631883</v>
      </c>
      <c r="F37" s="13">
        <f t="shared" si="7"/>
        <v>-0.21592477805427257</v>
      </c>
      <c r="G37" s="13">
        <f t="shared" si="8"/>
        <v>0.32481152098081001</v>
      </c>
      <c r="H37" s="13">
        <f t="shared" si="5"/>
        <v>0.23659071268450416</v>
      </c>
      <c r="J37" s="15">
        <f t="shared" si="0"/>
        <v>0.66509472743480691</v>
      </c>
      <c r="K37" s="15">
        <f t="shared" si="6"/>
        <v>1.81268429004946E-2</v>
      </c>
    </row>
    <row r="38" spans="1:11" x14ac:dyDescent="0.25">
      <c r="A38" s="17">
        <v>8</v>
      </c>
      <c r="B38" s="15">
        <f t="shared" si="1"/>
        <v>5.1655751709270691E-2</v>
      </c>
      <c r="C38" s="15">
        <f t="shared" si="2"/>
        <v>0.22789140313804881</v>
      </c>
      <c r="D38" s="15">
        <f t="shared" si="3"/>
        <v>0.86940755192609498</v>
      </c>
      <c r="E38" s="15">
        <f t="shared" si="4"/>
        <v>0.11712327042653686</v>
      </c>
      <c r="F38" s="13">
        <f t="shared" si="7"/>
        <v>-0.19060895662092953</v>
      </c>
      <c r="G38" s="13">
        <f t="shared" si="8"/>
        <v>0.2828401367775264</v>
      </c>
      <c r="H38" s="13">
        <f t="shared" si="5"/>
        <v>0.20809760021144044</v>
      </c>
      <c r="J38" s="15">
        <f t="shared" si="0"/>
        <v>0.72045284515268049</v>
      </c>
      <c r="K38" s="15">
        <f t="shared" si="6"/>
        <v>1.3469177647368102E-2</v>
      </c>
    </row>
    <row r="39" spans="1:11" x14ac:dyDescent="0.25">
      <c r="A39" s="17">
        <v>9</v>
      </c>
      <c r="B39" s="15">
        <f t="shared" si="1"/>
        <v>3.8794747905867989E-2</v>
      </c>
      <c r="C39" s="15">
        <f t="shared" si="2"/>
        <v>0.1802278361996992</v>
      </c>
      <c r="D39" s="15">
        <f t="shared" si="3"/>
        <v>0.90010108936217093</v>
      </c>
      <c r="E39" s="15">
        <f t="shared" si="4"/>
        <v>8.9993956015706367E-2</v>
      </c>
      <c r="F39" s="13">
        <f t="shared" si="7"/>
        <v>-0.16252955965768584</v>
      </c>
      <c r="G39" s="13">
        <f t="shared" si="8"/>
        <v>0.23628698971714332</v>
      </c>
      <c r="H39" s="13">
        <f t="shared" si="5"/>
        <v>0.17448096575374003</v>
      </c>
      <c r="J39" s="15">
        <f t="shared" si="0"/>
        <v>0.78097741589443281</v>
      </c>
      <c r="K39" s="15">
        <f t="shared" si="6"/>
        <v>9.9049546221227081E-3</v>
      </c>
    </row>
    <row r="40" spans="1:11" x14ac:dyDescent="0.25">
      <c r="A40" s="17">
        <v>10</v>
      </c>
      <c r="B40" s="15">
        <f t="shared" si="1"/>
        <v>2.5892990975197375E-2</v>
      </c>
      <c r="C40" s="15">
        <f t="shared" si="2"/>
        <v>0.12802575562079738</v>
      </c>
      <c r="D40" s="15">
        <f t="shared" si="3"/>
        <v>0.9298255000996305</v>
      </c>
      <c r="E40" s="15">
        <f t="shared" si="4"/>
        <v>6.2789501111708057E-2</v>
      </c>
      <c r="F40" s="13">
        <f t="shared" si="7"/>
        <v>-0.13180054088913556</v>
      </c>
      <c r="G40" s="13">
        <f t="shared" si="8"/>
        <v>0.18534100495735026</v>
      </c>
      <c r="H40" s="13">
        <f t="shared" si="5"/>
        <v>0.1324456510410485</v>
      </c>
      <c r="J40" s="15">
        <f t="shared" si="0"/>
        <v>0.8460812534040052</v>
      </c>
      <c r="K40" s="15">
        <f t="shared" si="6"/>
        <v>7.3849987886613899E-3</v>
      </c>
    </row>
    <row r="41" spans="1:11" x14ac:dyDescent="0.25">
      <c r="A41" s="17">
        <v>11</v>
      </c>
      <c r="B41" s="15">
        <f t="shared" si="1"/>
        <v>1.3154052461010287E-2</v>
      </c>
      <c r="C41" s="15">
        <f t="shared" si="2"/>
        <v>7.217087298980987E-2</v>
      </c>
      <c r="D41" s="15">
        <f t="shared" si="3"/>
        <v>0.95822981087209314</v>
      </c>
      <c r="E41" s="15">
        <f t="shared" si="4"/>
        <v>3.5936616808227684E-2</v>
      </c>
      <c r="F41" s="13">
        <f t="shared" si="7"/>
        <v>-9.8772393031472824E-2</v>
      </c>
      <c r="G41" s="13">
        <f t="shared" si="8"/>
        <v>0.13058326830215994</v>
      </c>
      <c r="H41" s="13">
        <f t="shared" si="5"/>
        <v>6.9303044417255585E-2</v>
      </c>
      <c r="J41" s="15">
        <f t="shared" si="0"/>
        <v>0.91467507454917985</v>
      </c>
      <c r="K41" s="15">
        <f t="shared" si="6"/>
        <v>5.8335723196791811E-3</v>
      </c>
    </row>
    <row r="42" spans="1:11" x14ac:dyDescent="0.25">
      <c r="A42" s="17">
        <v>12</v>
      </c>
      <c r="B42" s="15">
        <f t="shared" si="1"/>
        <v>8.1385926267042339E-4</v>
      </c>
      <c r="C42" s="15">
        <f t="shared" si="2"/>
        <v>1.3979167144012613E-2</v>
      </c>
      <c r="D42" s="15">
        <f t="shared" si="3"/>
        <v>0.98493098797448686</v>
      </c>
      <c r="E42" s="15">
        <f t="shared" si="4"/>
        <v>9.9304707448605867E-3</v>
      </c>
      <c r="F42" s="13">
        <f t="shared" si="7"/>
        <v>-6.4048034039892329E-2</v>
      </c>
      <c r="G42" s="13">
        <f t="shared" si="8"/>
        <v>7.3013364189595184E-2</v>
      </c>
      <c r="H42" s="13" t="e">
        <f t="shared" si="5"/>
        <v>#NUM!</v>
      </c>
      <c r="J42" s="15">
        <f t="shared" si="0"/>
        <v>0.98520697359331699</v>
      </c>
      <c r="K42" s="15">
        <f t="shared" si="6"/>
        <v>5.1385412806526087E-3</v>
      </c>
    </row>
    <row r="43" spans="1:11" x14ac:dyDescent="0.25">
      <c r="A43" s="17">
        <v>13</v>
      </c>
      <c r="B43" s="15">
        <f t="shared" si="1"/>
        <v>-1.0887332806866474E-2</v>
      </c>
      <c r="C43" s="15">
        <f t="shared" si="2"/>
        <v>-4.4912579760192244E-2</v>
      </c>
      <c r="D43" s="15">
        <f t="shared" si="3"/>
        <v>1.0095709542440647</v>
      </c>
      <c r="E43" s="15">
        <f t="shared" si="4"/>
        <v>-1.4724438615991042E-2</v>
      </c>
      <c r="F43" s="13">
        <f t="shared" si="7"/>
        <v>-2.8454427634566556E-2</v>
      </c>
      <c r="G43" s="13">
        <f t="shared" si="8"/>
        <v>1.4002325043506991E-2</v>
      </c>
      <c r="H43" s="13" t="e">
        <f t="shared" si="5"/>
        <v>#NUM!</v>
      </c>
      <c r="J43" s="15">
        <f t="shared" si="0"/>
        <v>1.0557999125670587</v>
      </c>
      <c r="K43" s="15">
        <f t="shared" si="6"/>
        <v>5.153484371926309E-3</v>
      </c>
    </row>
    <row r="44" spans="1:11" x14ac:dyDescent="0.25">
      <c r="A44" s="17">
        <v>14</v>
      </c>
      <c r="B44" s="15">
        <f t="shared" si="1"/>
        <v>-2.1734614170821093E-2</v>
      </c>
      <c r="C44" s="15">
        <f t="shared" si="2"/>
        <v>-0.10273520301866212</v>
      </c>
      <c r="D44" s="15">
        <f t="shared" si="3"/>
        <v>1.0318668762346308</v>
      </c>
      <c r="E44" s="15">
        <f t="shared" si="4"/>
        <v>-3.7576808633822734E-2</v>
      </c>
      <c r="F44" s="13">
        <f t="shared" si="7"/>
        <v>7.0349954598723386E-3</v>
      </c>
      <c r="G44" s="13">
        <f t="shared" si="8"/>
        <v>-4.483598742332582E-2</v>
      </c>
      <c r="H44" s="13" t="e">
        <f t="shared" si="5"/>
        <v>#NUM!</v>
      </c>
      <c r="J44" s="15">
        <f t="shared" si="0"/>
        <v>1.1244698171894831</v>
      </c>
      <c r="K44" s="15">
        <f t="shared" si="6"/>
        <v>5.7099323991919304E-3</v>
      </c>
    </row>
    <row r="45" spans="1:11" x14ac:dyDescent="0.25">
      <c r="A45" s="17">
        <v>15</v>
      </c>
      <c r="B45" s="15">
        <f t="shared" si="1"/>
        <v>-3.1563384223022128E-2</v>
      </c>
      <c r="C45" s="15">
        <f t="shared" si="2"/>
        <v>-0.157811046044462</v>
      </c>
      <c r="D45" s="15">
        <f t="shared" si="3"/>
        <v>1.0516457863005055</v>
      </c>
      <c r="E45" s="15">
        <f t="shared" si="4"/>
        <v>-5.8281101622980169E-2</v>
      </c>
      <c r="F45" s="13">
        <f t="shared" si="7"/>
        <v>4.1415048547711462E-2</v>
      </c>
      <c r="G45" s="13">
        <f t="shared" si="8"/>
        <v>-0.1018350629176118</v>
      </c>
      <c r="H45" s="13" t="e">
        <f t="shared" si="5"/>
        <v>#NUM!</v>
      </c>
      <c r="J45" s="15">
        <f t="shared" si="0"/>
        <v>1.1893744302674842</v>
      </c>
      <c r="K45" s="15">
        <f t="shared" si="6"/>
        <v>6.6353153224746331E-3</v>
      </c>
    </row>
    <row r="46" spans="1:11" x14ac:dyDescent="0.25">
      <c r="A46" s="17">
        <v>16</v>
      </c>
      <c r="B46" s="15">
        <f t="shared" si="1"/>
        <v>-4.0274337542876085E-2</v>
      </c>
      <c r="C46" s="15">
        <f t="shared" ref="C46:C50" si="9">G.*E46^2+H.*E46+I.</f>
        <v>-0.20875494785172397</v>
      </c>
      <c r="D46" s="15">
        <f t="shared" si="3"/>
        <v>1.0688581463187157</v>
      </c>
      <c r="E46" s="15">
        <f t="shared" si="4"/>
        <v>-7.6629096746677172E-2</v>
      </c>
      <c r="F46" s="13">
        <f t="shared" si="7"/>
        <v>7.3773501376166978E-2</v>
      </c>
      <c r="G46" s="13">
        <f t="shared" ref="G46:G50" si="10">C45-F46*B45</f>
        <v>-0.1554825046750484</v>
      </c>
      <c r="H46" s="13" t="e">
        <f t="shared" ref="H46:H50" si="11">SQRT(B46-xcn)</f>
        <v>#NUM!</v>
      </c>
      <c r="J46" s="15">
        <f t="shared" si="0"/>
        <v>1.2490292853946001</v>
      </c>
      <c r="K46" s="15">
        <f t="shared" si="6"/>
        <v>7.7709504279614983E-3</v>
      </c>
    </row>
    <row r="47" spans="1:11" x14ac:dyDescent="0.25">
      <c r="A47" s="17">
        <v>17</v>
      </c>
      <c r="B47" s="15">
        <f t="shared" si="1"/>
        <v>-4.7836369961083244E-2</v>
      </c>
      <c r="C47" s="15">
        <f t="shared" si="9"/>
        <v>-0.25460401425121576</v>
      </c>
      <c r="D47" s="15">
        <f t="shared" si="3"/>
        <v>1.0835706738473345</v>
      </c>
      <c r="E47" s="15">
        <f t="shared" si="4"/>
        <v>-9.2556009839560471E-2</v>
      </c>
      <c r="F47" s="13">
        <f t="shared" si="7"/>
        <v>0.10339409512386753</v>
      </c>
      <c r="G47" s="13">
        <f t="shared" si="10"/>
        <v>-0.2045908191647651</v>
      </c>
      <c r="H47" s="13" t="e">
        <f t="shared" si="11"/>
        <v>#NUM!</v>
      </c>
      <c r="J47" s="15">
        <f t="shared" si="0"/>
        <v>1.3024403842122991</v>
      </c>
      <c r="K47" s="15">
        <f t="shared" si="6"/>
        <v>8.9853359922259513E-3</v>
      </c>
    </row>
    <row r="48" spans="1:11" x14ac:dyDescent="0.25">
      <c r="A48" s="17">
        <v>18</v>
      </c>
      <c r="B48" s="15">
        <f t="shared" si="1"/>
        <v>-5.4278893041069913E-2</v>
      </c>
      <c r="C48" s="15">
        <f t="shared" si="9"/>
        <v>-0.29485639253412615</v>
      </c>
      <c r="D48" s="15">
        <f t="shared" si="3"/>
        <v>1.0959438218849951</v>
      </c>
      <c r="E48" s="15">
        <f t="shared" si="4"/>
        <v>-0.10612432122259552</v>
      </c>
      <c r="F48" s="13">
        <f t="shared" si="7"/>
        <v>0.12981488408972325</v>
      </c>
      <c r="G48" s="13">
        <f t="shared" si="10"/>
        <v>-0.24839414142944463</v>
      </c>
      <c r="H48" s="13" t="e">
        <f t="shared" si="11"/>
        <v>#NUM!</v>
      </c>
      <c r="J48" s="15">
        <f t="shared" si="0"/>
        <v>1.3491352855751961</v>
      </c>
      <c r="K48" s="15">
        <f t="shared" si="6"/>
        <v>1.0180499337600457E-2</v>
      </c>
    </row>
    <row r="49" spans="1:18" x14ac:dyDescent="0.25">
      <c r="A49" s="17">
        <v>19</v>
      </c>
      <c r="B49" s="15">
        <f t="shared" si="1"/>
        <v>-5.9677448808685675E-2</v>
      </c>
      <c r="C49" s="15">
        <f t="shared" si="9"/>
        <v>-0.3294299513938953</v>
      </c>
      <c r="D49" s="15">
        <f t="shared" si="3"/>
        <v>1.1062017208822785</v>
      </c>
      <c r="E49" s="15">
        <f t="shared" si="4"/>
        <v>-0.1174935054542029</v>
      </c>
      <c r="F49" s="13">
        <f t="shared" si="7"/>
        <v>0.15283571733292084</v>
      </c>
      <c r="G49" s="13">
        <f t="shared" si="10"/>
        <v>-0.28656063898015732</v>
      </c>
      <c r="H49" s="13" t="e">
        <f t="shared" si="11"/>
        <v>#NUM!</v>
      </c>
      <c r="J49" s="15">
        <f t="shared" si="0"/>
        <v>1.3891074002025809</v>
      </c>
      <c r="K49" s="15">
        <f t="shared" si="6"/>
        <v>1.1291784571924368E-2</v>
      </c>
    </row>
    <row r="50" spans="1:18" x14ac:dyDescent="0.25">
      <c r="A50" s="17">
        <v>20</v>
      </c>
      <c r="B50" s="15">
        <f t="shared" si="1"/>
        <v>-6.4137065137744531E-2</v>
      </c>
      <c r="C50" s="15">
        <f t="shared" si="9"/>
        <v>-0.35857065241812758</v>
      </c>
      <c r="D50" s="15">
        <f t="shared" si="3"/>
        <v>1.1146018823742592</v>
      </c>
      <c r="E50" s="15">
        <f t="shared" si="4"/>
        <v>-0.12688500883994835</v>
      </c>
      <c r="F50" s="13">
        <f t="shared" si="7"/>
        <v>0.17248446530171591</v>
      </c>
      <c r="G50" s="13">
        <f t="shared" si="10"/>
        <v>-0.31913651854555863</v>
      </c>
      <c r="H50" s="13" t="e">
        <f t="shared" si="11"/>
        <v>#NUM!</v>
      </c>
      <c r="J50" s="15">
        <f t="shared" si="0"/>
        <v>1.422707717555872</v>
      </c>
      <c r="K50" s="15">
        <f t="shared" si="6"/>
        <v>1.2283126465689187E-2</v>
      </c>
    </row>
    <row r="52" spans="1:18" x14ac:dyDescent="0.25">
      <c r="R52" s="19"/>
    </row>
  </sheetData>
  <sheetProtection algorithmName="SHA-512" hashValue="dlYcaAQ+neDcnbgHOac8wUSOb07tN0lmNrasFQhroizkfJSArq/kzmWv1G57VVblSYLWix0Va84v8BL05LHZ8g==" saltValue="2wHH0fvbWfTXpPFiwGncQg==" spinCount="100000" sheet="1" objects="1" scenarios="1"/>
  <mergeCells count="2">
    <mergeCell ref="A17:B17"/>
    <mergeCell ref="A1:B1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workbookViewId="0">
      <selection activeCell="G11" sqref="G11"/>
    </sheetView>
  </sheetViews>
  <sheetFormatPr defaultRowHeight="15" x14ac:dyDescent="0.25"/>
  <sheetData>
    <row r="1" spans="1:12" x14ac:dyDescent="0.25">
      <c r="A1" s="34" t="s">
        <v>22</v>
      </c>
      <c r="B1" s="34"/>
      <c r="C1" s="5"/>
      <c r="D1" s="5"/>
      <c r="F1" s="36" t="s">
        <v>4</v>
      </c>
      <c r="G1" s="36"/>
    </row>
    <row r="2" spans="1:12" x14ac:dyDescent="0.25">
      <c r="A2" s="12" t="s">
        <v>23</v>
      </c>
      <c r="B2" s="12" t="s">
        <v>24</v>
      </c>
      <c r="C2" s="14" t="s">
        <v>25</v>
      </c>
      <c r="D2" s="14" t="s">
        <v>26</v>
      </c>
      <c r="F2" s="35" t="s">
        <v>55</v>
      </c>
      <c r="G2" s="35"/>
      <c r="H2" s="30"/>
      <c r="I2" s="12" t="s">
        <v>40</v>
      </c>
      <c r="J2" s="12" t="s">
        <v>38</v>
      </c>
      <c r="K2" s="1" t="s">
        <v>45</v>
      </c>
      <c r="L2" s="1" t="s">
        <v>26</v>
      </c>
    </row>
    <row r="3" spans="1:12" x14ac:dyDescent="0.25">
      <c r="A3" s="24">
        <v>1</v>
      </c>
      <c r="B3" s="24">
        <v>0</v>
      </c>
      <c r="C3" s="15">
        <f t="shared" ref="C3:C18" si="0">A*A3^2+B.*A3+C.</f>
        <v>-5.0728543310604168E-3</v>
      </c>
      <c r="D3" s="16">
        <f t="shared" ref="D3:D30" si="1">(C3-B3)^2</f>
        <v>2.573385106415843E-5</v>
      </c>
      <c r="F3" s="14" t="s">
        <v>5</v>
      </c>
      <c r="G3" s="26">
        <v>-0.51881265590713788</v>
      </c>
      <c r="I3" s="28">
        <v>0</v>
      </c>
      <c r="J3" s="28">
        <v>0</v>
      </c>
      <c r="K3" s="1">
        <f t="shared" ref="K3:K25" si="2">G.*I3^2+H.*I3+I.</f>
        <v>-9.3052647455272152E-3</v>
      </c>
      <c r="L3" s="1">
        <f>(K3-J3)^2</f>
        <v>8.6587951984351663E-5</v>
      </c>
    </row>
    <row r="4" spans="1:12" x14ac:dyDescent="0.25">
      <c r="A4" s="24">
        <v>0.95</v>
      </c>
      <c r="B4" s="24">
        <v>4.4999999999999998E-2</v>
      </c>
      <c r="C4" s="15">
        <f t="shared" si="0"/>
        <v>4.3803059999996563E-2</v>
      </c>
      <c r="D4" s="16">
        <f t="shared" si="1"/>
        <v>1.4326653636082235E-6</v>
      </c>
      <c r="F4" s="14" t="s">
        <v>6</v>
      </c>
      <c r="G4" s="26">
        <v>3.4166392397780417E-2</v>
      </c>
      <c r="I4" s="28">
        <v>0.02</v>
      </c>
      <c r="J4" s="28">
        <v>0.04</v>
      </c>
      <c r="K4" s="1">
        <f t="shared" si="2"/>
        <v>3.6989280388866945E-2</v>
      </c>
      <c r="L4" s="1">
        <f t="shared" ref="L4:L25" si="3">(K4-J4)^2</f>
        <v>9.0644325768611788E-6</v>
      </c>
    </row>
    <row r="5" spans="1:12" x14ac:dyDescent="0.25">
      <c r="A5" s="24">
        <v>0.9</v>
      </c>
      <c r="B5" s="24">
        <v>0.09</v>
      </c>
      <c r="C5" s="15">
        <f t="shared" si="0"/>
        <v>9.0084911051517724E-2</v>
      </c>
      <c r="D5" s="16">
        <f t="shared" si="1"/>
        <v>7.2098866698461904E-9</v>
      </c>
      <c r="F5" s="14" t="s">
        <v>7</v>
      </c>
      <c r="G5" s="26">
        <v>0.47957340917829705</v>
      </c>
      <c r="I5" s="28">
        <v>0.04</v>
      </c>
      <c r="J5" s="28">
        <v>0.08</v>
      </c>
      <c r="K5" s="1">
        <f t="shared" si="2"/>
        <v>8.0898905553835027E-2</v>
      </c>
      <c r="L5" s="1">
        <f t="shared" si="3"/>
        <v>8.0803119471545284E-7</v>
      </c>
    </row>
    <row r="6" spans="1:12" x14ac:dyDescent="0.25">
      <c r="A6" s="24">
        <v>0.85</v>
      </c>
      <c r="B6" s="24">
        <v>0.13500000000000001</v>
      </c>
      <c r="C6" s="15">
        <f t="shared" si="0"/>
        <v>0.13377269882350329</v>
      </c>
      <c r="D6" s="16">
        <f t="shared" si="1"/>
        <v>1.5062681778302333E-6</v>
      </c>
      <c r="F6" s="35" t="s">
        <v>56</v>
      </c>
      <c r="G6" s="35"/>
      <c r="I6" s="28">
        <v>0.06</v>
      </c>
      <c r="J6" s="28">
        <v>0.12</v>
      </c>
      <c r="K6" s="1">
        <f t="shared" si="2"/>
        <v>0.12242361074937703</v>
      </c>
      <c r="L6" s="1">
        <f t="shared" si="3"/>
        <v>5.8738890644959335E-6</v>
      </c>
    </row>
    <row r="7" spans="1:12" x14ac:dyDescent="0.25">
      <c r="A7" s="24">
        <v>0.8</v>
      </c>
      <c r="B7" s="24">
        <v>0.17499999999999999</v>
      </c>
      <c r="C7" s="15">
        <f t="shared" si="0"/>
        <v>0.17486642331595309</v>
      </c>
      <c r="D7" s="16">
        <f t="shared" si="1"/>
        <v>1.7842730520965033E-8</v>
      </c>
      <c r="F7" s="14" t="s">
        <v>8</v>
      </c>
      <c r="G7" s="26">
        <v>-13.2</v>
      </c>
      <c r="I7" s="28">
        <v>0.08</v>
      </c>
      <c r="J7" s="28">
        <v>0.16</v>
      </c>
      <c r="K7" s="1">
        <f t="shared" si="2"/>
        <v>0.16156339597549299</v>
      </c>
      <c r="L7" s="1">
        <f t="shared" si="3"/>
        <v>2.4442069761876688E-6</v>
      </c>
    </row>
    <row r="8" spans="1:12" x14ac:dyDescent="0.25">
      <c r="A8" s="24">
        <v>0.75</v>
      </c>
      <c r="B8" s="24">
        <v>0.215</v>
      </c>
      <c r="C8" s="15">
        <f t="shared" si="0"/>
        <v>0.21336608452886729</v>
      </c>
      <c r="D8" s="16">
        <f t="shared" si="1"/>
        <v>2.6696797668067994E-6</v>
      </c>
      <c r="F8" s="13" t="s">
        <v>29</v>
      </c>
      <c r="G8" s="26">
        <v>4.9000000000000004</v>
      </c>
      <c r="I8" s="28">
        <v>0.1</v>
      </c>
      <c r="J8" s="28">
        <v>0.19</v>
      </c>
      <c r="K8" s="1">
        <f t="shared" si="2"/>
        <v>0.19831826123218285</v>
      </c>
      <c r="L8" s="1">
        <f t="shared" si="3"/>
        <v>6.9193469926836146E-5</v>
      </c>
    </row>
    <row r="9" spans="1:12" x14ac:dyDescent="0.25">
      <c r="A9" s="24">
        <v>0.7</v>
      </c>
      <c r="B9" s="24">
        <v>0.245</v>
      </c>
      <c r="C9" s="15">
        <f t="shared" si="0"/>
        <v>0.24927168246224582</v>
      </c>
      <c r="D9" s="16">
        <f t="shared" si="1"/>
        <v>1.8247271058258545E-5</v>
      </c>
      <c r="F9" s="14" t="s">
        <v>30</v>
      </c>
      <c r="G9" s="26">
        <v>0.01</v>
      </c>
      <c r="I9" s="28">
        <v>0.12</v>
      </c>
      <c r="J9" s="28">
        <v>0.22500000000000001</v>
      </c>
      <c r="K9" s="1">
        <f t="shared" si="2"/>
        <v>0.23268820651944663</v>
      </c>
      <c r="L9" s="1">
        <f t="shared" si="3"/>
        <v>5.9108519485661624E-5</v>
      </c>
    </row>
    <row r="10" spans="1:12" x14ac:dyDescent="0.25">
      <c r="A10" s="24">
        <v>0.65</v>
      </c>
      <c r="B10" s="24">
        <v>0.28000000000000003</v>
      </c>
      <c r="C10" s="15">
        <f t="shared" si="0"/>
        <v>0.28258321711608858</v>
      </c>
      <c r="D10" s="16">
        <f t="shared" si="1"/>
        <v>6.6730106688528669E-6</v>
      </c>
      <c r="I10" s="28">
        <v>0.14000000000000001</v>
      </c>
      <c r="J10" s="28">
        <v>0.25700000000000001</v>
      </c>
      <c r="K10" s="1">
        <f t="shared" si="2"/>
        <v>0.26467323183728431</v>
      </c>
      <c r="L10" s="1">
        <f t="shared" si="3"/>
        <v>5.8878486828713397E-5</v>
      </c>
    </row>
    <row r="11" spans="1:12" x14ac:dyDescent="0.25">
      <c r="A11" s="24">
        <v>0.6</v>
      </c>
      <c r="B11" s="24">
        <v>0.31</v>
      </c>
      <c r="C11" s="15">
        <f t="shared" si="0"/>
        <v>0.31330068849039566</v>
      </c>
      <c r="D11" s="16">
        <f t="shared" si="1"/>
        <v>1.0894544510630411E-5</v>
      </c>
      <c r="I11" s="28">
        <v>0.16</v>
      </c>
      <c r="J11" s="28">
        <v>0.28699999999999998</v>
      </c>
      <c r="K11" s="1">
        <f t="shared" si="2"/>
        <v>0.29427333718569587</v>
      </c>
      <c r="L11" s="1">
        <f t="shared" si="3"/>
        <v>5.2901433816826666E-5</v>
      </c>
    </row>
    <row r="12" spans="1:12" x14ac:dyDescent="0.25">
      <c r="A12" s="24">
        <v>0.55000000000000004</v>
      </c>
      <c r="B12" s="24">
        <v>0.34</v>
      </c>
      <c r="C12" s="15">
        <f t="shared" si="0"/>
        <v>0.34142409658516704</v>
      </c>
      <c r="D12" s="16">
        <f t="shared" si="1"/>
        <v>2.0280510838843441E-6</v>
      </c>
      <c r="I12" s="28">
        <v>0.18</v>
      </c>
      <c r="J12" s="28">
        <v>0.315</v>
      </c>
      <c r="K12" s="1">
        <f t="shared" si="2"/>
        <v>0.32148852256468141</v>
      </c>
      <c r="L12" s="1">
        <f t="shared" si="3"/>
        <v>4.2100925072379816E-5</v>
      </c>
    </row>
    <row r="13" spans="1:12" x14ac:dyDescent="0.25">
      <c r="A13" s="24">
        <v>0.5</v>
      </c>
      <c r="B13" s="24">
        <v>0.37</v>
      </c>
      <c r="C13" s="15">
        <f t="shared" si="0"/>
        <v>0.36695344140040276</v>
      </c>
      <c r="D13" s="16">
        <f t="shared" si="1"/>
        <v>9.2815193007798828E-6</v>
      </c>
      <c r="I13" s="28">
        <v>0.2</v>
      </c>
      <c r="J13" s="28">
        <v>0.34</v>
      </c>
      <c r="K13" s="1">
        <f t="shared" si="2"/>
        <v>0.34631878797424093</v>
      </c>
      <c r="L13" s="1">
        <f t="shared" si="3"/>
        <v>3.9927081463411448E-5</v>
      </c>
    </row>
    <row r="14" spans="1:12" x14ac:dyDescent="0.25">
      <c r="A14" s="24">
        <v>0.45000000000000101</v>
      </c>
      <c r="B14" s="24">
        <v>0.39300000000000002</v>
      </c>
      <c r="C14" s="15">
        <f t="shared" si="0"/>
        <v>0.38988872293610238</v>
      </c>
      <c r="D14" s="16">
        <f t="shared" si="1"/>
        <v>9.6800449683354743E-6</v>
      </c>
      <c r="I14" s="28">
        <v>0.22</v>
      </c>
      <c r="J14" s="28">
        <v>0.36499999999999999</v>
      </c>
      <c r="K14" s="1">
        <f t="shared" si="2"/>
        <v>0.36876413341437431</v>
      </c>
      <c r="L14" s="1">
        <f t="shared" si="3"/>
        <v>1.4168700361209242E-5</v>
      </c>
    </row>
    <row r="15" spans="1:12" x14ac:dyDescent="0.25">
      <c r="A15" s="24">
        <v>0.40000000000000102</v>
      </c>
      <c r="B15" s="24">
        <v>0.41199999999999998</v>
      </c>
      <c r="C15" s="15">
        <f t="shared" si="0"/>
        <v>0.41022994119226674</v>
      </c>
      <c r="D15" s="16">
        <f t="shared" si="1"/>
        <v>3.1331081828339924E-6</v>
      </c>
      <c r="I15" s="28">
        <v>0.24</v>
      </c>
      <c r="J15" s="28">
        <v>0.38500000000000001</v>
      </c>
      <c r="K15" s="1">
        <f t="shared" si="2"/>
        <v>0.38882455888508161</v>
      </c>
      <c r="L15" s="1">
        <f t="shared" si="3"/>
        <v>1.4627250665456588E-5</v>
      </c>
    </row>
    <row r="16" spans="1:12" x14ac:dyDescent="0.25">
      <c r="A16" s="24">
        <v>0.35000000000000098</v>
      </c>
      <c r="B16" s="24">
        <v>0.43</v>
      </c>
      <c r="C16" s="15">
        <f t="shared" si="0"/>
        <v>0.42797709616889551</v>
      </c>
      <c r="D16" s="16">
        <f t="shared" si="1"/>
        <v>4.0921399098971959E-6</v>
      </c>
      <c r="I16" s="28">
        <v>0.26</v>
      </c>
      <c r="J16" s="28">
        <v>0.40500000000000003</v>
      </c>
      <c r="K16" s="1">
        <f t="shared" si="2"/>
        <v>0.40650006438636282</v>
      </c>
      <c r="L16" s="1">
        <f t="shared" si="3"/>
        <v>2.2501931632339983E-6</v>
      </c>
    </row>
    <row r="17" spans="1:15" x14ac:dyDescent="0.25">
      <c r="A17" s="24">
        <v>0.30000000000000099</v>
      </c>
      <c r="B17" s="24">
        <v>0.44500000000000001</v>
      </c>
      <c r="C17" s="15">
        <f t="shared" si="0"/>
        <v>0.44313018786598851</v>
      </c>
      <c r="D17" s="16">
        <f t="shared" si="1"/>
        <v>3.4961974164966201E-6</v>
      </c>
      <c r="I17" s="28">
        <v>0.28000000000000003</v>
      </c>
      <c r="J17" s="28">
        <v>0.42199999999999999</v>
      </c>
      <c r="K17" s="1">
        <f t="shared" si="2"/>
        <v>0.42179064991821807</v>
      </c>
      <c r="L17" s="1">
        <f t="shared" si="3"/>
        <v>4.3827456742093082E-8</v>
      </c>
    </row>
    <row r="18" spans="1:15" x14ac:dyDescent="0.25">
      <c r="A18" s="24">
        <v>0.250000000000001</v>
      </c>
      <c r="B18" s="24">
        <v>0.45600000000000002</v>
      </c>
      <c r="C18" s="15">
        <f t="shared" si="0"/>
        <v>0.45568921628354581</v>
      </c>
      <c r="D18" s="16">
        <f t="shared" si="1"/>
        <v>9.6586518413091075E-8</v>
      </c>
      <c r="I18" s="28">
        <v>0.3</v>
      </c>
      <c r="J18" s="28">
        <v>0.435</v>
      </c>
      <c r="K18" s="1">
        <f t="shared" si="2"/>
        <v>0.43469631548064708</v>
      </c>
      <c r="L18" s="1">
        <f t="shared" si="3"/>
        <v>9.222428729461422E-8</v>
      </c>
    </row>
    <row r="19" spans="1:15" x14ac:dyDescent="0.25">
      <c r="A19" s="25">
        <v>0.20000000000000101</v>
      </c>
      <c r="B19" s="25">
        <v>0.46300000000000002</v>
      </c>
      <c r="C19" s="15">
        <f t="shared" ref="C19:C30" si="4">D.*A19^2+E.*A19+F.</f>
        <v>0.46199999999999974</v>
      </c>
      <c r="D19" s="16">
        <f t="shared" si="1"/>
        <v>1.0000000000005569E-6</v>
      </c>
      <c r="I19" s="28">
        <v>0.32</v>
      </c>
      <c r="J19" s="28">
        <v>0.44800000000000001</v>
      </c>
      <c r="K19" s="1">
        <f t="shared" si="2"/>
        <v>0.44521706107365</v>
      </c>
      <c r="L19" s="1">
        <f t="shared" si="3"/>
        <v>7.7447490677941416E-6</v>
      </c>
    </row>
    <row r="20" spans="1:15" x14ac:dyDescent="0.25">
      <c r="A20" s="25">
        <v>0.19900000000000001</v>
      </c>
      <c r="B20" s="25">
        <v>0.46200000000000002</v>
      </c>
      <c r="C20" s="15">
        <f t="shared" si="4"/>
        <v>0.46236680000000008</v>
      </c>
      <c r="D20" s="16">
        <f t="shared" si="1"/>
        <v>1.3454224000004107E-7</v>
      </c>
      <c r="I20" s="28">
        <v>0.34</v>
      </c>
      <c r="J20" s="28">
        <v>0.45700000000000002</v>
      </c>
      <c r="K20" s="1">
        <f t="shared" si="2"/>
        <v>0.45335288669722701</v>
      </c>
      <c r="L20" s="1">
        <f t="shared" si="3"/>
        <v>1.3301435443263842E-5</v>
      </c>
    </row>
    <row r="21" spans="1:15" x14ac:dyDescent="0.25">
      <c r="A21" s="25">
        <v>0.18</v>
      </c>
      <c r="B21" s="25">
        <v>0.46200000000000002</v>
      </c>
      <c r="C21" s="15">
        <f t="shared" si="4"/>
        <v>0.46432000000000007</v>
      </c>
      <c r="D21" s="16">
        <f t="shared" si="1"/>
        <v>5.3824000000002053E-6</v>
      </c>
      <c r="I21" s="28">
        <v>0.36</v>
      </c>
      <c r="J21" s="28">
        <v>0.46500000000000002</v>
      </c>
      <c r="K21" s="1">
        <f t="shared" si="2"/>
        <v>0.45910379235137777</v>
      </c>
      <c r="L21" s="1">
        <f t="shared" si="3"/>
        <v>3.4765264635671568E-5</v>
      </c>
    </row>
    <row r="22" spans="1:15" x14ac:dyDescent="0.25">
      <c r="A22" s="25">
        <v>0.16</v>
      </c>
      <c r="B22" s="25">
        <v>0.45800000000000002</v>
      </c>
      <c r="C22" s="15">
        <f t="shared" si="4"/>
        <v>0.45608000000000004</v>
      </c>
      <c r="D22" s="16">
        <f t="shared" si="1"/>
        <v>3.6863999999999127E-6</v>
      </c>
      <c r="I22" s="28">
        <v>0.38</v>
      </c>
      <c r="J22" s="28">
        <v>0.46300000000000002</v>
      </c>
      <c r="K22" s="1">
        <f t="shared" si="2"/>
        <v>0.46246977803610262</v>
      </c>
      <c r="L22" s="1">
        <f t="shared" si="3"/>
        <v>2.8113533099921972E-7</v>
      </c>
    </row>
    <row r="23" spans="1:15" x14ac:dyDescent="0.25">
      <c r="A23" s="25">
        <v>0.14000000000000001</v>
      </c>
      <c r="B23" s="25">
        <v>0.44</v>
      </c>
      <c r="C23" s="15">
        <f t="shared" si="4"/>
        <v>0.43728000000000017</v>
      </c>
      <c r="D23" s="16">
        <f t="shared" si="1"/>
        <v>7.3983999999990947E-6</v>
      </c>
      <c r="I23" s="28">
        <v>0.4</v>
      </c>
      <c r="J23" s="28">
        <v>0.46</v>
      </c>
      <c r="K23" s="1">
        <f t="shared" si="2"/>
        <v>0.46345084375140122</v>
      </c>
      <c r="L23" s="1">
        <f t="shared" si="3"/>
        <v>1.190832259658471E-5</v>
      </c>
      <c r="N23" s="1" t="s">
        <v>46</v>
      </c>
      <c r="O23" s="29">
        <v>-2.9811499617825974</v>
      </c>
    </row>
    <row r="24" spans="1:15" x14ac:dyDescent="0.25">
      <c r="A24" s="25">
        <v>0.12</v>
      </c>
      <c r="B24" s="25">
        <v>0.41</v>
      </c>
      <c r="C24" s="15">
        <f t="shared" si="4"/>
        <v>0.40792</v>
      </c>
      <c r="D24" s="16">
        <f t="shared" si="1"/>
        <v>4.3263999999998787E-6</v>
      </c>
      <c r="I24" s="28">
        <v>0.42</v>
      </c>
      <c r="J24" s="28">
        <v>0.45500000000000002</v>
      </c>
      <c r="K24" s="1">
        <f t="shared" si="2"/>
        <v>0.46204698949727391</v>
      </c>
      <c r="L24" s="1">
        <f t="shared" si="3"/>
        <v>4.9660060974688544E-5</v>
      </c>
      <c r="N24" s="1" t="s">
        <v>47</v>
      </c>
      <c r="O24" s="29">
        <v>2.3743502559553602</v>
      </c>
    </row>
    <row r="25" spans="1:15" x14ac:dyDescent="0.25">
      <c r="A25" s="25">
        <v>0.100000000000001</v>
      </c>
      <c r="B25" s="25">
        <v>0.37</v>
      </c>
      <c r="C25" s="15">
        <f t="shared" si="4"/>
        <v>0.36800000000000233</v>
      </c>
      <c r="D25" s="16">
        <f t="shared" si="1"/>
        <v>3.9999999999906816E-6</v>
      </c>
      <c r="I25" s="28">
        <v>0.43</v>
      </c>
      <c r="J25" s="28">
        <v>0.45</v>
      </c>
      <c r="K25" s="1">
        <f t="shared" si="2"/>
        <v>0.46045071738167548</v>
      </c>
      <c r="L25" s="1">
        <f t="shared" si="3"/>
        <v>1.0921749379165373E-4</v>
      </c>
      <c r="N25" s="1" t="s">
        <v>48</v>
      </c>
      <c r="O25" s="29">
        <v>-9.3052647455272152E-3</v>
      </c>
    </row>
    <row r="26" spans="1:15" x14ac:dyDescent="0.25">
      <c r="A26" s="25">
        <v>0.08</v>
      </c>
      <c r="B26" s="25">
        <v>0.32</v>
      </c>
      <c r="C26" s="15">
        <f t="shared" si="4"/>
        <v>0.31752000000000002</v>
      </c>
      <c r="D26" s="16">
        <f t="shared" si="1"/>
        <v>6.1503999999999115E-6</v>
      </c>
      <c r="K26" s="1" t="s">
        <v>49</v>
      </c>
      <c r="L26" s="29">
        <f>SUM(L3:L25)</f>
        <v>6.8494908616503313E-4</v>
      </c>
    </row>
    <row r="27" spans="1:15" x14ac:dyDescent="0.25">
      <c r="A27" s="25">
        <v>0.06</v>
      </c>
      <c r="B27" s="25">
        <v>0.26</v>
      </c>
      <c r="C27" s="15">
        <f t="shared" si="4"/>
        <v>0.25647999999999999</v>
      </c>
      <c r="D27" s="16">
        <f t="shared" si="1"/>
        <v>1.2390400000000163E-5</v>
      </c>
    </row>
    <row r="28" spans="1:15" x14ac:dyDescent="0.25">
      <c r="A28" s="25">
        <v>0.04</v>
      </c>
      <c r="B28" s="25">
        <v>0.19</v>
      </c>
      <c r="C28" s="15">
        <f t="shared" si="4"/>
        <v>0.18488000000000002</v>
      </c>
      <c r="D28" s="16">
        <f t="shared" si="1"/>
        <v>2.6214399999999852E-5</v>
      </c>
    </row>
    <row r="29" spans="1:15" x14ac:dyDescent="0.25">
      <c r="A29" s="25">
        <v>0.02</v>
      </c>
      <c r="B29" s="25">
        <v>0.1</v>
      </c>
      <c r="C29" s="15">
        <f t="shared" si="4"/>
        <v>0.10271999999999999</v>
      </c>
      <c r="D29" s="16">
        <f t="shared" si="1"/>
        <v>7.3983999999999256E-6</v>
      </c>
    </row>
    <row r="30" spans="1:15" x14ac:dyDescent="0.25">
      <c r="A30" s="25">
        <v>0</v>
      </c>
      <c r="B30" s="25">
        <v>0</v>
      </c>
      <c r="C30" s="15">
        <f t="shared" si="4"/>
        <v>0.01</v>
      </c>
      <c r="D30" s="16">
        <f t="shared" si="1"/>
        <v>1E-4</v>
      </c>
    </row>
    <row r="31" spans="1:15" x14ac:dyDescent="0.25">
      <c r="A31" s="5"/>
      <c r="B31" s="5"/>
      <c r="C31" s="18" t="s">
        <v>31</v>
      </c>
      <c r="D31" s="27">
        <f>SUM(D3:D19)</f>
        <v>9.9989990607977477E-5</v>
      </c>
    </row>
    <row r="32" spans="1:15" x14ac:dyDescent="0.25">
      <c r="A32" s="5"/>
      <c r="B32" s="5"/>
      <c r="C32" s="18" t="s">
        <v>32</v>
      </c>
      <c r="D32" s="27">
        <f>SUM(D18:D30)</f>
        <v>1.7817832875840334E-4</v>
      </c>
    </row>
  </sheetData>
  <mergeCells count="4">
    <mergeCell ref="A1:B1"/>
    <mergeCell ref="F2:G2"/>
    <mergeCell ref="F6:G6"/>
    <mergeCell ref="F1:G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4" sqref="L4"/>
    </sheetView>
  </sheetViews>
  <sheetFormatPr defaultRowHeight="15" x14ac:dyDescent="0.25"/>
  <sheetData/>
  <sheetProtection algorithmName="SHA-512" hashValue="JGyRJzKzQ5xkGH7RWu/laYJKvPsdokg/L1gND8G2YlAEbg0Md8r78UzTEg2sHhRzKXYLDua/qol59Px9Cwja2A==" saltValue="o0tE0XVOtFA8iEFelHVCV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37" t="s">
        <v>57</v>
      </c>
      <c r="C3" s="38"/>
      <c r="D3" s="38"/>
      <c r="E3" s="39"/>
    </row>
    <row r="4" spans="2:5" x14ac:dyDescent="0.25">
      <c r="B4" s="40" t="s">
        <v>58</v>
      </c>
      <c r="C4" s="41" t="s">
        <v>59</v>
      </c>
      <c r="D4" s="41"/>
      <c r="E4" s="42"/>
    </row>
    <row r="5" spans="2:5" ht="15.75" thickBot="1" x14ac:dyDescent="0.3">
      <c r="B5" s="43" t="s">
        <v>60</v>
      </c>
      <c r="C5" s="44">
        <v>2017</v>
      </c>
      <c r="D5" s="45"/>
      <c r="E5" s="46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35</vt:i4>
      </vt:variant>
    </vt:vector>
  </HeadingPairs>
  <TitlesOfParts>
    <vt:vector size="39" baseType="lpstr">
      <vt:lpstr>Liquid-Liquid Extraction</vt:lpstr>
      <vt:lpstr>Equilibrium</vt:lpstr>
      <vt:lpstr>Figures</vt:lpstr>
      <vt:lpstr>Credits</vt:lpstr>
      <vt:lpstr>A</vt:lpstr>
      <vt:lpstr>'Liquid-Liquid Extraction'!A.</vt:lpstr>
      <vt:lpstr>A.</vt:lpstr>
      <vt:lpstr>'Liquid-Liquid Extraction'!B.</vt:lpstr>
      <vt:lpstr>B.</vt:lpstr>
      <vt:lpstr>'Liquid-Liquid Extraction'!C.</vt:lpstr>
      <vt:lpstr>C.</vt:lpstr>
      <vt:lpstr>'Liquid-Liquid Extraction'!D.</vt:lpstr>
      <vt:lpstr>D.</vt:lpstr>
      <vt:lpstr>E.</vt:lpstr>
      <vt:lpstr>F.</vt:lpstr>
      <vt:lpstr>f2_0</vt:lpstr>
      <vt:lpstr>G.</vt:lpstr>
      <vt:lpstr>H.</vt:lpstr>
      <vt:lpstr>I.</vt:lpstr>
      <vt:lpstr>Ln.</vt:lpstr>
      <vt:lpstr>'Liquid-Liquid Extraction'!Lo</vt:lpstr>
      <vt:lpstr>M</vt:lpstr>
      <vt:lpstr>'Liquid-Liquid Extraction'!V1.</vt:lpstr>
      <vt:lpstr>'Liquid-Liquid Extraction'!Vn_1</vt:lpstr>
      <vt:lpstr>'Liquid-Liquid Extraction'!xam</vt:lpstr>
      <vt:lpstr>'Liquid-Liquid Extraction'!xan</vt:lpstr>
      <vt:lpstr>'Liquid-Liquid Extraction'!xao</vt:lpstr>
      <vt:lpstr>'Liquid-Liquid Extraction'!xbo</vt:lpstr>
      <vt:lpstr>xcm</vt:lpstr>
      <vt:lpstr>xcn</vt:lpstr>
      <vt:lpstr>'Liquid-Liquid Extraction'!xco</vt:lpstr>
      <vt:lpstr>'Liquid-Liquid Extraction'!xn</vt:lpstr>
      <vt:lpstr>'Liquid-Liquid Extraction'!xo</vt:lpstr>
      <vt:lpstr>'Liquid-Liquid Extraction'!y1_</vt:lpstr>
      <vt:lpstr>ya2_</vt:lpstr>
      <vt:lpstr>'Liquid-Liquid Extraction'!yan_1</vt:lpstr>
      <vt:lpstr>yc2_</vt:lpstr>
      <vt:lpstr>'Liquid-Liquid Extraction'!ycn_1</vt:lpstr>
      <vt:lpstr>'Liquid-Liquid Extraction'!yn_1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2017-03-27T03:37:43Z</dcterms:modified>
</cp:coreProperties>
</file>