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res\Dropbox\planilhas\chemeng\unit operations\"/>
    </mc:Choice>
  </mc:AlternateContent>
  <workbookProtection workbookAlgorithmName="SHA-512" workbookHashValue="tEQ/0gI1cQahTrLa56OGWD4HchoXH5hqcf80j+sDPK1BqEskWMI1YysZADKH26c8rixJvtQuwUUNXPAK+DDg4Q==" workbookSaltValue="BY5UsPJEoQId133mlmmgVQ==" workbookSpinCount="100000" lockStructure="1"/>
  <bookViews>
    <workbookView xWindow="240" yWindow="45" windowWidth="20115" windowHeight="7995"/>
  </bookViews>
  <sheets>
    <sheet name="Liquid-Liquid Extraction" sheetId="2" r:id="rId1"/>
    <sheet name="Equilibrium" sheetId="3" r:id="rId2"/>
    <sheet name="Figures" sheetId="4" r:id="rId3"/>
    <sheet name="Credits" sheetId="5" r:id="rId4"/>
  </sheets>
  <externalReferences>
    <externalReference r:id="rId5"/>
    <externalReference r:id="rId6"/>
  </externalReferences>
  <definedNames>
    <definedName name="A." localSheetId="3">[1]Operation!$C$3</definedName>
    <definedName name="A." localSheetId="0">'Liquid-Liquid Extraction'!$B$19</definedName>
    <definedName name="A.">#REF!</definedName>
    <definedName name="A..">#REF!</definedName>
    <definedName name="ae">[2]Main!#REF!</definedName>
    <definedName name="ai">[2]Main!$M$10</definedName>
    <definedName name="ao">[2]Main!$P$10</definedName>
    <definedName name="Area">[2]Main!$T$13</definedName>
    <definedName name="at">[2]Main!$M$8</definedName>
    <definedName name="B" localSheetId="3">[2]Main!$P$8</definedName>
    <definedName name="B">#REF!</definedName>
    <definedName name="B." localSheetId="3">[1]Operation!$C$4</definedName>
    <definedName name="B." localSheetId="0">'Liquid-Liquid Extraction'!$B$20</definedName>
    <definedName name="B.">#REF!</definedName>
    <definedName name="B..">#REF!</definedName>
    <definedName name="C." localSheetId="3">[1]Operation!$C$5</definedName>
    <definedName name="C." localSheetId="0">'Liquid-Liquid Extraction'!$B$21</definedName>
    <definedName name="C.">#REF!</definedName>
    <definedName name="C_">#REF!</definedName>
    <definedName name="const1">#REF!</definedName>
    <definedName name="const10">#REF!</definedName>
    <definedName name="const11">#REF!</definedName>
    <definedName name="const12">#REF!</definedName>
    <definedName name="const13">#REF!</definedName>
    <definedName name="const14">#REF!</definedName>
    <definedName name="const15">#REF!</definedName>
    <definedName name="const16">#REF!</definedName>
    <definedName name="const17">#REF!</definedName>
    <definedName name="const18">#REF!</definedName>
    <definedName name="const19">#REF!</definedName>
    <definedName name="const2">#REF!</definedName>
    <definedName name="const20">#REF!</definedName>
    <definedName name="const3">#REF!</definedName>
    <definedName name="const4">#REF!</definedName>
    <definedName name="const5">#REF!</definedName>
    <definedName name="const6">#REF!</definedName>
    <definedName name="const7">#REF!</definedName>
    <definedName name="const8">#REF!</definedName>
    <definedName name="const9">#REF!</definedName>
    <definedName name="Cpc">[2]Main!$C$13</definedName>
    <definedName name="Cpe">[2]Main!#REF!</definedName>
    <definedName name="Cph">[2]Main!$F$13</definedName>
    <definedName name="Cpi">[2]Main!$M$12</definedName>
    <definedName name="Cpo">[2]Main!$P$12</definedName>
    <definedName name="D." localSheetId="3">[1]Equilibrium!$R$3</definedName>
    <definedName name="D." localSheetId="0">'Liquid-Liquid Extraction'!$B$23</definedName>
    <definedName name="D.">#REF!</definedName>
    <definedName name="D_shell">[2]Main!#REF!</definedName>
    <definedName name="Deq">[2]Main!$T$4</definedName>
    <definedName name="Dh">[2]Main!#REF!</definedName>
    <definedName name="Dshell">[2]Main!$P$4</definedName>
    <definedName name="dT">[2]Main!$J$16</definedName>
    <definedName name="dTc">[2]Main!$C$10</definedName>
    <definedName name="Dte">[2]Main!#REF!</definedName>
    <definedName name="dTh">[2]Main!$F$10</definedName>
    <definedName name="Dti">[2]Main!#REF!</definedName>
    <definedName name="dTlm">[2]Main!$J$10</definedName>
    <definedName name="Dtube_e">[2]Main!$M$5</definedName>
    <definedName name="Dtube_i">[2]Main!$M$4</definedName>
    <definedName name="E." localSheetId="3">[1]Equilibrium!$R$4</definedName>
    <definedName name="E." localSheetId="1">#REF!</definedName>
    <definedName name="E.">'Liquid-Liquid Extraction'!$B$24</definedName>
    <definedName name="eu">[2]Main!#REF!</definedName>
    <definedName name="F">[2]Main!$J$15</definedName>
    <definedName name="F." localSheetId="3">[1]Equilibrium!$R$5</definedName>
    <definedName name="F." localSheetId="1">#REF!</definedName>
    <definedName name="F.">'Liquid-Liquid Extraction'!$B$25</definedName>
    <definedName name="f1_0" localSheetId="1">#REF!</definedName>
    <definedName name="f1_0">'Liquid-Liquid Extraction'!#REF!</definedName>
    <definedName name="f2_0">'Liquid-Liquid Extraction'!#REF!</definedName>
    <definedName name="G.">Equilibrium!$O$23</definedName>
    <definedName name="Gi">[2]Main!$M$17</definedName>
    <definedName name="Go">[2]Main!$P$17</definedName>
    <definedName name="H.">Equilibrium!$O$24</definedName>
    <definedName name="h_i">[2]Main!$M$25</definedName>
    <definedName name="h_o">[2]Main!$P$25</definedName>
    <definedName name="hi">[2]Main!$M$21</definedName>
    <definedName name="hi2_">[2]Main!#REF!</definedName>
    <definedName name="hii">[2]Main!$M$22</definedName>
    <definedName name="ho">[2]Main!$P$21</definedName>
    <definedName name="ho2_">[2]Main!#REF!</definedName>
    <definedName name="I.">Equilibrium!$O$25</definedName>
    <definedName name="k_x.a">[1]Absorption_packed!#REF!</definedName>
    <definedName name="kc">[2]Main!$C$14</definedName>
    <definedName name="ke">[2]Main!#REF!</definedName>
    <definedName name="kh">[2]Main!$F$14</definedName>
    <definedName name="ki">[2]Main!$M$13</definedName>
    <definedName name="ko">[2]Main!$P$13</definedName>
    <definedName name="L." localSheetId="3">[1]Absorption_packed!$B$6</definedName>
    <definedName name="L." localSheetId="0">'Liquid-Liquid Extraction'!#REF!</definedName>
    <definedName name="L.">#REF!</definedName>
    <definedName name="L_" localSheetId="0">'Liquid-Liquid Extraction'!#REF!</definedName>
    <definedName name="L_">#REF!</definedName>
    <definedName name="LA">#REF!</definedName>
    <definedName name="Ln">#REF!</definedName>
    <definedName name="Ln.">'Liquid-Liquid Extraction'!#REF!</definedName>
    <definedName name="Lo" localSheetId="0">'Liquid-Liquid Extraction'!$B$2</definedName>
    <definedName name="Lo">#REF!</definedName>
    <definedName name="Lo.">#REF!</definedName>
    <definedName name="Lt">[2]Main!$M$7</definedName>
    <definedName name="M" localSheetId="1">#REF!</definedName>
    <definedName name="M">'Liquid-Liquid Extraction'!$K$5</definedName>
    <definedName name="mc">[2]Main!$C$4</definedName>
    <definedName name="me">[2]Main!#REF!</definedName>
    <definedName name="mh">[2]Main!$F$4</definedName>
    <definedName name="mi">[2]Main!$M$11</definedName>
    <definedName name="MM.a">[1]Absorption_packed!#REF!</definedName>
    <definedName name="MM.b">[1]Absorption_packed!#REF!</definedName>
    <definedName name="MM.c">[1]Absorption_packed!#REF!</definedName>
    <definedName name="MM_a">[1]Absorption_packed!$E$7</definedName>
    <definedName name="MM_b">[1]Absorption_packed!$E$8</definedName>
    <definedName name="MM_c">[1]Absorption_packed!$E$9</definedName>
    <definedName name="mo">[2]Main!$P$11</definedName>
    <definedName name="Nd">#REF!</definedName>
    <definedName name="NM">#REF!</definedName>
    <definedName name="Nn">#REF!</definedName>
    <definedName name="Nn_1">#REF!</definedName>
    <definedName name="No">#REF!</definedName>
    <definedName name="np">[2]Main!$P$6</definedName>
    <definedName name="nt">[2]Main!$M$6</definedName>
    <definedName name="P">[2]Main!$P$7</definedName>
    <definedName name="phi_i">[2]Main!$M$24</definedName>
    <definedName name="phi_o">[2]Main!$P$24</definedName>
    <definedName name="Pr_i">[2]Main!$M$19</definedName>
    <definedName name="Pr_o">[2]Main!$P$19</definedName>
    <definedName name="Q">[2]Main!$J$12</definedName>
    <definedName name="R.">[2]Main!$J$13</definedName>
    <definedName name="ral">[2]Main!$T$5</definedName>
    <definedName name="Rd">[2]Main!$T$3</definedName>
    <definedName name="Rdc">[2]Main!#REF!</definedName>
    <definedName name="Rdh">[2]Main!#REF!</definedName>
    <definedName name="Rdshell">[2]Main!$P$3</definedName>
    <definedName name="Rdtube">[2]Main!$M$3</definedName>
    <definedName name="Re_i">[2]Main!$M$18</definedName>
    <definedName name="Re_o">[2]Main!$P$18</definedName>
    <definedName name="ro_c">[2]Main!$C$16</definedName>
    <definedName name="ro_e">[2]Main!#REF!</definedName>
    <definedName name="ro_h">[2]Main!$F$16</definedName>
    <definedName name="ro_i">[2]Main!$M$15</definedName>
    <definedName name="ro_o">[2]Main!$P$15</definedName>
    <definedName name="S" localSheetId="3">[1]Absorption_packed!$E$2</definedName>
    <definedName name="S">'Liquid-Liquid Extraction'!$B$9</definedName>
    <definedName name="S.">[2]Main!$J$14</definedName>
    <definedName name="slope.L1.V2" localSheetId="1">#REF!</definedName>
    <definedName name="slope.L1.V2">'Liquid-Liquid Extraction'!#REF!</definedName>
    <definedName name="slope.Ln.V1" localSheetId="1">#REF!</definedName>
    <definedName name="slope.Ln.V1">'Liquid-Liquid Extraction'!#REF!</definedName>
    <definedName name="slope_n">#REF!</definedName>
    <definedName name="solver_adj" localSheetId="1" hidden="1">Equilibrium!$O$23:$O$25</definedName>
    <definedName name="solver_adj" localSheetId="0" hidden="1">'Liquid-Liquid Extraction'!$O$35:$O$54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100</definedName>
    <definedName name="solver_itr" localSheetId="0" hidden="1">100</definedName>
    <definedName name="solver_lhs1" localSheetId="0" hidden="1">'Liquid-Liquid Extraction'!$O$35:$O$49</definedName>
    <definedName name="solver_lin" localSheetId="1" hidden="1">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"""""""0.075"""""""</definedName>
    <definedName name="solver_msl" localSheetId="0" hidden="1">2</definedName>
    <definedName name="solver_neg" localSheetId="1" hidden="1">2</definedName>
    <definedName name="solver_neg" localSheetId="0" hidden="1">2</definedName>
    <definedName name="solver_nod" localSheetId="0" hidden="1">2147483647</definedName>
    <definedName name="solver_num" localSheetId="1" hidden="1">0</definedName>
    <definedName name="solver_num" localSheetId="0" hidden="1">0</definedName>
    <definedName name="solver_nwt" localSheetId="1" hidden="1">1</definedName>
    <definedName name="solver_nwt" localSheetId="0" hidden="1">1</definedName>
    <definedName name="solver_opt" localSheetId="1" hidden="1">Equilibrium!$L$26</definedName>
    <definedName name="solver_opt" localSheetId="0" hidden="1">'Liquid-Liquid Extraction'!$T$56</definedName>
    <definedName name="solver_pre" localSheetId="1" hidden="1">0.000001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1</definedName>
    <definedName name="solver_rlx" localSheetId="0" hidden="1">1</definedName>
    <definedName name="solver_rsd" localSheetId="0" hidden="1">0</definedName>
    <definedName name="solver_scl" localSheetId="1" hidden="1">2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0" hidden="1">100</definedName>
    <definedName name="solver_tim" localSheetId="1" hidden="1">100</definedName>
    <definedName name="solver_tim" localSheetId="0" hidden="1">100</definedName>
    <definedName name="solver_tol" localSheetId="1" hidden="1">0.05</definedName>
    <definedName name="solver_tol" localSheetId="0" hidden="1">5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  <definedName name="Squared">[2]Main!$J$4</definedName>
    <definedName name="Tc1_">[2]Main!$C$7</definedName>
    <definedName name="Tc2_">[2]Main!$C$8</definedName>
    <definedName name="Tcm">[2]Main!$C$9</definedName>
    <definedName name="Th1_">[2]Main!$F$7</definedName>
    <definedName name="Th2_">[2]Main!$F$8</definedName>
    <definedName name="Thm">[2]Main!$F$9</definedName>
    <definedName name="Triangular">[2]Main!$J$3</definedName>
    <definedName name="U">[2]Main!$T$14</definedName>
    <definedName name="u_i">[2]Main!$M$23</definedName>
    <definedName name="u_o">[2]Main!$P$23</definedName>
    <definedName name="uc">[2]Main!$C$15</definedName>
    <definedName name="Uclean">[2]Main!$T$10</definedName>
    <definedName name="uh">[2]Main!$F$15</definedName>
    <definedName name="ui">[2]Main!$M$14</definedName>
    <definedName name="uo">[2]Main!$P$14</definedName>
    <definedName name="V" localSheetId="0">'Liquid-Liquid Extraction'!#REF!</definedName>
    <definedName name="V">#REF!</definedName>
    <definedName name="V." localSheetId="3">[1]Absorption_packed!$B$2</definedName>
    <definedName name="V." localSheetId="0">'Liquid-Liquid Extraction'!#REF!</definedName>
    <definedName name="V.">#REF!</definedName>
    <definedName name="V1." localSheetId="0">'Liquid-Liquid Extraction'!#REF!</definedName>
    <definedName name="V1.">#REF!</definedName>
    <definedName name="V1_" localSheetId="0">#REF!</definedName>
    <definedName name="V1_">#REF!</definedName>
    <definedName name="Vc">[2]Main!$C$3</definedName>
    <definedName name="Vn_1" localSheetId="0">'Liquid-Liquid Extraction'!$B$9</definedName>
    <definedName name="Vn_1">#REF!</definedName>
    <definedName name="Vn_1." localSheetId="0">#REF!</definedName>
    <definedName name="Vn_1.">#REF!</definedName>
    <definedName name="x1.">[1]Absorption_packed!$B$9</definedName>
    <definedName name="x2.">[1]Absorption_packed!$B$7</definedName>
    <definedName name="xam" localSheetId="0">'Liquid-Liquid Extraction'!$R$35</definedName>
    <definedName name="xaM">#REF!</definedName>
    <definedName name="xan" localSheetId="0">'Liquid-Liquid Extraction'!$B$6</definedName>
    <definedName name="xan">#REF!</definedName>
    <definedName name="xao" localSheetId="0">'Liquid-Liquid Extraction'!$B$3</definedName>
    <definedName name="xao">#REF!</definedName>
    <definedName name="xbo" localSheetId="0">'Liquid-Liquid Extraction'!$B$4</definedName>
    <definedName name="xbo">#REF!</definedName>
    <definedName name="xcm" localSheetId="1">#REF!</definedName>
    <definedName name="xcm">'Liquid-Liquid Extraction'!$Q$35</definedName>
    <definedName name="xcn" localSheetId="1">#REF!</definedName>
    <definedName name="xcn">'Liquid-Liquid Extraction'!$B$7</definedName>
    <definedName name="xco" localSheetId="0">'Liquid-Liquid Extraction'!$B$5</definedName>
    <definedName name="xco">#REF!</definedName>
    <definedName name="xn" localSheetId="0">'Liquid-Liquid Extraction'!$B$6</definedName>
    <definedName name="xn">#REF!</definedName>
    <definedName name="xo" localSheetId="0">'Liquid-Liquid Extraction'!$B$3</definedName>
    <definedName name="xo">#REF!</definedName>
    <definedName name="y1.">[1]Absorption_packed!$B$3</definedName>
    <definedName name="y1_" localSheetId="0">'Liquid-Liquid Extraction'!$Q$35</definedName>
    <definedName name="y1_">#REF!</definedName>
    <definedName name="y2.">[1]Absorption_packed!$B$4</definedName>
    <definedName name="ya1." localSheetId="0">#REF!</definedName>
    <definedName name="ya1.">#REF!</definedName>
    <definedName name="ya1_" localSheetId="0">'Liquid-Liquid Extraction'!#REF!</definedName>
    <definedName name="ya1_">#REF!</definedName>
    <definedName name="ya10.">#REF!</definedName>
    <definedName name="ya2.">#REF!</definedName>
    <definedName name="ya2_">'Liquid-Liquid Extraction'!$P$36</definedName>
    <definedName name="ya3.">#REF!</definedName>
    <definedName name="ya4.">#REF!</definedName>
    <definedName name="ya5.">#REF!</definedName>
    <definedName name="ya6.">#REF!</definedName>
    <definedName name="ya7.">#REF!</definedName>
    <definedName name="ya8.">#REF!</definedName>
    <definedName name="ya9.">#REF!</definedName>
    <definedName name="yad">#REF!</definedName>
    <definedName name="yaM">#REF!</definedName>
    <definedName name="yan">#REF!</definedName>
    <definedName name="yan_1" localSheetId="0">'Liquid-Liquid Extraction'!$B$10</definedName>
    <definedName name="yan_1">#REF!</definedName>
    <definedName name="yao" localSheetId="0">#REF!</definedName>
    <definedName name="yao">#REF!</definedName>
    <definedName name="yc1_" localSheetId="1">#REF!</definedName>
    <definedName name="yc1_">'Liquid-Liquid Extraction'!#REF!</definedName>
    <definedName name="yc2_">'Liquid-Liquid Extraction'!$O$36</definedName>
    <definedName name="ycn_1" localSheetId="0">'Liquid-Liquid Extraction'!$B$11</definedName>
    <definedName name="ycn_1">#REF!</definedName>
    <definedName name="yco" localSheetId="0">#REF!</definedName>
    <definedName name="yco">#REF!</definedName>
    <definedName name="yn_1" localSheetId="0">'Liquid-Liquid Extraction'!$B$10</definedName>
    <definedName name="yn_1">#REF!</definedName>
  </definedNames>
  <calcPr calcId="171027"/>
</workbook>
</file>

<file path=xl/calcChain.xml><?xml version="1.0" encoding="utf-8"?>
<calcChain xmlns="http://schemas.openxmlformats.org/spreadsheetml/2006/main">
  <c r="P52" i="2" l="1"/>
  <c r="Y52" i="2" s="1"/>
  <c r="P53" i="2"/>
  <c r="Y53" i="2" s="1"/>
  <c r="P54" i="2"/>
  <c r="Y54" i="2" s="1"/>
  <c r="P50" i="2"/>
  <c r="Y50" i="2" s="1"/>
  <c r="P51" i="2"/>
  <c r="Y51" i="2" s="1"/>
  <c r="I4" i="2"/>
  <c r="R35" i="2"/>
  <c r="Q35" i="2"/>
  <c r="N50" i="2" l="1"/>
  <c r="N51" i="2"/>
  <c r="N52" i="2"/>
  <c r="M52" i="2" s="1"/>
  <c r="N54" i="2"/>
  <c r="M54" i="2" s="1"/>
  <c r="W54" i="2" s="1"/>
  <c r="N53" i="2"/>
  <c r="M53" i="2" s="1"/>
  <c r="X53" i="2"/>
  <c r="X52" i="2"/>
  <c r="X54" i="2"/>
  <c r="X50" i="2"/>
  <c r="X51" i="2"/>
  <c r="J4" i="2"/>
  <c r="K5" i="2"/>
  <c r="K25" i="3"/>
  <c r="L25" i="3" s="1"/>
  <c r="K24" i="3"/>
  <c r="L24" i="3" s="1"/>
  <c r="K23" i="3"/>
  <c r="L23" i="3" s="1"/>
  <c r="K22" i="3"/>
  <c r="L22" i="3" s="1"/>
  <c r="K21" i="3"/>
  <c r="L21" i="3" s="1"/>
  <c r="K20" i="3"/>
  <c r="L20" i="3" s="1"/>
  <c r="K19" i="3"/>
  <c r="L19" i="3" s="1"/>
  <c r="K18" i="3"/>
  <c r="L18" i="3" s="1"/>
  <c r="K17" i="3"/>
  <c r="L17" i="3" s="1"/>
  <c r="K16" i="3"/>
  <c r="L16" i="3" s="1"/>
  <c r="K15" i="3"/>
  <c r="L15" i="3" s="1"/>
  <c r="K14" i="3"/>
  <c r="L14" i="3" s="1"/>
  <c r="K13" i="3"/>
  <c r="L13" i="3" s="1"/>
  <c r="K12" i="3"/>
  <c r="L12" i="3" s="1"/>
  <c r="K11" i="3"/>
  <c r="L11" i="3" s="1"/>
  <c r="K10" i="3"/>
  <c r="L10" i="3" s="1"/>
  <c r="K9" i="3"/>
  <c r="L9" i="3" s="1"/>
  <c r="K8" i="3"/>
  <c r="L8" i="3" s="1"/>
  <c r="K7" i="3"/>
  <c r="L7" i="3" s="1"/>
  <c r="K6" i="3"/>
  <c r="L6" i="3" s="1"/>
  <c r="K5" i="3"/>
  <c r="L5" i="3" s="1"/>
  <c r="K4" i="3"/>
  <c r="L4" i="3" s="1"/>
  <c r="K3" i="3"/>
  <c r="L3" i="3" s="1"/>
  <c r="F31" i="2"/>
  <c r="G31" i="2" s="1"/>
  <c r="N34" i="2"/>
  <c r="M34" i="2"/>
  <c r="F30" i="2"/>
  <c r="G30" i="2" s="1"/>
  <c r="F29" i="2"/>
  <c r="G29" i="2" s="1"/>
  <c r="N33" i="2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B7" i="2"/>
  <c r="F6" i="2"/>
  <c r="G6" i="2" s="1"/>
  <c r="F5" i="2"/>
  <c r="G5" i="2" s="1"/>
  <c r="F4" i="2"/>
  <c r="G4" i="2" s="1"/>
  <c r="B4" i="2"/>
  <c r="M50" i="2" l="1"/>
  <c r="M51" i="2"/>
  <c r="S51" i="2" s="1"/>
  <c r="S54" i="2"/>
  <c r="W52" i="2"/>
  <c r="S52" i="2"/>
  <c r="U52" i="2"/>
  <c r="U53" i="2"/>
  <c r="W53" i="2"/>
  <c r="U54" i="2"/>
  <c r="S53" i="2"/>
  <c r="M33" i="2"/>
  <c r="W33" i="2" s="1"/>
  <c r="W34" i="2"/>
  <c r="L26" i="3"/>
  <c r="G33" i="2"/>
  <c r="G32" i="2"/>
  <c r="S50" i="2" l="1"/>
  <c r="W50" i="2"/>
  <c r="W51" i="2"/>
  <c r="U51" i="2"/>
  <c r="P35" i="2"/>
  <c r="X35" i="2" s="1"/>
  <c r="N35" i="2" l="1"/>
  <c r="Y35" i="2"/>
  <c r="M35" i="2" l="1"/>
  <c r="I5" i="2" s="1"/>
  <c r="J5" i="2" s="1"/>
  <c r="Q36" i="2" s="1"/>
  <c r="S35" i="2" l="1"/>
  <c r="T35" i="2" s="1"/>
  <c r="U35" i="2"/>
  <c r="W35" i="2"/>
  <c r="K6" i="2"/>
  <c r="R36" i="2"/>
  <c r="P36" i="2"/>
  <c r="X36" i="2" s="1"/>
  <c r="N36" i="2" l="1"/>
  <c r="Y36" i="2"/>
  <c r="M36" i="2" l="1"/>
  <c r="I6" i="2" s="1"/>
  <c r="J6" i="2" s="1"/>
  <c r="U36" i="2" l="1"/>
  <c r="W36" i="2"/>
  <c r="S36" i="2"/>
  <c r="T36" i="2" s="1"/>
  <c r="Q37" i="2" l="1"/>
  <c r="R37" i="2"/>
  <c r="K7" i="2"/>
  <c r="P37" i="2"/>
  <c r="X37" i="2" s="1"/>
  <c r="N37" i="2" l="1"/>
  <c r="Y37" i="2"/>
  <c r="M37" i="2" l="1"/>
  <c r="I7" i="2" s="1"/>
  <c r="J7" i="2" s="1"/>
  <c r="W37" i="2" l="1"/>
  <c r="U37" i="2"/>
  <c r="S37" i="2"/>
  <c r="T37" i="2" s="1"/>
  <c r="K8" i="2" l="1"/>
  <c r="R38" i="2"/>
  <c r="Q38" i="2"/>
  <c r="P38" i="2"/>
  <c r="X38" i="2" s="1"/>
  <c r="Y38" i="2" l="1"/>
  <c r="N38" i="2"/>
  <c r="M38" i="2" l="1"/>
  <c r="S38" i="2" l="1"/>
  <c r="T38" i="2" s="1"/>
  <c r="I8" i="2"/>
  <c r="J8" i="2" s="1"/>
  <c r="U38" i="2"/>
  <c r="W38" i="2"/>
  <c r="R39" i="2" l="1"/>
  <c r="K9" i="2"/>
  <c r="Q39" i="2"/>
  <c r="P39" i="2"/>
  <c r="N39" i="2" s="1"/>
  <c r="M39" i="2" l="1"/>
  <c r="I9" i="2" s="1"/>
  <c r="J9" i="2" s="1"/>
  <c r="X39" i="2"/>
  <c r="Y39" i="2"/>
  <c r="S39" i="2" l="1"/>
  <c r="T39" i="2" s="1"/>
  <c r="W39" i="2"/>
  <c r="U39" i="2"/>
  <c r="R40" i="2" l="1"/>
  <c r="K10" i="2"/>
  <c r="Q40" i="2"/>
  <c r="P40" i="2"/>
  <c r="X40" i="2" s="1"/>
  <c r="Y40" i="2" l="1"/>
  <c r="N40" i="2"/>
  <c r="M40" i="2" l="1"/>
  <c r="I10" i="2" s="1"/>
  <c r="J10" i="2" s="1"/>
  <c r="P41" i="2"/>
  <c r="Y41" i="2" s="1"/>
  <c r="U40" i="2" l="1"/>
  <c r="W40" i="2"/>
  <c r="S40" i="2"/>
  <c r="T40" i="2" s="1"/>
  <c r="N41" i="2"/>
  <c r="X41" i="2"/>
  <c r="Q41" i="2" l="1"/>
  <c r="K11" i="2"/>
  <c r="R41" i="2"/>
  <c r="M41" i="2"/>
  <c r="I11" i="2" l="1"/>
  <c r="J11" i="2" s="1"/>
  <c r="W41" i="2"/>
  <c r="U41" i="2"/>
  <c r="S41" i="2"/>
  <c r="T41" i="2" s="1"/>
  <c r="R42" i="2" l="1"/>
  <c r="K12" i="2"/>
  <c r="Q42" i="2"/>
  <c r="P42" i="2"/>
  <c r="X42" i="2" s="1"/>
  <c r="Y42" i="2" l="1"/>
  <c r="N42" i="2"/>
  <c r="M42" i="2" l="1"/>
  <c r="I12" i="2" s="1"/>
  <c r="J12" i="2" s="1"/>
  <c r="U42" i="2" l="1"/>
  <c r="W42" i="2"/>
  <c r="S42" i="2"/>
  <c r="T42" i="2" s="1"/>
  <c r="R43" i="2" l="1"/>
  <c r="Q43" i="2"/>
  <c r="K13" i="2"/>
  <c r="P43" i="2"/>
  <c r="X43" i="2" s="1"/>
  <c r="N43" i="2" l="1"/>
  <c r="Y43" i="2"/>
  <c r="M43" i="2" l="1"/>
  <c r="S43" i="2" l="1"/>
  <c r="T43" i="2" s="1"/>
  <c r="I13" i="2"/>
  <c r="J13" i="2" s="1"/>
  <c r="U43" i="2"/>
  <c r="W43" i="2"/>
  <c r="Q44" i="2" l="1"/>
  <c r="K14" i="2"/>
  <c r="R44" i="2"/>
  <c r="P44" i="2"/>
  <c r="X44" i="2" s="1"/>
  <c r="N44" i="2" l="1"/>
  <c r="Y44" i="2"/>
  <c r="M44" i="2" l="1"/>
  <c r="P45" i="2"/>
  <c r="Y45" i="2" s="1"/>
  <c r="S44" i="2" l="1"/>
  <c r="T44" i="2" s="1"/>
  <c r="I14" i="2"/>
  <c r="J14" i="2" s="1"/>
  <c r="W44" i="2"/>
  <c r="U44" i="2"/>
  <c r="X45" i="2"/>
  <c r="N45" i="2"/>
  <c r="K15" i="2" l="1"/>
  <c r="R45" i="2"/>
  <c r="Q45" i="2"/>
  <c r="M45" i="2"/>
  <c r="S45" i="2" s="1"/>
  <c r="I15" i="2" l="1"/>
  <c r="J15" i="2" s="1"/>
  <c r="T45" i="2"/>
  <c r="W45" i="2"/>
  <c r="U45" i="2"/>
  <c r="Q46" i="2" l="1"/>
  <c r="K16" i="2"/>
  <c r="R46" i="2"/>
  <c r="P46" i="2"/>
  <c r="X46" i="2" s="1"/>
  <c r="Y46" i="2" l="1"/>
  <c r="N46" i="2"/>
  <c r="M46" i="2" l="1"/>
  <c r="S46" i="2" l="1"/>
  <c r="T46" i="2" s="1"/>
  <c r="I16" i="2"/>
  <c r="J16" i="2" s="1"/>
  <c r="K17" i="2" s="1"/>
  <c r="U46" i="2"/>
  <c r="W46" i="2"/>
  <c r="P47" i="2"/>
  <c r="X47" i="2" s="1"/>
  <c r="R47" i="2" l="1"/>
  <c r="Q47" i="2"/>
  <c r="N47" i="2"/>
  <c r="Y47" i="2"/>
  <c r="M47" i="2" l="1"/>
  <c r="S47" i="2" l="1"/>
  <c r="T47" i="2" s="1"/>
  <c r="I17" i="2"/>
  <c r="J17" i="2" s="1"/>
  <c r="Q48" i="2" s="1"/>
  <c r="U47" i="2"/>
  <c r="W47" i="2"/>
  <c r="P48" i="2"/>
  <c r="X48" i="2" s="1"/>
  <c r="R48" i="2" l="1"/>
  <c r="K18" i="2"/>
  <c r="N48" i="2"/>
  <c r="Y48" i="2"/>
  <c r="M48" i="2" l="1"/>
  <c r="S48" i="2" s="1"/>
  <c r="T48" i="2" s="1"/>
  <c r="I18" i="2" l="1"/>
  <c r="J18" i="2" s="1"/>
  <c r="Q49" i="2" s="1"/>
  <c r="W48" i="2"/>
  <c r="U48" i="2"/>
  <c r="P49" i="2"/>
  <c r="X49" i="2" s="1"/>
  <c r="R49" i="2" l="1"/>
  <c r="K19" i="2"/>
  <c r="N49" i="2"/>
  <c r="Y49" i="2"/>
  <c r="M49" i="2" l="1"/>
  <c r="W49" i="2" s="1"/>
  <c r="U50" i="2"/>
  <c r="I19" i="2" l="1"/>
  <c r="J19" i="2" s="1"/>
  <c r="K20" i="2" s="1"/>
  <c r="U49" i="2"/>
  <c r="J26" i="2" s="1"/>
  <c r="S49" i="2"/>
  <c r="T49" i="2" s="1"/>
  <c r="R50" i="2" l="1"/>
  <c r="T50" i="2" s="1"/>
  <c r="Q50" i="2"/>
  <c r="I20" i="2" s="1"/>
  <c r="J20" i="2" s="1"/>
  <c r="Q51" i="2" l="1"/>
  <c r="R51" i="2"/>
  <c r="T51" i="2" s="1"/>
  <c r="K21" i="2" l="1"/>
  <c r="I21" i="2" l="1"/>
  <c r="J21" i="2" s="1"/>
  <c r="R52" i="2" l="1"/>
  <c r="T52" i="2" s="1"/>
  <c r="Q52" i="2"/>
  <c r="K22" i="2"/>
  <c r="I22" i="2" l="1"/>
  <c r="J22" i="2" s="1"/>
  <c r="R53" i="2" l="1"/>
  <c r="T53" i="2" s="1"/>
  <c r="Q53" i="2"/>
  <c r="K23" i="2"/>
  <c r="I23" i="2" l="1"/>
  <c r="J23" i="2" s="1"/>
  <c r="R54" i="2" l="1"/>
  <c r="T54" i="2" s="1"/>
  <c r="T56" i="2" s="1"/>
  <c r="Q54" i="2"/>
  <c r="K24" i="2"/>
  <c r="I24" i="2" l="1"/>
  <c r="J24" i="2" s="1"/>
</calcChain>
</file>

<file path=xl/sharedStrings.xml><?xml version="1.0" encoding="utf-8"?>
<sst xmlns="http://schemas.openxmlformats.org/spreadsheetml/2006/main" count="87" uniqueCount="70">
  <si>
    <t>Initial Data:</t>
  </si>
  <si>
    <t>kg/h</t>
  </si>
  <si>
    <t>Equilibrium Curve:</t>
  </si>
  <si>
    <t>Operating Point:</t>
  </si>
  <si>
    <t>xao</t>
  </si>
  <si>
    <t>xc,yc</t>
  </si>
  <si>
    <t>xa,ya</t>
  </si>
  <si>
    <t>xa',ya'</t>
  </si>
  <si>
    <t>E</t>
  </si>
  <si>
    <t>xcd</t>
  </si>
  <si>
    <t>xad</t>
  </si>
  <si>
    <t>xbo</t>
  </si>
  <si>
    <t>xco</t>
  </si>
  <si>
    <t>xan</t>
  </si>
  <si>
    <t>xcn</t>
  </si>
  <si>
    <t>yan+1</t>
  </si>
  <si>
    <t>ycn+1</t>
  </si>
  <si>
    <t>Nstages</t>
  </si>
  <si>
    <t>M</t>
  </si>
  <si>
    <t>xam</t>
  </si>
  <si>
    <t>xcm</t>
  </si>
  <si>
    <t>Coefficients:</t>
  </si>
  <si>
    <t>A.</t>
  </si>
  <si>
    <t>B.</t>
  </si>
  <si>
    <t>C.</t>
  </si>
  <si>
    <t>D.</t>
  </si>
  <si>
    <t>E.</t>
  </si>
  <si>
    <t>F.</t>
  </si>
  <si>
    <t>Stages:</t>
  </si>
  <si>
    <t>xc</t>
  </si>
  <si>
    <t>xa</t>
  </si>
  <si>
    <t>yc</t>
  </si>
  <si>
    <t>ya</t>
  </si>
  <si>
    <t>diff x</t>
  </si>
  <si>
    <t>xb</t>
  </si>
  <si>
    <t>yb</t>
  </si>
  <si>
    <t>-</t>
  </si>
  <si>
    <t>n</t>
  </si>
  <si>
    <t>SE1</t>
  </si>
  <si>
    <t>SE2</t>
  </si>
  <si>
    <t>xa'</t>
  </si>
  <si>
    <t>G.</t>
  </si>
  <si>
    <t>H.</t>
  </si>
  <si>
    <t>I.</t>
  </si>
  <si>
    <t>SE</t>
  </si>
  <si>
    <t>error</t>
  </si>
  <si>
    <t>SUM</t>
  </si>
  <si>
    <t>xam'</t>
  </si>
  <si>
    <t>yc'</t>
  </si>
  <si>
    <t>1)</t>
  </si>
  <si>
    <t>2)</t>
  </si>
  <si>
    <t>The values of yc will be optimized so to minimize the error!</t>
  </si>
  <si>
    <t>Click on Solver &gt; Min, while adjusting the values of column "yc".</t>
  </si>
  <si>
    <t>3)</t>
  </si>
  <si>
    <t>Extract</t>
  </si>
  <si>
    <t>Raffinate</t>
  </si>
  <si>
    <t>Mixture</t>
  </si>
  <si>
    <t>0)</t>
  </si>
  <si>
    <t>Values of column yc must be all set to 1</t>
  </si>
  <si>
    <t>Click on the sum of error values (cell T56)</t>
  </si>
  <si>
    <t>R</t>
  </si>
  <si>
    <t>F</t>
  </si>
  <si>
    <t>Nmax = 20</t>
  </si>
  <si>
    <t>Extract Curve</t>
  </si>
  <si>
    <t>Raffinate Curve</t>
  </si>
  <si>
    <t>S</t>
  </si>
  <si>
    <t>ChemEng Brasil</t>
  </si>
  <si>
    <t>Autor:</t>
  </si>
  <si>
    <t>Lucas Joshua Pires</t>
  </si>
  <si>
    <t>Ano: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</si>
</sst>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0" xfId="0" applyFont="1"/>
    <xf numFmtId="0" fontId="2" fillId="0" borderId="0" xfId="0" applyFont="1"/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8" borderId="8" xfId="0" applyFont="1" applyFill="1" applyBorder="1" applyAlignment="1">
      <alignment horizontal="right"/>
    </xf>
    <xf numFmtId="0" fontId="2" fillId="8" borderId="9" xfId="0" applyFont="1" applyFill="1" applyBorder="1"/>
    <xf numFmtId="0" fontId="2" fillId="8" borderId="11" xfId="0" applyFont="1" applyFill="1" applyBorder="1" applyAlignment="1">
      <alignment horizontal="right"/>
    </xf>
    <xf numFmtId="0" fontId="2" fillId="8" borderId="0" xfId="0" applyFont="1" applyFill="1" applyBorder="1"/>
    <xf numFmtId="0" fontId="2" fillId="8" borderId="13" xfId="0" applyFont="1" applyFill="1" applyBorder="1" applyAlignment="1">
      <alignment horizontal="right"/>
    </xf>
    <xf numFmtId="0" fontId="2" fillId="8" borderId="14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1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8" borderId="9" xfId="0" applyFont="1" applyFill="1" applyBorder="1"/>
    <xf numFmtId="0" fontId="0" fillId="8" borderId="10" xfId="0" applyFont="1" applyFill="1" applyBorder="1"/>
    <xf numFmtId="0" fontId="0" fillId="8" borderId="0" xfId="0" applyFont="1" applyFill="1" applyBorder="1"/>
    <xf numFmtId="0" fontId="0" fillId="8" borderId="12" xfId="0" applyFont="1" applyFill="1" applyBorder="1"/>
    <xf numFmtId="0" fontId="0" fillId="8" borderId="14" xfId="0" applyFont="1" applyFill="1" applyBorder="1"/>
    <xf numFmtId="0" fontId="0" fillId="8" borderId="15" xfId="0" applyFont="1" applyFill="1" applyBorder="1"/>
    <xf numFmtId="0" fontId="0" fillId="0" borderId="7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5" fontId="2" fillId="9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 applyProtection="1">
      <alignment horizontal="center"/>
      <protection locked="0"/>
    </xf>
    <xf numFmtId="164" fontId="2" fillId="3" borderId="1" xfId="0" applyNumberFormat="1" applyFont="1" applyFill="1" applyBorder="1" applyAlignment="1" applyProtection="1">
      <alignment horizontal="center"/>
      <protection locked="0"/>
    </xf>
    <xf numFmtId="164" fontId="0" fillId="3" borderId="1" xfId="0" applyNumberFormat="1" applyFont="1" applyFill="1" applyBorder="1" applyAlignment="1" applyProtection="1">
      <alignment horizontal="center"/>
      <protection locked="0"/>
    </xf>
    <xf numFmtId="164" fontId="0" fillId="11" borderId="1" xfId="0" applyNumberFormat="1" applyFont="1" applyFill="1" applyBorder="1" applyAlignment="1" applyProtection="1">
      <alignment horizontal="center"/>
      <protection locked="0"/>
    </xf>
    <xf numFmtId="11" fontId="0" fillId="8" borderId="7" xfId="0" applyNumberFormat="1" applyFont="1" applyFill="1" applyBorder="1" applyAlignment="1" applyProtection="1">
      <alignment horizontal="center"/>
      <protection locked="0"/>
    </xf>
    <xf numFmtId="0" fontId="2" fillId="8" borderId="1" xfId="0" applyFont="1" applyFill="1" applyBorder="1" applyAlignment="1" applyProtection="1">
      <alignment horizontal="center"/>
      <protection locked="0"/>
    </xf>
    <xf numFmtId="11" fontId="0" fillId="8" borderId="1" xfId="0" applyNumberFormat="1" applyFont="1" applyFill="1" applyBorder="1" applyAlignment="1" applyProtection="1">
      <alignment horizontal="center"/>
      <protection locked="0"/>
    </xf>
    <xf numFmtId="0" fontId="0" fillId="8" borderId="1" xfId="0" applyFont="1" applyFill="1" applyBorder="1" applyAlignment="1" applyProtection="1">
      <alignment horizontal="center"/>
      <protection locked="0"/>
    </xf>
    <xf numFmtId="164" fontId="0" fillId="3" borderId="1" xfId="0" applyNumberFormat="1" applyFill="1" applyBorder="1" applyAlignment="1" applyProtection="1">
      <alignment horizontal="center"/>
      <protection locked="0"/>
    </xf>
    <xf numFmtId="0" fontId="0" fillId="8" borderId="1" xfId="0" applyFill="1" applyBorder="1" applyAlignment="1" applyProtection="1">
      <alignment horizontal="center"/>
      <protection locked="0"/>
    </xf>
    <xf numFmtId="0" fontId="2" fillId="0" borderId="11" xfId="0" applyFont="1" applyBorder="1"/>
    <xf numFmtId="0" fontId="0" fillId="0" borderId="0" xfId="0" applyBorder="1"/>
    <xf numFmtId="0" fontId="0" fillId="0" borderId="12" xfId="0" applyBorder="1"/>
    <xf numFmtId="0" fontId="2" fillId="0" borderId="13" xfId="0" applyFont="1" applyBorder="1"/>
    <xf numFmtId="0" fontId="0" fillId="0" borderId="14" xfId="0" applyBorder="1" applyAlignment="1">
      <alignment horizontal="left"/>
    </xf>
    <xf numFmtId="0" fontId="0" fillId="0" borderId="14" xfId="0" applyBorder="1"/>
    <xf numFmtId="0" fontId="0" fillId="0" borderId="15" xfId="0" applyBorder="1"/>
    <xf numFmtId="0" fontId="2" fillId="0" borderId="6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Equilibrium</c:v>
          </c:tx>
          <c:spPr>
            <a:ln w="28575">
              <a:noFill/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'Liquid-Liquid Extraction'!$D$4:$D$31</c:f>
              <c:numCache>
                <c:formatCode>0.000</c:formatCode>
                <c:ptCount val="28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0.45000000000000101</c:v>
                </c:pt>
                <c:pt idx="12">
                  <c:v>0.40000000000000102</c:v>
                </c:pt>
                <c:pt idx="13">
                  <c:v>0.35000000000000098</c:v>
                </c:pt>
                <c:pt idx="14">
                  <c:v>0.30000000000000099</c:v>
                </c:pt>
                <c:pt idx="15">
                  <c:v>0.250000000000001</c:v>
                </c:pt>
                <c:pt idx="16">
                  <c:v>0.20000000000000101</c:v>
                </c:pt>
                <c:pt idx="17">
                  <c:v>0.19900000000000001</c:v>
                </c:pt>
                <c:pt idx="18">
                  <c:v>0.18</c:v>
                </c:pt>
                <c:pt idx="19">
                  <c:v>0.16</c:v>
                </c:pt>
                <c:pt idx="20">
                  <c:v>0.14000000000000001</c:v>
                </c:pt>
                <c:pt idx="21">
                  <c:v>0.12</c:v>
                </c:pt>
                <c:pt idx="22">
                  <c:v>0.100000000000001</c:v>
                </c:pt>
                <c:pt idx="23">
                  <c:v>0.08</c:v>
                </c:pt>
                <c:pt idx="24">
                  <c:v>0.06</c:v>
                </c:pt>
                <c:pt idx="25">
                  <c:v>0.04</c:v>
                </c:pt>
                <c:pt idx="26">
                  <c:v>0.02</c:v>
                </c:pt>
                <c:pt idx="27">
                  <c:v>0</c:v>
                </c:pt>
              </c:numCache>
            </c:numRef>
          </c:xVal>
          <c:yVal>
            <c:numRef>
              <c:f>'Liquid-Liquid Extraction'!$E$4:$E$31</c:f>
              <c:numCache>
                <c:formatCode>0.000</c:formatCode>
                <c:ptCount val="28"/>
                <c:pt idx="0">
                  <c:v>0</c:v>
                </c:pt>
                <c:pt idx="1">
                  <c:v>4.4999999999999998E-2</c:v>
                </c:pt>
                <c:pt idx="2">
                  <c:v>0.09</c:v>
                </c:pt>
                <c:pt idx="3">
                  <c:v>0.13500000000000001</c:v>
                </c:pt>
                <c:pt idx="4">
                  <c:v>0.17499999999999999</c:v>
                </c:pt>
                <c:pt idx="5">
                  <c:v>0.215</c:v>
                </c:pt>
                <c:pt idx="6">
                  <c:v>0.245</c:v>
                </c:pt>
                <c:pt idx="7">
                  <c:v>0.28000000000000003</c:v>
                </c:pt>
                <c:pt idx="8">
                  <c:v>0.31</c:v>
                </c:pt>
                <c:pt idx="9">
                  <c:v>0.34</c:v>
                </c:pt>
                <c:pt idx="10">
                  <c:v>0.37</c:v>
                </c:pt>
                <c:pt idx="11">
                  <c:v>0.39300000000000002</c:v>
                </c:pt>
                <c:pt idx="12">
                  <c:v>0.41199999999999998</c:v>
                </c:pt>
                <c:pt idx="13">
                  <c:v>0.43</c:v>
                </c:pt>
                <c:pt idx="14">
                  <c:v>0.44500000000000001</c:v>
                </c:pt>
                <c:pt idx="15">
                  <c:v>0.45600000000000002</c:v>
                </c:pt>
                <c:pt idx="16">
                  <c:v>0.46300000000000002</c:v>
                </c:pt>
                <c:pt idx="17">
                  <c:v>0.46200000000000002</c:v>
                </c:pt>
                <c:pt idx="18">
                  <c:v>0.46200000000000002</c:v>
                </c:pt>
                <c:pt idx="19">
                  <c:v>0.45800000000000002</c:v>
                </c:pt>
                <c:pt idx="20">
                  <c:v>0.44</c:v>
                </c:pt>
                <c:pt idx="21">
                  <c:v>0.41</c:v>
                </c:pt>
                <c:pt idx="22">
                  <c:v>0.37</c:v>
                </c:pt>
                <c:pt idx="23">
                  <c:v>0.32</c:v>
                </c:pt>
                <c:pt idx="24">
                  <c:v>0.26</c:v>
                </c:pt>
                <c:pt idx="25">
                  <c:v>0.19</c:v>
                </c:pt>
                <c:pt idx="26">
                  <c:v>0.1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E-4BDE-A72B-1A1084537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05728"/>
        <c:axId val="164907648"/>
      </c:scatterChart>
      <c:scatterChart>
        <c:scatterStyle val="smoothMarker"/>
        <c:varyColors val="0"/>
        <c:ser>
          <c:idx val="1"/>
          <c:order val="1"/>
          <c:tx>
            <c:v>modelo</c:v>
          </c:tx>
          <c:spPr>
            <a:ln w="1905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'Liquid-Liquid Extraction'!$D$4:$D$31</c:f>
              <c:numCache>
                <c:formatCode>0.000</c:formatCode>
                <c:ptCount val="28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0.45000000000000101</c:v>
                </c:pt>
                <c:pt idx="12">
                  <c:v>0.40000000000000102</c:v>
                </c:pt>
                <c:pt idx="13">
                  <c:v>0.35000000000000098</c:v>
                </c:pt>
                <c:pt idx="14">
                  <c:v>0.30000000000000099</c:v>
                </c:pt>
                <c:pt idx="15">
                  <c:v>0.250000000000001</c:v>
                </c:pt>
                <c:pt idx="16">
                  <c:v>0.20000000000000101</c:v>
                </c:pt>
                <c:pt idx="17">
                  <c:v>0.19900000000000001</c:v>
                </c:pt>
                <c:pt idx="18">
                  <c:v>0.18</c:v>
                </c:pt>
                <c:pt idx="19">
                  <c:v>0.16</c:v>
                </c:pt>
                <c:pt idx="20">
                  <c:v>0.14000000000000001</c:v>
                </c:pt>
                <c:pt idx="21">
                  <c:v>0.12</c:v>
                </c:pt>
                <c:pt idx="22">
                  <c:v>0.100000000000001</c:v>
                </c:pt>
                <c:pt idx="23">
                  <c:v>0.08</c:v>
                </c:pt>
                <c:pt idx="24">
                  <c:v>0.06</c:v>
                </c:pt>
                <c:pt idx="25">
                  <c:v>0.04</c:v>
                </c:pt>
                <c:pt idx="26">
                  <c:v>0.02</c:v>
                </c:pt>
                <c:pt idx="27">
                  <c:v>0</c:v>
                </c:pt>
              </c:numCache>
            </c:numRef>
          </c:xVal>
          <c:yVal>
            <c:numRef>
              <c:f>'Liquid-Liquid Extraction'!$F$4:$F$31</c:f>
              <c:numCache>
                <c:formatCode>0.000</c:formatCode>
                <c:ptCount val="28"/>
                <c:pt idx="0">
                  <c:v>-5.0728543310604168E-3</c:v>
                </c:pt>
                <c:pt idx="1">
                  <c:v>4.3803059999996563E-2</c:v>
                </c:pt>
                <c:pt idx="2">
                  <c:v>9.0084911051517724E-2</c:v>
                </c:pt>
                <c:pt idx="3">
                  <c:v>0.13377269882350329</c:v>
                </c:pt>
                <c:pt idx="4">
                  <c:v>0.17486642331595309</c:v>
                </c:pt>
                <c:pt idx="5">
                  <c:v>0.21336608452886729</c:v>
                </c:pt>
                <c:pt idx="6">
                  <c:v>0.24927168246224582</c:v>
                </c:pt>
                <c:pt idx="7">
                  <c:v>0.28258321711608858</c:v>
                </c:pt>
                <c:pt idx="8">
                  <c:v>0.31330068849039566</c:v>
                </c:pt>
                <c:pt idx="9">
                  <c:v>0.34142409658516704</c:v>
                </c:pt>
                <c:pt idx="10">
                  <c:v>0.36695344140040276</c:v>
                </c:pt>
                <c:pt idx="11">
                  <c:v>0.38988872293610238</c:v>
                </c:pt>
                <c:pt idx="12">
                  <c:v>0.41022994119226674</c:v>
                </c:pt>
                <c:pt idx="13">
                  <c:v>0.42797709616889551</c:v>
                </c:pt>
                <c:pt idx="14">
                  <c:v>0.44313018786598851</c:v>
                </c:pt>
                <c:pt idx="15">
                  <c:v>0.45568921628354581</c:v>
                </c:pt>
                <c:pt idx="16">
                  <c:v>0.46199999999999974</c:v>
                </c:pt>
                <c:pt idx="17">
                  <c:v>0.46236680000000008</c:v>
                </c:pt>
                <c:pt idx="18">
                  <c:v>0.46432000000000007</c:v>
                </c:pt>
                <c:pt idx="19">
                  <c:v>0.45608000000000004</c:v>
                </c:pt>
                <c:pt idx="20">
                  <c:v>0.43728000000000017</c:v>
                </c:pt>
                <c:pt idx="21">
                  <c:v>0.40792</c:v>
                </c:pt>
                <c:pt idx="22">
                  <c:v>0.36800000000000233</c:v>
                </c:pt>
                <c:pt idx="23">
                  <c:v>0.31752000000000002</c:v>
                </c:pt>
                <c:pt idx="24">
                  <c:v>0.25647999999999999</c:v>
                </c:pt>
                <c:pt idx="25">
                  <c:v>0.18488000000000002</c:v>
                </c:pt>
                <c:pt idx="26">
                  <c:v>0.10271999999999999</c:v>
                </c:pt>
                <c:pt idx="27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4E-4BDE-A72B-1A1084537EA9}"/>
            </c:ext>
          </c:extLst>
        </c:ser>
        <c:ser>
          <c:idx val="2"/>
          <c:order val="2"/>
          <c:tx>
            <c:v>reta45</c:v>
          </c:tx>
          <c:spPr>
            <a:ln w="25400" cap="flat" cmpd="sng" algn="ctr">
              <a:solidFill>
                <a:schemeClr val="tx1">
                  <a:lumMod val="65000"/>
                  <a:lumOff val="35000"/>
                </a:schemeClr>
              </a:solidFill>
              <a:prstDash val="solid"/>
            </a:ln>
            <a:effectLst/>
          </c:spPr>
          <c:marker>
            <c:symbol val="none"/>
          </c:marker>
          <c:xVal>
            <c:numRef>
              <c:f>('Liquid-Liquid Extraction'!$B$10,'Liquid-Liquid Extraction'!$B$11)</c:f>
              <c:numCache>
                <c:formatCode>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('Liquid-Liquid Extraction'!$B$11,'Liquid-Liquid Extraction'!$B$10)</c:f>
              <c:numCache>
                <c:formatCode>0.000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4E-4BDE-A72B-1A1084537EA9}"/>
            </c:ext>
          </c:extLst>
        </c:ser>
        <c:ser>
          <c:idx val="3"/>
          <c:order val="3"/>
          <c:tx>
            <c:v>S.Lo</c:v>
          </c:tx>
          <c:spPr>
            <a:ln w="25400" cap="flat" cmpd="sng" algn="ctr">
              <a:solidFill>
                <a:schemeClr val="dk1"/>
              </a:solidFill>
              <a:prstDash val="dash"/>
            </a:ln>
            <a:effectLst/>
          </c:spPr>
          <c:marker>
            <c:symbol val="none"/>
          </c:marker>
          <c:xVal>
            <c:numRef>
              <c:f>('Liquid-Liquid Extraction'!$B$11,'Liquid-Liquid Extraction'!$B$5)</c:f>
              <c:numCache>
                <c:formatCode>0.000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xVal>
          <c:yVal>
            <c:numRef>
              <c:f>('Liquid-Liquid Extraction'!$B$10,'Liquid-Liquid Extraction'!$B$3)</c:f>
              <c:numCache>
                <c:formatCode>0.000</c:formatCode>
                <c:ptCount val="2"/>
                <c:pt idx="0">
                  <c:v>0</c:v>
                </c:pt>
                <c:pt idx="1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4E-4BDE-A72B-1A1084537EA9}"/>
            </c:ext>
          </c:extLst>
        </c:ser>
        <c:ser>
          <c:idx val="5"/>
          <c:order val="4"/>
          <c:tx>
            <c:v>d.Lo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('Liquid-Liquid Extraction'!$B$5,'Liquid-Liquid Extraction'!$A$15)</c:f>
              <c:numCache>
                <c:formatCode>0.00000</c:formatCode>
                <c:ptCount val="2"/>
                <c:pt idx="0" formatCode="0.000">
                  <c:v>0</c:v>
                </c:pt>
                <c:pt idx="1">
                  <c:v>1</c:v>
                </c:pt>
              </c:numCache>
            </c:numRef>
          </c:xVal>
          <c:yVal>
            <c:numRef>
              <c:f>('Liquid-Liquid Extraction'!$B$3,'Liquid-Liquid Extraction'!$B$15)</c:f>
              <c:numCache>
                <c:formatCode>0.00000</c:formatCode>
                <c:ptCount val="2"/>
                <c:pt idx="0" formatCode="0.000">
                  <c:v>0.5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A4E-4BDE-A72B-1A1084537EA9}"/>
            </c:ext>
          </c:extLst>
        </c:ser>
        <c:ser>
          <c:idx val="7"/>
          <c:order val="5"/>
          <c:tx>
            <c:v>d.L1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('Liquid-Liquid Extraction'!$A$15,'Liquid-Liquid Extraction'!$M$35)</c:f>
              <c:numCache>
                <c:formatCode>0.000</c:formatCode>
                <c:ptCount val="2"/>
                <c:pt idx="0" formatCode="0.00000">
                  <c:v>1</c:v>
                </c:pt>
                <c:pt idx="1">
                  <c:v>8.6973949552231852E-2</c:v>
                </c:pt>
              </c:numCache>
            </c:numRef>
          </c:xVal>
          <c:yVal>
            <c:numRef>
              <c:f>('Liquid-Liquid Extraction'!$B$15,'Liquid-Liquid Extraction'!$N$35)</c:f>
              <c:numCache>
                <c:formatCode>0.000</c:formatCode>
                <c:ptCount val="2"/>
                <c:pt idx="0" formatCode="0.00000">
                  <c:v>0</c:v>
                </c:pt>
                <c:pt idx="1">
                  <c:v>0.33632137651650912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A4E-4BDE-A72B-1A1084537EA9}"/>
            </c:ext>
          </c:extLst>
        </c:ser>
        <c:ser>
          <c:idx val="8"/>
          <c:order val="6"/>
          <c:tx>
            <c:v>d.L2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('Liquid-Liquid Extraction'!$A$15,'Liquid-Liquid Extraction'!$M$36)</c:f>
              <c:numCache>
                <c:formatCode>0.000</c:formatCode>
                <c:ptCount val="2"/>
                <c:pt idx="0" formatCode="0.00000">
                  <c:v>1</c:v>
                </c:pt>
                <c:pt idx="1">
                  <c:v>4.5264209923822366E-2</c:v>
                </c:pt>
              </c:numCache>
            </c:numRef>
          </c:xVal>
          <c:yVal>
            <c:numRef>
              <c:f>('Liquid-Liquid Extraction'!$B$15,'Liquid-Liquid Extraction'!$N$36)</c:f>
              <c:numCache>
                <c:formatCode>0.000</c:formatCode>
                <c:ptCount val="2"/>
                <c:pt idx="0" formatCode="0.00000">
                  <c:v>0</c:v>
                </c:pt>
                <c:pt idx="1">
                  <c:v>0.20474982578636189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A4E-4BDE-A72B-1A1084537EA9}"/>
            </c:ext>
          </c:extLst>
        </c:ser>
        <c:ser>
          <c:idx val="6"/>
          <c:order val="7"/>
          <c:tx>
            <c:v>d.L3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('Liquid-Liquid Extraction'!$A$15,'Liquid-Liquid Extraction'!$M$37)</c:f>
              <c:numCache>
                <c:formatCode>0.000</c:formatCode>
                <c:ptCount val="2"/>
                <c:pt idx="0" formatCode="0.00000">
                  <c:v>1</c:v>
                </c:pt>
                <c:pt idx="1">
                  <c:v>2.1141450083696754E-2</c:v>
                </c:pt>
              </c:numCache>
            </c:numRef>
          </c:xVal>
          <c:yVal>
            <c:numRef>
              <c:f>('Liquid-Liquid Extraction'!$B$15,'Liquid-Liquid Extraction'!$N$37)</c:f>
              <c:numCache>
                <c:formatCode>0.000</c:formatCode>
                <c:ptCount val="2"/>
                <c:pt idx="0" formatCode="0.00000">
                  <c:v>0</c:v>
                </c:pt>
                <c:pt idx="1">
                  <c:v>0.1076932213764471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A4E-4BDE-A72B-1A1084537EA9}"/>
            </c:ext>
          </c:extLst>
        </c:ser>
        <c:ser>
          <c:idx val="9"/>
          <c:order val="8"/>
          <c:tx>
            <c:v>d.L4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('Liquid-Liquid Extraction'!$A$15,'Liquid-Liquid Extraction'!$M$38)</c:f>
              <c:numCache>
                <c:formatCode>0.000</c:formatCode>
                <c:ptCount val="2"/>
                <c:pt idx="0" formatCode="0.00000">
                  <c:v>1</c:v>
                </c:pt>
                <c:pt idx="1">
                  <c:v>8.5050392363443077E-3</c:v>
                </c:pt>
              </c:numCache>
            </c:numRef>
          </c:xVal>
          <c:yVal>
            <c:numRef>
              <c:f>('Liquid-Liquid Extraction'!$B$15,'Liquid-Liquid Extraction'!$N$38)</c:f>
              <c:numCache>
                <c:formatCode>0.000</c:formatCode>
                <c:ptCount val="2"/>
                <c:pt idx="0" formatCode="0.00000">
                  <c:v>0</c:v>
                </c:pt>
                <c:pt idx="1">
                  <c:v>5.0719861118252038E-2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A4E-4BDE-A72B-1A1084537EA9}"/>
            </c:ext>
          </c:extLst>
        </c:ser>
        <c:ser>
          <c:idx val="10"/>
          <c:order val="9"/>
          <c:tx>
            <c:v>d.L5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('Liquid-Liquid Extraction'!$A$15,'Liquid-Liquid Extraction'!$M$39)</c:f>
              <c:numCache>
                <c:formatCode>0.000</c:formatCode>
                <c:ptCount val="2"/>
                <c:pt idx="0" formatCode="0.00000">
                  <c:v>1</c:v>
                </c:pt>
                <c:pt idx="1">
                  <c:v>2.2978202256602139E-3</c:v>
                </c:pt>
              </c:numCache>
            </c:numRef>
          </c:xVal>
          <c:yVal>
            <c:numRef>
              <c:f>('Liquid-Liquid Extraction'!$B$15,'Liquid-Liquid Extraction'!$N$39)</c:f>
              <c:numCache>
                <c:formatCode>0.000</c:formatCode>
                <c:ptCount val="2"/>
                <c:pt idx="0" formatCode="0.00000">
                  <c:v>0</c:v>
                </c:pt>
                <c:pt idx="1">
                  <c:v>2.1189623398914281E-2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A4E-4BDE-A72B-1A1084537EA9}"/>
            </c:ext>
          </c:extLst>
        </c:ser>
        <c:ser>
          <c:idx val="11"/>
          <c:order val="10"/>
          <c:tx>
            <c:v>d.L6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('Liquid-Liquid Extraction'!$A$15,'Liquid-Liquid Extraction'!$M$40)</c:f>
              <c:numCache>
                <c:formatCode>0.000</c:formatCode>
                <c:ptCount val="2"/>
                <c:pt idx="0" formatCode="0.00000">
                  <c:v>1</c:v>
                </c:pt>
                <c:pt idx="1">
                  <c:v>-6.2430760006068706E-4</c:v>
                </c:pt>
              </c:numCache>
            </c:numRef>
          </c:xVal>
          <c:yVal>
            <c:numRef>
              <c:f>('Liquid-Liquid Extraction'!$B$15,'Liquid-Liquid Extraction'!$N$40)</c:f>
              <c:numCache>
                <c:formatCode>0.000</c:formatCode>
                <c:ptCount val="2"/>
                <c:pt idx="0" formatCode="0.00000">
                  <c:v>0</c:v>
                </c:pt>
                <c:pt idx="1">
                  <c:v>6.935747927973376E-3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A4E-4BDE-A72B-1A1084537EA9}"/>
            </c:ext>
          </c:extLst>
        </c:ser>
        <c:ser>
          <c:idx val="12"/>
          <c:order val="11"/>
          <c:tx>
            <c:v>d.L7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('Liquid-Liquid Extraction'!$A$15,'Liquid-Liquid Extraction'!$M$41)</c:f>
              <c:numCache>
                <c:formatCode>0.000</c:formatCode>
                <c:ptCount val="2"/>
                <c:pt idx="0" formatCode="0.00000">
                  <c:v>1</c:v>
                </c:pt>
                <c:pt idx="1">
                  <c:v>-1.9652332843218948E-3</c:v>
                </c:pt>
              </c:numCache>
            </c:numRef>
          </c:xVal>
          <c:yVal>
            <c:numRef>
              <c:f>('Liquid-Liquid Extraction'!$B$15,'Liquid-Liquid Extraction'!$N$41)</c:f>
              <c:numCache>
                <c:formatCode>0.000</c:formatCode>
                <c:ptCount val="2"/>
                <c:pt idx="0" formatCode="0.00000">
                  <c:v>0</c:v>
                </c:pt>
                <c:pt idx="1">
                  <c:v>3.193766342469307E-4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A4E-4BDE-A72B-1A1084537EA9}"/>
            </c:ext>
          </c:extLst>
        </c:ser>
        <c:ser>
          <c:idx val="13"/>
          <c:order val="12"/>
          <c:tx>
            <c:v>d.L8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('Liquid-Liquid Extraction'!$A$15,'Liquid-Liquid Extraction'!$M$42)</c:f>
              <c:numCache>
                <c:formatCode>0.000</c:formatCode>
                <c:ptCount val="2"/>
                <c:pt idx="0" formatCode="0.00000">
                  <c:v>1</c:v>
                </c:pt>
                <c:pt idx="1">
                  <c:v>-2.5671142053848659E-3</c:v>
                </c:pt>
              </c:numCache>
            </c:numRef>
          </c:xVal>
          <c:yVal>
            <c:numRef>
              <c:f>('Liquid-Liquid Extraction'!$B$15,'Liquid-Liquid Extraction'!$N$42)</c:f>
              <c:numCache>
                <c:formatCode>0.000</c:formatCode>
                <c:ptCount val="2"/>
                <c:pt idx="0" formatCode="0.00000">
                  <c:v>0</c:v>
                </c:pt>
                <c:pt idx="1">
                  <c:v>-2.6658486009198115E-3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A4E-4BDE-A72B-1A1084537EA9}"/>
            </c:ext>
          </c:extLst>
        </c:ser>
        <c:ser>
          <c:idx val="14"/>
          <c:order val="13"/>
          <c:tx>
            <c:v>d.L9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('Liquid-Liquid Extraction'!$A$15,'Liquid-Liquid Extraction'!$M$43)</c:f>
              <c:numCache>
                <c:formatCode>0.000</c:formatCode>
                <c:ptCount val="2"/>
                <c:pt idx="0" formatCode="0.00000">
                  <c:v>1</c:v>
                </c:pt>
                <c:pt idx="1">
                  <c:v>-2.8299905525253077E-3</c:v>
                </c:pt>
              </c:numCache>
            </c:numRef>
          </c:xVal>
          <c:yVal>
            <c:numRef>
              <c:f>('Liquid-Liquid Extraction'!$B$15,'Liquid-Liquid Extraction'!$N$43)</c:f>
              <c:numCache>
                <c:formatCode>0.000</c:formatCode>
                <c:ptCount val="2"/>
                <c:pt idx="0" formatCode="0.00000">
                  <c:v>0</c:v>
                </c:pt>
                <c:pt idx="1">
                  <c:v>-3.9726704815355148E-3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A4E-4BDE-A72B-1A1084537EA9}"/>
            </c:ext>
          </c:extLst>
        </c:ser>
        <c:ser>
          <c:idx val="15"/>
          <c:order val="14"/>
          <c:tx>
            <c:v>d.L10</c:v>
          </c:tx>
          <c:marker>
            <c:symbol val="none"/>
          </c:marker>
          <c:dPt>
            <c:idx val="1"/>
            <c:bubble3D val="0"/>
            <c:spPr>
              <a:ln w="25400" cap="flat" cmpd="sng" algn="ctr">
                <a:solidFill>
                  <a:schemeClr val="dk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E-EA4E-4BDE-A72B-1A1084537EA9}"/>
              </c:ext>
            </c:extLst>
          </c:dPt>
          <c:xVal>
            <c:numRef>
              <c:f>('Liquid-Liquid Extraction'!$A$15,'Liquid-Liquid Extraction'!$M$44)</c:f>
              <c:numCache>
                <c:formatCode>0.000</c:formatCode>
                <c:ptCount val="2"/>
                <c:pt idx="0" formatCode="0.00000">
                  <c:v>1</c:v>
                </c:pt>
                <c:pt idx="1">
                  <c:v>-2.9391574873868873E-3</c:v>
                </c:pt>
              </c:numCache>
            </c:numRef>
          </c:xVal>
          <c:yVal>
            <c:numRef>
              <c:f>('Liquid-Liquid Extraction'!$B$15,'Liquid-Liquid Extraction'!$N$44)</c:f>
              <c:numCache>
                <c:formatCode>0.000</c:formatCode>
                <c:ptCount val="2"/>
                <c:pt idx="0" formatCode="0.00000">
                  <c:v>0</c:v>
                </c:pt>
                <c:pt idx="1">
                  <c:v>-4.5159018251064728E-3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A4E-4BDE-A72B-1A1084537EA9}"/>
            </c:ext>
          </c:extLst>
        </c:ser>
        <c:ser>
          <c:idx val="21"/>
          <c:order val="15"/>
          <c:tx>
            <c:v>V1.L1</c:v>
          </c:tx>
          <c:spPr>
            <a:ln w="25400" cap="flat" cmpd="sng" algn="ctr">
              <a:solidFill>
                <a:schemeClr val="accent2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('Liquid-Liquid Extraction'!$M$35,'Liquid-Liquid Extraction'!$O$35)</c:f>
              <c:numCache>
                <c:formatCode>General</c:formatCode>
                <c:ptCount val="2"/>
                <c:pt idx="0" formatCode="0.000">
                  <c:v>8.6973949552231852E-2</c:v>
                </c:pt>
                <c:pt idx="1">
                  <c:v>0.77853211653956023</c:v>
                </c:pt>
              </c:numCache>
            </c:numRef>
          </c:xVal>
          <c:yVal>
            <c:numRef>
              <c:f>('Liquid-Liquid Extraction'!$N$35,'Liquid-Liquid Extraction'!$P$35)</c:f>
              <c:numCache>
                <c:formatCode>0.000</c:formatCode>
                <c:ptCount val="2"/>
                <c:pt idx="0">
                  <c:v>0.33632137651650912</c:v>
                </c:pt>
                <c:pt idx="1">
                  <c:v>0.19171433340215427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A4E-4BDE-A72B-1A1084537EA9}"/>
            </c:ext>
          </c:extLst>
        </c:ser>
        <c:ser>
          <c:idx val="22"/>
          <c:order val="16"/>
          <c:tx>
            <c:v>V2.L2</c:v>
          </c:tx>
          <c:spPr>
            <a:ln w="25400" cap="flat" cmpd="sng" algn="ctr">
              <a:solidFill>
                <a:schemeClr val="accent2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('Liquid-Liquid Extraction'!$M$36,'Liquid-Liquid Extraction'!$O$36)</c:f>
              <c:numCache>
                <c:formatCode>General</c:formatCode>
                <c:ptCount val="2"/>
                <c:pt idx="0" formatCode="0.000">
                  <c:v>4.5264209923822366E-2</c:v>
                </c:pt>
                <c:pt idx="1">
                  <c:v>0.88480131967526809</c:v>
                </c:pt>
              </c:numCache>
            </c:numRef>
          </c:xVal>
          <c:yVal>
            <c:numRef>
              <c:f>('Liquid-Liquid Extraction'!$N$36,'Liquid-Liquid Extraction'!$P$36)</c:f>
              <c:numCache>
                <c:formatCode>0.000</c:formatCode>
                <c:ptCount val="2"/>
                <c:pt idx="0">
                  <c:v>0.20474982578636189</c:v>
                </c:pt>
                <c:pt idx="1">
                  <c:v>0.10363926318248673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EA4E-4BDE-A72B-1A1084537EA9}"/>
            </c:ext>
          </c:extLst>
        </c:ser>
        <c:ser>
          <c:idx val="23"/>
          <c:order val="17"/>
          <c:tx>
            <c:v>V3.L3</c:v>
          </c:tx>
          <c:spPr>
            <a:ln w="25400" cap="flat" cmpd="sng" algn="ctr">
              <a:solidFill>
                <a:schemeClr val="accent2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('Liquid-Liquid Extraction'!$M$37,'Liquid-Liquid Extraction'!$O$37)</c:f>
              <c:numCache>
                <c:formatCode>General</c:formatCode>
                <c:ptCount val="2"/>
                <c:pt idx="0" formatCode="0.000">
                  <c:v>2.1141450083696754E-2</c:v>
                </c:pt>
                <c:pt idx="1">
                  <c:v>0.9405249858607061</c:v>
                </c:pt>
              </c:numCache>
            </c:numRef>
          </c:xVal>
          <c:yVal>
            <c:numRef>
              <c:f>('Liquid-Liquid Extraction'!$N$37,'Liquid-Liquid Extraction'!$P$37)</c:f>
              <c:numCache>
                <c:formatCode>0.000</c:formatCode>
                <c:ptCount val="2"/>
                <c:pt idx="0">
                  <c:v>0.1076932213764471</c:v>
                </c:pt>
                <c:pt idx="1">
                  <c:v>5.2772694855179325E-2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EA4E-4BDE-A72B-1A1084537EA9}"/>
            </c:ext>
          </c:extLst>
        </c:ser>
        <c:ser>
          <c:idx val="24"/>
          <c:order val="18"/>
          <c:tx>
            <c:v>V4.L4</c:v>
          </c:tx>
          <c:spPr>
            <a:ln w="25400" cap="flat" cmpd="sng" algn="ctr">
              <a:solidFill>
                <a:schemeClr val="accent2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('Liquid-Liquid Extraction'!$M$38,'Liquid-Liquid Extraction'!$O$38)</c:f>
              <c:numCache>
                <c:formatCode>General</c:formatCode>
                <c:ptCount val="2"/>
                <c:pt idx="0" formatCode="0.000">
                  <c:v>8.5050392363443077E-3</c:v>
                </c:pt>
                <c:pt idx="1">
                  <c:v>0.96837929403547907</c:v>
                </c:pt>
              </c:numCache>
            </c:numRef>
          </c:xVal>
          <c:yVal>
            <c:numRef>
              <c:f>('Liquid-Liquid Extraction'!$N$38,'Liquid-Liquid Extraction'!$P$38)</c:f>
              <c:numCache>
                <c:formatCode>0.000</c:formatCode>
                <c:ptCount val="2"/>
                <c:pt idx="0">
                  <c:v>5.0719861118252038E-2</c:v>
                </c:pt>
                <c:pt idx="1">
                  <c:v>2.6138480392128294E-2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EA4E-4BDE-A72B-1A1084537EA9}"/>
            </c:ext>
          </c:extLst>
        </c:ser>
        <c:ser>
          <c:idx val="25"/>
          <c:order val="19"/>
          <c:tx>
            <c:v>V5.L5</c:v>
          </c:tx>
          <c:spPr>
            <a:ln w="25400" cap="flat" cmpd="sng" algn="ctr">
              <a:solidFill>
                <a:schemeClr val="accent2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('Liquid-Liquid Extraction'!$M$39,'Liquid-Liquid Extraction'!$O$39)</c:f>
              <c:numCache>
                <c:formatCode>General</c:formatCode>
                <c:ptCount val="2"/>
                <c:pt idx="0" formatCode="0.000">
                  <c:v>2.2978202256602139E-3</c:v>
                </c:pt>
                <c:pt idx="1">
                  <c:v>0.98176009054065883</c:v>
                </c:pt>
              </c:numCache>
            </c:numRef>
          </c:xVal>
          <c:yVal>
            <c:numRef>
              <c:f>('Liquid-Liquid Extraction'!$N$39,'Liquid-Liquid Extraction'!$P$39)</c:f>
              <c:numCache>
                <c:formatCode>0.000</c:formatCode>
                <c:ptCount val="2"/>
                <c:pt idx="0">
                  <c:v>2.1189623398914281E-2</c:v>
                </c:pt>
                <c:pt idx="1">
                  <c:v>1.3057539493389059E-2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EA4E-4BDE-A72B-1A1084537EA9}"/>
            </c:ext>
          </c:extLst>
        </c:ser>
        <c:ser>
          <c:idx val="26"/>
          <c:order val="20"/>
          <c:tx>
            <c:v>V6.L6</c:v>
          </c:tx>
          <c:spPr>
            <a:ln w="25400" cap="flat" cmpd="sng" algn="ctr">
              <a:solidFill>
                <a:schemeClr val="accent2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('Liquid-Liquid Extraction'!$M$40,'Liquid-Liquid Extraction'!$O$40)</c:f>
              <c:numCache>
                <c:formatCode>General</c:formatCode>
                <c:ptCount val="2"/>
                <c:pt idx="0" formatCode="0.000">
                  <c:v>-6.2430760006068706E-4</c:v>
                </c:pt>
                <c:pt idx="1">
                  <c:v>0.98799391964506356</c:v>
                </c:pt>
              </c:numCache>
            </c:numRef>
          </c:xVal>
          <c:yVal>
            <c:numRef>
              <c:f>('Liquid-Liquid Extraction'!$N$40,'Liquid-Liquid Extraction'!$P$40)</c:f>
              <c:numCache>
                <c:formatCode>0.000</c:formatCode>
                <c:ptCount val="2"/>
                <c:pt idx="0">
                  <c:v>6.935747927973376E-3</c:v>
                </c:pt>
                <c:pt idx="1">
                  <c:v>6.89996933713799E-3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EA4E-4BDE-A72B-1A1084537EA9}"/>
            </c:ext>
          </c:extLst>
        </c:ser>
        <c:ser>
          <c:idx val="27"/>
          <c:order val="21"/>
          <c:tx>
            <c:v>V7.L7</c:v>
          </c:tx>
          <c:spPr>
            <a:ln w="25400" cap="flat" cmpd="sng" algn="ctr">
              <a:solidFill>
                <a:schemeClr val="accent2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('Liquid-Liquid Extraction'!$M$41,'Liquid-Liquid Extraction'!$O$41)</c:f>
              <c:numCache>
                <c:formatCode>General</c:formatCode>
                <c:ptCount val="2"/>
                <c:pt idx="0" formatCode="0.000">
                  <c:v>-1.9652332843218948E-3</c:v>
                </c:pt>
                <c:pt idx="1">
                  <c:v>0.99084087016245848</c:v>
                </c:pt>
              </c:numCache>
            </c:numRef>
          </c:xVal>
          <c:yVal>
            <c:numRef>
              <c:f>('Liquid-Liquid Extraction'!$N$41,'Liquid-Liquid Extraction'!$P$41)</c:f>
              <c:numCache>
                <c:formatCode>0.000</c:formatCode>
                <c:ptCount val="2"/>
                <c:pt idx="0">
                  <c:v>3.193766342469307E-4</c:v>
                </c:pt>
                <c:pt idx="1">
                  <c:v>4.0744331815277812E-3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EA4E-4BDE-A72B-1A1084537EA9}"/>
            </c:ext>
          </c:extLst>
        </c:ser>
        <c:ser>
          <c:idx val="28"/>
          <c:order val="22"/>
          <c:tx>
            <c:v>V8.L8</c:v>
          </c:tx>
          <c:spPr>
            <a:ln w="25400" cap="flat" cmpd="sng" algn="ctr">
              <a:solidFill>
                <a:schemeClr val="accent2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('Liquid-Liquid Extraction'!$M$42,'Liquid-Liquid Extraction'!$O$42)</c:f>
              <c:numCache>
                <c:formatCode>General</c:formatCode>
                <c:ptCount val="2"/>
                <c:pt idx="0" formatCode="0.000">
                  <c:v>-2.5671142053848659E-3</c:v>
                </c:pt>
                <c:pt idx="1">
                  <c:v>0.99211597169879939</c:v>
                </c:pt>
              </c:numCache>
            </c:numRef>
          </c:xVal>
          <c:yVal>
            <c:numRef>
              <c:f>('Liquid-Liquid Extraction'!$N$42,'Liquid-Liquid Extraction'!$P$42)</c:f>
              <c:numCache>
                <c:formatCode>0.000</c:formatCode>
                <c:ptCount val="2"/>
                <c:pt idx="0">
                  <c:v>-2.6658486009198115E-3</c:v>
                </c:pt>
                <c:pt idx="1">
                  <c:v>2.8061958823573097E-3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EA4E-4BDE-A72B-1A1084537EA9}"/>
            </c:ext>
          </c:extLst>
        </c:ser>
        <c:ser>
          <c:idx val="29"/>
          <c:order val="23"/>
          <c:tx>
            <c:v>V9.L9</c:v>
          </c:tx>
          <c:spPr>
            <a:ln w="25400" cap="flat" cmpd="sng" algn="ctr">
              <a:solidFill>
                <a:schemeClr val="accent2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('Liquid-Liquid Extraction'!$M$43,'Liquid-Liquid Extraction'!$O$43)</c:f>
              <c:numCache>
                <c:formatCode>General</c:formatCode>
                <c:ptCount val="2"/>
                <c:pt idx="0" formatCode="0.000">
                  <c:v>-2.8299905525253077E-3</c:v>
                </c:pt>
                <c:pt idx="1">
                  <c:v>0.99267234754822753</c:v>
                </c:pt>
              </c:numCache>
            </c:numRef>
          </c:xVal>
          <c:yVal>
            <c:numRef>
              <c:f>('Liquid-Liquid Extraction'!$N$43,'Liquid-Liquid Extraction'!$P$43)</c:f>
              <c:numCache>
                <c:formatCode>0.000</c:formatCode>
                <c:ptCount val="2"/>
                <c:pt idx="0">
                  <c:v>-3.9726704815355148E-3</c:v>
                </c:pt>
                <c:pt idx="1">
                  <c:v>2.2522864988548386E-3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EA4E-4BDE-A72B-1A1084537EA9}"/>
            </c:ext>
          </c:extLst>
        </c:ser>
        <c:ser>
          <c:idx val="30"/>
          <c:order val="24"/>
          <c:tx>
            <c:v>V10.L10</c:v>
          </c:tx>
          <c:spPr>
            <a:ln w="25400" cap="flat" cmpd="sng" algn="ctr">
              <a:solidFill>
                <a:schemeClr val="accent2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('Liquid-Liquid Extraction'!$M$44,'Liquid-Liquid Extraction'!$O$44)</c:f>
              <c:numCache>
                <c:formatCode>General</c:formatCode>
                <c:ptCount val="2"/>
                <c:pt idx="0" formatCode="0.000">
                  <c:v>-2.9391574873868873E-3</c:v>
                </c:pt>
                <c:pt idx="1">
                  <c:v>0.99290330317776143</c:v>
                </c:pt>
              </c:numCache>
            </c:numRef>
          </c:xVal>
          <c:yVal>
            <c:numRef>
              <c:f>('Liquid-Liquid Extraction'!$N$44,'Liquid-Liquid Extraction'!$P$44)</c:f>
              <c:numCache>
                <c:formatCode>0.000</c:formatCode>
                <c:ptCount val="2"/>
                <c:pt idx="0">
                  <c:v>-4.5159018251064728E-3</c:v>
                </c:pt>
                <c:pt idx="1">
                  <c:v>2.022260376936591E-3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EA4E-4BDE-A72B-1A1084537EA9}"/>
            </c:ext>
          </c:extLst>
        </c:ser>
        <c:ser>
          <c:idx val="16"/>
          <c:order val="25"/>
          <c:tx>
            <c:v>d.L11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('Liquid-Liquid Extraction'!$A$15,'Liquid-Liquid Extraction'!$M$45)</c:f>
              <c:numCache>
                <c:formatCode>0.000</c:formatCode>
                <c:ptCount val="2"/>
                <c:pt idx="0" formatCode="0.00000">
                  <c:v>1</c:v>
                </c:pt>
                <c:pt idx="1">
                  <c:v>-2.9795475380381999E-3</c:v>
                </c:pt>
              </c:numCache>
            </c:numRef>
          </c:xVal>
          <c:yVal>
            <c:numRef>
              <c:f>('Liquid-Liquid Extraction'!$B$15,'Liquid-Liquid Extraction'!$N$45)</c:f>
              <c:numCache>
                <c:formatCode>0.000</c:formatCode>
                <c:ptCount val="2"/>
                <c:pt idx="0" formatCode="0.00000">
                  <c:v>0</c:v>
                </c:pt>
                <c:pt idx="1">
                  <c:v>-4.7169686230019289E-3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EA4E-4BDE-A72B-1A1084537EA9}"/>
            </c:ext>
          </c:extLst>
        </c:ser>
        <c:ser>
          <c:idx val="17"/>
          <c:order val="26"/>
          <c:tx>
            <c:v>d.L12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('Liquid-Liquid Extraction'!$A$15,'Liquid-Liquid Extraction'!$M$46)</c:f>
              <c:numCache>
                <c:formatCode>0.000</c:formatCode>
                <c:ptCount val="2"/>
                <c:pt idx="0" formatCode="0.00000">
                  <c:v>1</c:v>
                </c:pt>
                <c:pt idx="1">
                  <c:v>-2.9894106137479956E-3</c:v>
                </c:pt>
              </c:numCache>
            </c:numRef>
          </c:xVal>
          <c:yVal>
            <c:numRef>
              <c:f>('Liquid-Liquid Extraction'!$B$15,'Liquid-Liquid Extraction'!$N$46)</c:f>
              <c:numCache>
                <c:formatCode>0.000</c:formatCode>
                <c:ptCount val="2"/>
                <c:pt idx="0" formatCode="0.00000">
                  <c:v>0</c:v>
                </c:pt>
                <c:pt idx="1">
                  <c:v>-4.7660748081573816E-3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EA4E-4BDE-A72B-1A1084537EA9}"/>
            </c:ext>
          </c:extLst>
        </c:ser>
        <c:ser>
          <c:idx val="18"/>
          <c:order val="27"/>
          <c:tx>
            <c:v>d.L13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('Liquid-Liquid Extraction'!$A$15,'Liquid-Liquid Extraction'!$M$47)</c:f>
              <c:numCache>
                <c:formatCode>0.000</c:formatCode>
                <c:ptCount val="2"/>
                <c:pt idx="0" formatCode="0.00000">
                  <c:v>1</c:v>
                </c:pt>
                <c:pt idx="1">
                  <c:v>-2.9863861095101628E-3</c:v>
                </c:pt>
              </c:numCache>
            </c:numRef>
          </c:xVal>
          <c:yVal>
            <c:numRef>
              <c:f>('Liquid-Liquid Extraction'!$B$15,'Liquid-Liquid Extraction'!$N$47)</c:f>
              <c:numCache>
                <c:formatCode>0.000</c:formatCode>
                <c:ptCount val="2"/>
                <c:pt idx="0" formatCode="0.00000">
                  <c:v>0</c:v>
                </c:pt>
                <c:pt idx="1">
                  <c:v>-4.7510161629348326E-3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EA4E-4BDE-A72B-1A1084537EA9}"/>
            </c:ext>
          </c:extLst>
        </c:ser>
        <c:ser>
          <c:idx val="19"/>
          <c:order val="28"/>
          <c:tx>
            <c:v>d.L14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('Liquid-Liquid Extraction'!$A$15,'Liquid-Liquid Extraction'!$M$48)</c:f>
              <c:numCache>
                <c:formatCode>0.000</c:formatCode>
                <c:ptCount val="2"/>
                <c:pt idx="0" formatCode="0.00000">
                  <c:v>1</c:v>
                </c:pt>
                <c:pt idx="1">
                  <c:v>-2.97950817521678E-3</c:v>
                </c:pt>
              </c:numCache>
            </c:numRef>
          </c:xVal>
          <c:yVal>
            <c:numRef>
              <c:f>('Liquid-Liquid Extraction'!$B$15,'Liquid-Liquid Extraction'!$N$48)</c:f>
              <c:numCache>
                <c:formatCode>0.000</c:formatCode>
                <c:ptCount val="2"/>
                <c:pt idx="0" formatCode="0.00000">
                  <c:v>0</c:v>
                </c:pt>
                <c:pt idx="1">
                  <c:v>-4.7167726489157685E-3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EA4E-4BDE-A72B-1A1084537EA9}"/>
            </c:ext>
          </c:extLst>
        </c:ser>
        <c:ser>
          <c:idx val="20"/>
          <c:order val="29"/>
          <c:tx>
            <c:v>d.L15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('Liquid-Liquid Extraction'!$A$15,'Liquid-Liquid Extraction'!$M$49)</c:f>
              <c:numCache>
                <c:formatCode>0.000</c:formatCode>
                <c:ptCount val="2"/>
                <c:pt idx="0" formatCode="0.00000">
                  <c:v>1</c:v>
                </c:pt>
                <c:pt idx="1">
                  <c:v>-2.9747914922952385E-3</c:v>
                </c:pt>
              </c:numCache>
            </c:numRef>
          </c:xVal>
          <c:yVal>
            <c:numRef>
              <c:f>('Liquid-Liquid Extraction'!$B$15,'Liquid-Liquid Extraction'!$N$49)</c:f>
              <c:numCache>
                <c:formatCode>0.000</c:formatCode>
                <c:ptCount val="2"/>
                <c:pt idx="0" formatCode="0.00000">
                  <c:v>0</c:v>
                </c:pt>
                <c:pt idx="1">
                  <c:v>-4.6932901866253377E-3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EA4E-4BDE-A72B-1A1084537EA9}"/>
            </c:ext>
          </c:extLst>
        </c:ser>
        <c:ser>
          <c:idx val="31"/>
          <c:order val="30"/>
          <c:tx>
            <c:v>V11.L11</c:v>
          </c:tx>
          <c:spPr>
            <a:ln w="25400" cap="flat" cmpd="sng" algn="ctr">
              <a:solidFill>
                <a:schemeClr val="accent2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('Liquid-Liquid Extraction'!$M$45,'Liquid-Liquid Extraction'!$O$45)</c:f>
              <c:numCache>
                <c:formatCode>General</c:formatCode>
                <c:ptCount val="2"/>
                <c:pt idx="0" formatCode="0.000">
                  <c:v>-2.9795475380381999E-3</c:v>
                </c:pt>
                <c:pt idx="1">
                  <c:v>0.99298873895876716</c:v>
                </c:pt>
              </c:numCache>
            </c:numRef>
          </c:xVal>
          <c:yVal>
            <c:numRef>
              <c:f>('Liquid-Liquid Extraction'!$N$45,'Liquid-Liquid Extraction'!$P$45)</c:f>
              <c:numCache>
                <c:formatCode>0.000</c:formatCode>
                <c:ptCount val="2"/>
                <c:pt idx="0">
                  <c:v>-4.7169686230019289E-3</c:v>
                </c:pt>
                <c:pt idx="1">
                  <c:v>1.9371544180015188E-3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EA4E-4BDE-A72B-1A1084537EA9}"/>
            </c:ext>
          </c:extLst>
        </c:ser>
        <c:ser>
          <c:idx val="32"/>
          <c:order val="31"/>
          <c:tx>
            <c:v>V12.L12</c:v>
          </c:tx>
          <c:spPr>
            <a:ln w="25400" cap="flat" cmpd="sng" algn="ctr">
              <a:solidFill>
                <a:schemeClr val="accent2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('Liquid-Liquid Extraction'!$M$46,'Liquid-Liquid Extraction'!$O$46)</c:f>
              <c:numCache>
                <c:formatCode>General</c:formatCode>
                <c:ptCount val="2"/>
                <c:pt idx="0" formatCode="0.000">
                  <c:v>-2.9894106137479956E-3</c:v>
                </c:pt>
                <c:pt idx="1">
                  <c:v>0.99300960084450651</c:v>
                </c:pt>
              </c:numCache>
            </c:numRef>
          </c:xVal>
          <c:yVal>
            <c:numRef>
              <c:f>('Liquid-Liquid Extraction'!$N$46,'Liquid-Liquid Extraction'!$P$46)</c:f>
              <c:numCache>
                <c:formatCode>0.000</c:formatCode>
                <c:ptCount val="2"/>
                <c:pt idx="0">
                  <c:v>-4.7660748081573816E-3</c:v>
                </c:pt>
                <c:pt idx="1">
                  <c:v>1.9163719183943329E-3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EA4E-4BDE-A72B-1A1084537EA9}"/>
            </c:ext>
          </c:extLst>
        </c:ser>
        <c:ser>
          <c:idx val="33"/>
          <c:order val="32"/>
          <c:tx>
            <c:v>V13.L13</c:v>
          </c:tx>
          <c:spPr>
            <a:ln w="25400" cap="flat" cmpd="sng" algn="ctr">
              <a:solidFill>
                <a:schemeClr val="accent2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('Liquid-Liquid Extraction'!$M$47,'Liquid-Liquid Extraction'!$O$47)</c:f>
              <c:numCache>
                <c:formatCode>General</c:formatCode>
                <c:ptCount val="2"/>
                <c:pt idx="0" formatCode="0.000">
                  <c:v>-2.9863861095101628E-3</c:v>
                </c:pt>
                <c:pt idx="1">
                  <c:v>0.99300320361252148</c:v>
                </c:pt>
              </c:numCache>
            </c:numRef>
          </c:xVal>
          <c:yVal>
            <c:numRef>
              <c:f>('Liquid-Liquid Extraction'!$N$47,'Liquid-Liquid Extraction'!$P$47)</c:f>
              <c:numCache>
                <c:formatCode>0.000</c:formatCode>
                <c:ptCount val="2"/>
                <c:pt idx="0">
                  <c:v>-4.7510161629348326E-3</c:v>
                </c:pt>
                <c:pt idx="1">
                  <c:v>1.922744854877978E-3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EA4E-4BDE-A72B-1A1084537EA9}"/>
            </c:ext>
          </c:extLst>
        </c:ser>
        <c:ser>
          <c:idx val="34"/>
          <c:order val="33"/>
          <c:tx>
            <c:v>V14.L14</c:v>
          </c:tx>
          <c:spPr>
            <a:ln w="25400" cap="flat" cmpd="sng" algn="ctr">
              <a:solidFill>
                <a:schemeClr val="accent2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('Liquid-Liquid Extraction'!$M$48,'Liquid-Liquid Extraction'!$O$48)</c:f>
              <c:numCache>
                <c:formatCode>General</c:formatCode>
                <c:ptCount val="2"/>
                <c:pt idx="0" formatCode="0.000">
                  <c:v>-2.97950817521678E-3</c:v>
                </c:pt>
                <c:pt idx="1">
                  <c:v>0.99298865569957662</c:v>
                </c:pt>
              </c:numCache>
            </c:numRef>
          </c:xVal>
          <c:yVal>
            <c:numRef>
              <c:f>('Liquid-Liquid Extraction'!$N$48,'Liquid-Liquid Extraction'!$P$48)</c:f>
              <c:numCache>
                <c:formatCode>0.000</c:formatCode>
                <c:ptCount val="2"/>
                <c:pt idx="0">
                  <c:v>-4.7167726489157685E-3</c:v>
                </c:pt>
                <c:pt idx="1">
                  <c:v>1.9372373594594428E-3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EA4E-4BDE-A72B-1A1084537EA9}"/>
            </c:ext>
          </c:extLst>
        </c:ser>
        <c:ser>
          <c:idx val="35"/>
          <c:order val="34"/>
          <c:tx>
            <c:v>V15.L15</c:v>
          </c:tx>
          <c:spPr>
            <a:ln w="25400" cap="flat" cmpd="sng" algn="ctr">
              <a:solidFill>
                <a:schemeClr val="accent2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('Liquid-Liquid Extraction'!$M$49,'Liquid-Liquid Extraction'!$O$49)</c:f>
              <c:numCache>
                <c:formatCode>General</c:formatCode>
                <c:ptCount val="2"/>
                <c:pt idx="0" formatCode="0.000">
                  <c:v>-2.9747914922952385E-3</c:v>
                </c:pt>
                <c:pt idx="1">
                  <c:v>0.99297867904499315</c:v>
                </c:pt>
              </c:numCache>
            </c:numRef>
          </c:xVal>
          <c:yVal>
            <c:numRef>
              <c:f>('Liquid-Liquid Extraction'!$N$49,'Liquid-Liquid Extraction'!$P$49)</c:f>
              <c:numCache>
                <c:formatCode>0.000</c:formatCode>
                <c:ptCount val="2"/>
                <c:pt idx="0">
                  <c:v>-4.6932901866253377E-3</c:v>
                </c:pt>
                <c:pt idx="1">
                  <c:v>1.9471758892061208E-3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EA4E-4BDE-A72B-1A1084537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05728"/>
        <c:axId val="164907648"/>
      </c:scatterChart>
      <c:valAx>
        <c:axId val="164905728"/>
        <c:scaling>
          <c:orientation val="minMax"/>
          <c:max val="1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xc, yc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64907648"/>
        <c:crosses val="autoZero"/>
        <c:crossBetween val="midCat"/>
      </c:valAx>
      <c:valAx>
        <c:axId val="164907648"/>
        <c:scaling>
          <c:orientation val="minMax"/>
          <c:max val="1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 b="1" i="0"/>
                </a:pPr>
                <a:r>
                  <a:rPr lang="en-US" sz="1200" b="1" i="0"/>
                  <a:t>xa, ya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164905728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608" footer="0.314960620000006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Equilibrium</c:v>
          </c:tx>
          <c:spPr>
            <a:ln w="28575">
              <a:noFill/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Equilibrium!$I$3:$I$25</c:f>
              <c:numCache>
                <c:formatCode>0.000</c:formatCode>
                <c:ptCount val="2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0.43</c:v>
                </c:pt>
              </c:numCache>
            </c:numRef>
          </c:xVal>
          <c:yVal>
            <c:numRef>
              <c:f>Equilibrium!$J$3:$J$26</c:f>
              <c:numCache>
                <c:formatCode>0.000</c:formatCode>
                <c:ptCount val="24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0.19</c:v>
                </c:pt>
                <c:pt idx="6">
                  <c:v>0.22500000000000001</c:v>
                </c:pt>
                <c:pt idx="7">
                  <c:v>0.25700000000000001</c:v>
                </c:pt>
                <c:pt idx="8">
                  <c:v>0.28699999999999998</c:v>
                </c:pt>
                <c:pt idx="9">
                  <c:v>0.315</c:v>
                </c:pt>
                <c:pt idx="10">
                  <c:v>0.34</c:v>
                </c:pt>
                <c:pt idx="11">
                  <c:v>0.36499999999999999</c:v>
                </c:pt>
                <c:pt idx="12">
                  <c:v>0.38500000000000001</c:v>
                </c:pt>
                <c:pt idx="13">
                  <c:v>0.40500000000000003</c:v>
                </c:pt>
                <c:pt idx="14">
                  <c:v>0.42199999999999999</c:v>
                </c:pt>
                <c:pt idx="15">
                  <c:v>0.435</c:v>
                </c:pt>
                <c:pt idx="16">
                  <c:v>0.44800000000000001</c:v>
                </c:pt>
                <c:pt idx="17">
                  <c:v>0.45700000000000002</c:v>
                </c:pt>
                <c:pt idx="18">
                  <c:v>0.46500000000000002</c:v>
                </c:pt>
                <c:pt idx="19">
                  <c:v>0.46300000000000002</c:v>
                </c:pt>
                <c:pt idx="20">
                  <c:v>0.46</c:v>
                </c:pt>
                <c:pt idx="21">
                  <c:v>0.45500000000000002</c:v>
                </c:pt>
                <c:pt idx="22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E-4CF1-8BAD-FC4322A99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64480"/>
        <c:axId val="165774848"/>
      </c:scatterChart>
      <c:scatterChart>
        <c:scatterStyle val="smoothMarker"/>
        <c:varyColors val="0"/>
        <c:ser>
          <c:idx val="1"/>
          <c:order val="1"/>
          <c:tx>
            <c:v>modelo</c:v>
          </c:tx>
          <c:spPr>
            <a:ln w="25400" cap="flat" cmpd="sng" algn="ctr">
              <a:solidFill>
                <a:schemeClr val="accent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Equilibrium!$I$3:$I$25</c:f>
              <c:numCache>
                <c:formatCode>0.000</c:formatCode>
                <c:ptCount val="2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0.43</c:v>
                </c:pt>
              </c:numCache>
            </c:numRef>
          </c:xVal>
          <c:yVal>
            <c:numRef>
              <c:f>Equilibrium!$K$3:$K$25</c:f>
              <c:numCache>
                <c:formatCode>General</c:formatCode>
                <c:ptCount val="23"/>
                <c:pt idx="0">
                  <c:v>-9.3052647455272152E-3</c:v>
                </c:pt>
                <c:pt idx="1">
                  <c:v>3.6989280388866945E-2</c:v>
                </c:pt>
                <c:pt idx="2">
                  <c:v>8.0898905553835027E-2</c:v>
                </c:pt>
                <c:pt idx="3">
                  <c:v>0.12242361074937703</c:v>
                </c:pt>
                <c:pt idx="4">
                  <c:v>0.16156339597549299</c:v>
                </c:pt>
                <c:pt idx="5">
                  <c:v>0.19831826123218285</c:v>
                </c:pt>
                <c:pt idx="6">
                  <c:v>0.23268820651944663</c:v>
                </c:pt>
                <c:pt idx="7">
                  <c:v>0.26467323183728431</c:v>
                </c:pt>
                <c:pt idx="8">
                  <c:v>0.29427333718569587</c:v>
                </c:pt>
                <c:pt idx="9">
                  <c:v>0.32148852256468141</c:v>
                </c:pt>
                <c:pt idx="10">
                  <c:v>0.34631878797424093</c:v>
                </c:pt>
                <c:pt idx="11">
                  <c:v>0.36876413341437431</c:v>
                </c:pt>
                <c:pt idx="12">
                  <c:v>0.38882455888508161</c:v>
                </c:pt>
                <c:pt idx="13">
                  <c:v>0.40650006438636282</c:v>
                </c:pt>
                <c:pt idx="14">
                  <c:v>0.42179064991821807</c:v>
                </c:pt>
                <c:pt idx="15">
                  <c:v>0.43469631548064708</c:v>
                </c:pt>
                <c:pt idx="16">
                  <c:v>0.44521706107365</c:v>
                </c:pt>
                <c:pt idx="17">
                  <c:v>0.45335288669722701</c:v>
                </c:pt>
                <c:pt idx="18">
                  <c:v>0.45910379235137777</c:v>
                </c:pt>
                <c:pt idx="19">
                  <c:v>0.46246977803610262</c:v>
                </c:pt>
                <c:pt idx="20">
                  <c:v>0.46345084375140122</c:v>
                </c:pt>
                <c:pt idx="21">
                  <c:v>0.46204698949727391</c:v>
                </c:pt>
                <c:pt idx="22">
                  <c:v>0.46045071738167548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DE-4CF1-8BAD-FC4322A99B69}"/>
            </c:ext>
          </c:extLst>
        </c:ser>
        <c:ser>
          <c:idx val="2"/>
          <c:order val="2"/>
          <c:tx>
            <c:v>reta45</c:v>
          </c:tx>
          <c:spPr>
            <a:ln w="25400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none"/>
          </c:marker>
          <c:xVal>
            <c:numRef>
              <c:f>(#REF!,#REF!)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(#REF!,#REF!)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DE-4CF1-8BAD-FC4322A99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64480"/>
        <c:axId val="165774848"/>
      </c:scatterChart>
      <c:valAx>
        <c:axId val="165764480"/>
        <c:scaling>
          <c:orientation val="minMax"/>
          <c:max val="1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ya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65774848"/>
        <c:crosses val="autoZero"/>
        <c:crossBetween val="midCat"/>
      </c:valAx>
      <c:valAx>
        <c:axId val="165774848"/>
        <c:scaling>
          <c:orientation val="minMax"/>
          <c:max val="1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xa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65764480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624" footer="0.3149606200000062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514350</xdr:colOff>
      <xdr:row>1</xdr:row>
      <xdr:rowOff>76200</xdr:rowOff>
    </xdr:from>
    <xdr:to>
      <xdr:col>20</xdr:col>
      <xdr:colOff>38100</xdr:colOff>
      <xdr:row>22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0</xdr:row>
      <xdr:rowOff>190499</xdr:rowOff>
    </xdr:from>
    <xdr:to>
      <xdr:col>20</xdr:col>
      <xdr:colOff>0</xdr:colOff>
      <xdr:row>20</xdr:row>
      <xdr:rowOff>180974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314325</xdr:colOff>
      <xdr:row>11</xdr:row>
      <xdr:rowOff>188833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5AE71897-D8EF-4409-9EFB-C48E027E1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90500"/>
          <a:ext cx="5800725" cy="2093833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</xdr:pic>
    <xdr:clientData/>
  </xdr:twoCellAnchor>
  <xdr:twoCellAnchor editAs="oneCell">
    <xdr:from>
      <xdr:col>11</xdr:col>
      <xdr:colOff>1</xdr:colOff>
      <xdr:row>1</xdr:row>
      <xdr:rowOff>0</xdr:rowOff>
    </xdr:from>
    <xdr:to>
      <xdr:col>16</xdr:col>
      <xdr:colOff>589143</xdr:colOff>
      <xdr:row>22</xdr:row>
      <xdr:rowOff>104775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2C49149-1092-4E85-A522-AF6ABAF7A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-15000" contrast="25000"/>
        </a:blip>
        <a:srcRect l="6698" t="2240" r="8931" b="2240"/>
        <a:stretch>
          <a:fillRect/>
        </a:stretch>
      </xdr:blipFill>
      <xdr:spPr bwMode="auto">
        <a:xfrm>
          <a:off x="6705601" y="190500"/>
          <a:ext cx="3637142" cy="4105275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concentrated_packed_tow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eat_exchanger_shell_tub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rption_packed"/>
      <sheetName val="Equilibrium"/>
      <sheetName val="Operation"/>
      <sheetName val="Credits"/>
    </sheetNames>
    <sheetDataSet>
      <sheetData sheetId="0">
        <row r="2">
          <cell r="B2">
            <v>6.5300000000000004E-4</v>
          </cell>
          <cell r="E2">
            <v>9.2899999999999996E-2</v>
          </cell>
        </row>
        <row r="3">
          <cell r="B3">
            <v>0.2</v>
          </cell>
        </row>
        <row r="4">
          <cell r="B4">
            <v>0.02</v>
          </cell>
        </row>
        <row r="6">
          <cell r="B6">
            <v>4.2000000000000003E-2</v>
          </cell>
        </row>
        <row r="7">
          <cell r="B7">
            <v>0</v>
          </cell>
          <cell r="E7">
            <v>64.099999999999994</v>
          </cell>
        </row>
        <row r="8">
          <cell r="E8">
            <v>29</v>
          </cell>
        </row>
        <row r="9">
          <cell r="B9">
            <v>3.5569096465060041E-3</v>
          </cell>
          <cell r="E9">
            <v>18</v>
          </cell>
        </row>
      </sheetData>
      <sheetData sheetId="1">
        <row r="3">
          <cell r="R3">
            <v>11.467356902472577</v>
          </cell>
        </row>
        <row r="4">
          <cell r="R4">
            <v>32.564812758541194</v>
          </cell>
        </row>
        <row r="5">
          <cell r="R5">
            <v>-1.2661060792755242E-2</v>
          </cell>
        </row>
      </sheetData>
      <sheetData sheetId="2">
        <row r="3">
          <cell r="C3">
            <v>-2500</v>
          </cell>
        </row>
        <row r="4">
          <cell r="C4">
            <v>60</v>
          </cell>
        </row>
        <row r="5">
          <cell r="C5">
            <v>0.02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el"/>
      <sheetName val="Main"/>
      <sheetName val="Credits"/>
    </sheetNames>
    <sheetDataSet>
      <sheetData sheetId="0"/>
      <sheetData sheetId="1">
        <row r="3">
          <cell r="C3">
            <v>1000</v>
          </cell>
          <cell r="J3">
            <v>1</v>
          </cell>
          <cell r="M3">
            <v>1E-3</v>
          </cell>
          <cell r="P3">
            <v>2E-3</v>
          </cell>
          <cell r="T3">
            <v>3.0000000000000001E-3</v>
          </cell>
        </row>
        <row r="4">
          <cell r="C4">
            <v>50000</v>
          </cell>
          <cell r="F4">
            <v>30000</v>
          </cell>
          <cell r="J4">
            <v>0</v>
          </cell>
          <cell r="M4">
            <v>4.9000000000000002E-2</v>
          </cell>
          <cell r="P4">
            <v>1.7709999999999999</v>
          </cell>
          <cell r="T4">
            <v>6.0646282310958775E-2</v>
          </cell>
        </row>
        <row r="5">
          <cell r="M5">
            <v>6.2E-2</v>
          </cell>
          <cell r="T5">
            <v>0.5</v>
          </cell>
        </row>
        <row r="6">
          <cell r="M6">
            <v>302</v>
          </cell>
          <cell r="P6">
            <v>2</v>
          </cell>
        </row>
        <row r="7">
          <cell r="C7">
            <v>80</v>
          </cell>
          <cell r="F7">
            <v>150</v>
          </cell>
          <cell r="M7">
            <v>16</v>
          </cell>
          <cell r="P7">
            <v>8.3333333333333329E-2</v>
          </cell>
        </row>
        <row r="8">
          <cell r="C8">
            <v>110</v>
          </cell>
          <cell r="F8">
            <v>100</v>
          </cell>
          <cell r="M8">
            <v>1.8857409903172736E-3</v>
          </cell>
          <cell r="P8">
            <v>0.41666666666666669</v>
          </cell>
        </row>
        <row r="9">
          <cell r="C9">
            <v>95</v>
          </cell>
          <cell r="F9">
            <v>125</v>
          </cell>
        </row>
        <row r="10">
          <cell r="C10">
            <v>20</v>
          </cell>
          <cell r="F10">
            <v>40</v>
          </cell>
          <cell r="J10">
            <v>28.85390081777927</v>
          </cell>
          <cell r="M10">
            <v>0.28474688953790833</v>
          </cell>
          <cell r="P10">
            <v>0.18890666666666664</v>
          </cell>
          <cell r="T10">
            <v>53.63421738491585</v>
          </cell>
        </row>
        <row r="11">
          <cell r="M11">
            <v>50000</v>
          </cell>
          <cell r="P11">
            <v>30000</v>
          </cell>
        </row>
        <row r="12">
          <cell r="J12">
            <v>1500000</v>
          </cell>
          <cell r="M12">
            <v>1</v>
          </cell>
          <cell r="P12">
            <v>1</v>
          </cell>
        </row>
        <row r="13">
          <cell r="C13">
            <v>1</v>
          </cell>
          <cell r="F13">
            <v>1</v>
          </cell>
          <cell r="J13">
            <v>1.6666666666666667</v>
          </cell>
          <cell r="M13">
            <v>1</v>
          </cell>
          <cell r="P13">
            <v>1</v>
          </cell>
          <cell r="T13">
            <v>2416</v>
          </cell>
        </row>
        <row r="14">
          <cell r="C14">
            <v>1</v>
          </cell>
          <cell r="F14">
            <v>1</v>
          </cell>
          <cell r="J14">
            <v>0.42857142857142855</v>
          </cell>
          <cell r="M14">
            <v>0.5</v>
          </cell>
          <cell r="P14">
            <v>0.5</v>
          </cell>
          <cell r="T14">
            <v>45.234431657646972</v>
          </cell>
        </row>
        <row r="15">
          <cell r="C15">
            <v>0.5</v>
          </cell>
          <cell r="F15">
            <v>0.5</v>
          </cell>
          <cell r="J15">
            <v>0.47568631394831673</v>
          </cell>
          <cell r="M15">
            <v>50</v>
          </cell>
          <cell r="P15">
            <v>60</v>
          </cell>
        </row>
        <row r="16">
          <cell r="C16">
            <v>50</v>
          </cell>
          <cell r="F16">
            <v>60</v>
          </cell>
          <cell r="J16">
            <v>13.725405723039742</v>
          </cell>
        </row>
        <row r="17">
          <cell r="M17">
            <v>175594.54321394264</v>
          </cell>
          <cell r="P17">
            <v>158808.58272162621</v>
          </cell>
        </row>
        <row r="18">
          <cell r="M18">
            <v>7113.5332354591528</v>
          </cell>
          <cell r="P18">
            <v>7962.6279220147308</v>
          </cell>
        </row>
        <row r="19">
          <cell r="M19">
            <v>0.5</v>
          </cell>
          <cell r="P19">
            <v>0.5</v>
          </cell>
        </row>
        <row r="21">
          <cell r="M21">
            <v>110.83699065378759</v>
          </cell>
          <cell r="P21">
            <v>138.33373387774068</v>
          </cell>
        </row>
        <row r="22">
          <cell r="M22">
            <v>87.596976484445037</v>
          </cell>
        </row>
        <row r="23">
          <cell r="M23">
            <v>0.5</v>
          </cell>
          <cell r="P23">
            <v>0.5</v>
          </cell>
        </row>
        <row r="24">
          <cell r="M24">
            <v>1</v>
          </cell>
          <cell r="P24">
            <v>1</v>
          </cell>
        </row>
        <row r="25">
          <cell r="M25">
            <v>87.596976484445037</v>
          </cell>
          <cell r="P25">
            <v>138.33373387774068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showGridLines="0" tabSelected="1" workbookViewId="0">
      <selection activeCell="H44" sqref="H44"/>
    </sheetView>
  </sheetViews>
  <sheetFormatPr defaultRowHeight="15" x14ac:dyDescent="0.25"/>
  <cols>
    <col min="2" max="2" width="9.140625" customWidth="1"/>
    <col min="3" max="3" width="6.85546875" customWidth="1"/>
    <col min="7" max="7" width="9.140625" customWidth="1"/>
    <col min="8" max="8" width="8.7109375" customWidth="1"/>
    <col min="9" max="9" width="9.28515625" customWidth="1"/>
    <col min="13" max="13" width="9.140625" customWidth="1"/>
    <col min="16" max="16" width="8.7109375" customWidth="1"/>
    <col min="19" max="20" width="9" customWidth="1"/>
    <col min="22" max="22" width="9.5703125" customWidth="1"/>
  </cols>
  <sheetData>
    <row r="1" spans="1:25" x14ac:dyDescent="0.25">
      <c r="A1" s="54" t="s">
        <v>0</v>
      </c>
      <c r="B1" s="5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x14ac:dyDescent="0.25">
      <c r="A2" s="20" t="s">
        <v>61</v>
      </c>
      <c r="B2" s="37">
        <v>50</v>
      </c>
      <c r="C2" s="5" t="s">
        <v>1</v>
      </c>
      <c r="D2" s="55" t="s">
        <v>2</v>
      </c>
      <c r="E2" s="55"/>
      <c r="F2" s="5"/>
      <c r="G2" s="5"/>
      <c r="H2" s="5"/>
      <c r="I2" s="9" t="s">
        <v>54</v>
      </c>
      <c r="J2" s="9" t="s">
        <v>55</v>
      </c>
      <c r="K2" s="9" t="s">
        <v>56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x14ac:dyDescent="0.25">
      <c r="A3" s="20" t="s">
        <v>4</v>
      </c>
      <c r="B3" s="38">
        <v>0.5</v>
      </c>
      <c r="C3" s="5"/>
      <c r="D3" s="20" t="s">
        <v>5</v>
      </c>
      <c r="E3" s="20" t="s">
        <v>6</v>
      </c>
      <c r="F3" s="22" t="s">
        <v>7</v>
      </c>
      <c r="G3" s="22" t="s">
        <v>8</v>
      </c>
      <c r="H3" s="5"/>
      <c r="I3" s="35" t="s">
        <v>8</v>
      </c>
      <c r="J3" s="35" t="s">
        <v>60</v>
      </c>
      <c r="K3" s="35" t="s">
        <v>18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x14ac:dyDescent="0.25">
      <c r="A4" s="17" t="s">
        <v>11</v>
      </c>
      <c r="B4" s="8">
        <f>1-xo</f>
        <v>0.5</v>
      </c>
      <c r="C4" s="5"/>
      <c r="D4" s="39">
        <v>1</v>
      </c>
      <c r="E4" s="39">
        <v>0</v>
      </c>
      <c r="F4" s="23">
        <f t="shared" ref="F4:F19" si="0">A.*D4^2+B.*D4+C.</f>
        <v>-5.0728543310604168E-3</v>
      </c>
      <c r="G4" s="24">
        <f>(F4-E4)^2</f>
        <v>2.573385106415843E-5</v>
      </c>
      <c r="H4" s="25">
        <v>0</v>
      </c>
      <c r="I4" s="18">
        <f>S</f>
        <v>50</v>
      </c>
      <c r="J4" s="18">
        <f>Lo</f>
        <v>50</v>
      </c>
      <c r="K4" s="18" t="s">
        <v>36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17" t="s">
        <v>12</v>
      </c>
      <c r="B5" s="8">
        <v>0</v>
      </c>
      <c r="C5" s="5"/>
      <c r="D5" s="39">
        <v>0.95</v>
      </c>
      <c r="E5" s="39">
        <v>4.4999999999999998E-2</v>
      </c>
      <c r="F5" s="23">
        <f t="shared" si="0"/>
        <v>4.3803059999996563E-2</v>
      </c>
      <c r="G5" s="24">
        <f t="shared" ref="G5:G31" si="1">(F5-E5)^2</f>
        <v>1.4326653636082235E-6</v>
      </c>
      <c r="H5" s="25">
        <v>1</v>
      </c>
      <c r="I5" s="18">
        <f>M*(xcm-M35)/(O35-M35)</f>
        <v>59.723978424989966</v>
      </c>
      <c r="J5" s="18">
        <f t="shared" ref="J5" si="2">M-I5</f>
        <v>40.276021575010034</v>
      </c>
      <c r="K5" s="19">
        <f t="shared" ref="K5" si="3">Lo+S</f>
        <v>100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0" t="s">
        <v>13</v>
      </c>
      <c r="B6" s="38">
        <v>0.05</v>
      </c>
      <c r="C6" s="5"/>
      <c r="D6" s="39">
        <v>0.9</v>
      </c>
      <c r="E6" s="39">
        <v>0.09</v>
      </c>
      <c r="F6" s="23">
        <f t="shared" si="0"/>
        <v>9.0084911051517724E-2</v>
      </c>
      <c r="G6" s="24">
        <f t="shared" si="1"/>
        <v>7.2098866698461904E-9</v>
      </c>
      <c r="H6" s="25">
        <v>2</v>
      </c>
      <c r="I6" s="18">
        <f>K6*(Q36-M36)/(O36-M36)</f>
        <v>58.861831481875896</v>
      </c>
      <c r="J6" s="18">
        <f>K6-I6</f>
        <v>31.414190093134138</v>
      </c>
      <c r="K6" s="19">
        <f t="shared" ref="K6:K19" si="4">J5+S</f>
        <v>90.276021575010034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x14ac:dyDescent="0.25">
      <c r="A7" s="17" t="s">
        <v>14</v>
      </c>
      <c r="B7" s="8">
        <f>(-E.+SQRT(E.^2-4*D.*(F.-xan)))/(2*D.)</f>
        <v>8.3511404955101867E-3</v>
      </c>
      <c r="C7" s="5"/>
      <c r="D7" s="39">
        <v>0.85</v>
      </c>
      <c r="E7" s="39">
        <v>0.13500000000000001</v>
      </c>
      <c r="F7" s="23">
        <f t="shared" si="0"/>
        <v>0.13377269882350329</v>
      </c>
      <c r="G7" s="24">
        <f t="shared" si="1"/>
        <v>1.5062681778302333E-6</v>
      </c>
      <c r="H7" s="25">
        <v>3</v>
      </c>
      <c r="I7" s="18">
        <f t="shared" ref="I7:I24" si="5">K7*(Q37-M37)/(O37-M37)</f>
        <v>54.058749721898963</v>
      </c>
      <c r="J7" s="18">
        <f t="shared" ref="J7:J24" si="6">K7-I7</f>
        <v>27.355440371235176</v>
      </c>
      <c r="K7" s="19">
        <f t="shared" si="4"/>
        <v>81.414190093134138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5"/>
      <c r="B8" s="5"/>
      <c r="C8" s="5"/>
      <c r="D8" s="39">
        <v>0.8</v>
      </c>
      <c r="E8" s="39">
        <v>0.17499999999999999</v>
      </c>
      <c r="F8" s="23">
        <f t="shared" si="0"/>
        <v>0.17486642331595309</v>
      </c>
      <c r="G8" s="24">
        <f t="shared" si="1"/>
        <v>1.7842730520965033E-8</v>
      </c>
      <c r="H8" s="25">
        <v>4</v>
      </c>
      <c r="I8" s="18">
        <f t="shared" si="5"/>
        <v>52.007252379188365</v>
      </c>
      <c r="J8" s="18">
        <f t="shared" si="6"/>
        <v>25.34818799204681</v>
      </c>
      <c r="K8" s="19">
        <f t="shared" si="4"/>
        <v>77.355440371235176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x14ac:dyDescent="0.25">
      <c r="A9" s="20" t="s">
        <v>65</v>
      </c>
      <c r="B9" s="37">
        <v>50</v>
      </c>
      <c r="C9" s="5" t="s">
        <v>1</v>
      </c>
      <c r="D9" s="39">
        <v>0.75</v>
      </c>
      <c r="E9" s="39">
        <v>0.215</v>
      </c>
      <c r="F9" s="23">
        <f t="shared" si="0"/>
        <v>0.21336608452886729</v>
      </c>
      <c r="G9" s="24">
        <f t="shared" si="1"/>
        <v>2.6696797668067994E-6</v>
      </c>
      <c r="H9" s="25">
        <v>5</v>
      </c>
      <c r="I9" s="18">
        <f t="shared" si="5"/>
        <v>51.091759488615928</v>
      </c>
      <c r="J9" s="18">
        <f t="shared" si="6"/>
        <v>24.256428503430875</v>
      </c>
      <c r="K9" s="19">
        <f t="shared" si="4"/>
        <v>75.348187992046803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17" t="s">
        <v>15</v>
      </c>
      <c r="B10" s="8">
        <v>0</v>
      </c>
      <c r="C10" s="5"/>
      <c r="D10" s="39">
        <v>0.7</v>
      </c>
      <c r="E10" s="39">
        <v>0.245</v>
      </c>
      <c r="F10" s="23">
        <f t="shared" si="0"/>
        <v>0.24927168246224582</v>
      </c>
      <c r="G10" s="24">
        <f t="shared" si="1"/>
        <v>1.8247271058258545E-5</v>
      </c>
      <c r="H10" s="25">
        <v>6</v>
      </c>
      <c r="I10" s="18">
        <f t="shared" si="5"/>
        <v>50.678911620211196</v>
      </c>
      <c r="J10" s="18">
        <f t="shared" si="6"/>
        <v>23.577516883219673</v>
      </c>
      <c r="K10" s="19">
        <f t="shared" si="4"/>
        <v>74.256428503430868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17" t="s">
        <v>16</v>
      </c>
      <c r="B11" s="8">
        <v>1</v>
      </c>
      <c r="C11" s="5"/>
      <c r="D11" s="39">
        <v>0.65</v>
      </c>
      <c r="E11" s="39">
        <v>0.28000000000000003</v>
      </c>
      <c r="F11" s="23">
        <f t="shared" si="0"/>
        <v>0.28258321711608858</v>
      </c>
      <c r="G11" s="24">
        <f t="shared" si="1"/>
        <v>6.6730106688528669E-6</v>
      </c>
      <c r="H11" s="25">
        <v>7</v>
      </c>
      <c r="I11" s="18">
        <f t="shared" si="5"/>
        <v>50.493119641526391</v>
      </c>
      <c r="J11" s="18">
        <f t="shared" si="6"/>
        <v>23.084397241693281</v>
      </c>
      <c r="K11" s="19">
        <f t="shared" si="4"/>
        <v>73.577516883219673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5"/>
      <c r="B12" s="5"/>
      <c r="C12" s="5"/>
      <c r="D12" s="39">
        <v>0.6</v>
      </c>
      <c r="E12" s="39">
        <v>0.31</v>
      </c>
      <c r="F12" s="23">
        <f t="shared" si="0"/>
        <v>0.31330068849039566</v>
      </c>
      <c r="G12" s="24">
        <f t="shared" si="1"/>
        <v>1.0894544510630411E-5</v>
      </c>
      <c r="H12" s="25">
        <v>8</v>
      </c>
      <c r="I12" s="18">
        <f t="shared" si="5"/>
        <v>50.410276880261904</v>
      </c>
      <c r="J12" s="18">
        <f t="shared" si="6"/>
        <v>22.674120361431378</v>
      </c>
      <c r="K12" s="19">
        <f t="shared" si="4"/>
        <v>73.084397241693281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56" t="s">
        <v>3</v>
      </c>
      <c r="B13" s="57"/>
      <c r="C13" s="5"/>
      <c r="D13" s="39">
        <v>0.55000000000000004</v>
      </c>
      <c r="E13" s="39">
        <v>0.34</v>
      </c>
      <c r="F13" s="23">
        <f t="shared" si="0"/>
        <v>0.34142409658516704</v>
      </c>
      <c r="G13" s="24">
        <f t="shared" si="1"/>
        <v>2.0280510838843441E-6</v>
      </c>
      <c r="H13" s="25">
        <v>9</v>
      </c>
      <c r="I13" s="18">
        <f t="shared" si="5"/>
        <v>50.374025352099352</v>
      </c>
      <c r="J13" s="18">
        <f t="shared" si="6"/>
        <v>22.300095009332026</v>
      </c>
      <c r="K13" s="19">
        <f t="shared" si="4"/>
        <v>72.674120361431378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16" t="s">
        <v>9</v>
      </c>
      <c r="B14" s="16" t="s">
        <v>10</v>
      </c>
      <c r="C14" s="5"/>
      <c r="D14" s="39">
        <v>0.5</v>
      </c>
      <c r="E14" s="39">
        <v>0.37</v>
      </c>
      <c r="F14" s="23">
        <f t="shared" si="0"/>
        <v>0.36695344140040276</v>
      </c>
      <c r="G14" s="24">
        <f t="shared" si="1"/>
        <v>9.2815193007798828E-6</v>
      </c>
      <c r="H14" s="25">
        <v>10</v>
      </c>
      <c r="I14" s="18">
        <f t="shared" si="5"/>
        <v>50.358760836420444</v>
      </c>
      <c r="J14" s="18">
        <f t="shared" si="6"/>
        <v>21.941334172911581</v>
      </c>
      <c r="K14" s="19">
        <f t="shared" si="4"/>
        <v>72.300095009332026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34">
        <v>1</v>
      </c>
      <c r="B15" s="34">
        <v>0</v>
      </c>
      <c r="C15" s="5"/>
      <c r="D15" s="39">
        <v>0.45000000000000101</v>
      </c>
      <c r="E15" s="39">
        <v>0.39300000000000002</v>
      </c>
      <c r="F15" s="23">
        <f t="shared" si="0"/>
        <v>0.38988872293610238</v>
      </c>
      <c r="G15" s="24">
        <f t="shared" si="1"/>
        <v>9.6800449683354743E-6</v>
      </c>
      <c r="H15" s="25">
        <v>11</v>
      </c>
      <c r="I15" s="18">
        <f t="shared" si="5"/>
        <v>50.352871942234643</v>
      </c>
      <c r="J15" s="18">
        <f t="shared" si="6"/>
        <v>21.588462230676939</v>
      </c>
      <c r="K15" s="19">
        <f t="shared" si="4"/>
        <v>71.941334172911581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5"/>
      <c r="B16" s="5"/>
      <c r="C16" s="5"/>
      <c r="D16" s="39">
        <v>0.40000000000000102</v>
      </c>
      <c r="E16" s="39">
        <v>0.41199999999999998</v>
      </c>
      <c r="F16" s="23">
        <f t="shared" si="0"/>
        <v>0.41022994119226674</v>
      </c>
      <c r="G16" s="24">
        <f t="shared" si="1"/>
        <v>3.1331081828339924E-6</v>
      </c>
      <c r="H16" s="25">
        <v>12</v>
      </c>
      <c r="I16" s="18">
        <f t="shared" si="5"/>
        <v>50.351137784665127</v>
      </c>
      <c r="J16" s="18">
        <f t="shared" si="6"/>
        <v>21.237324446011812</v>
      </c>
      <c r="K16" s="19">
        <f t="shared" si="4"/>
        <v>71.588462230676939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59" t="s">
        <v>21</v>
      </c>
      <c r="B17" s="59"/>
      <c r="C17" s="5"/>
      <c r="D17" s="39">
        <v>0.35000000000000098</v>
      </c>
      <c r="E17" s="39">
        <v>0.43</v>
      </c>
      <c r="F17" s="23">
        <f t="shared" si="0"/>
        <v>0.42797709616889551</v>
      </c>
      <c r="G17" s="24">
        <f t="shared" si="1"/>
        <v>4.0921399098971959E-6</v>
      </c>
      <c r="H17" s="25">
        <v>13</v>
      </c>
      <c r="I17" s="18">
        <f t="shared" si="5"/>
        <v>50.351183978834314</v>
      </c>
      <c r="J17" s="18">
        <f t="shared" si="6"/>
        <v>20.886140467177498</v>
      </c>
      <c r="K17" s="19">
        <f t="shared" si="4"/>
        <v>71.237324446011812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58" t="s">
        <v>63</v>
      </c>
      <c r="B18" s="58"/>
      <c r="C18" s="5"/>
      <c r="D18" s="39">
        <v>0.30000000000000099</v>
      </c>
      <c r="E18" s="39">
        <v>0.44500000000000001</v>
      </c>
      <c r="F18" s="23">
        <f t="shared" si="0"/>
        <v>0.44313018786598851</v>
      </c>
      <c r="G18" s="24">
        <f t="shared" si="1"/>
        <v>3.4961974164966201E-6</v>
      </c>
      <c r="H18" s="25">
        <v>14</v>
      </c>
      <c r="I18" s="18">
        <f t="shared" si="5"/>
        <v>50.351842131334884</v>
      </c>
      <c r="J18" s="18">
        <f t="shared" si="6"/>
        <v>20.534298335842614</v>
      </c>
      <c r="K18" s="19">
        <f t="shared" si="4"/>
        <v>70.886140467177498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22" t="s">
        <v>22</v>
      </c>
      <c r="B19" s="44">
        <v>-0.51881265590713788</v>
      </c>
      <c r="C19" s="5"/>
      <c r="D19" s="39">
        <v>0.250000000000001</v>
      </c>
      <c r="E19" s="39">
        <v>0.45600000000000002</v>
      </c>
      <c r="F19" s="23">
        <f t="shared" si="0"/>
        <v>0.45568921628354581</v>
      </c>
      <c r="G19" s="24">
        <f t="shared" si="1"/>
        <v>9.6586518413091075E-8</v>
      </c>
      <c r="H19" s="25">
        <v>15</v>
      </c>
      <c r="I19" s="18">
        <f t="shared" si="5"/>
        <v>50.352395171419744</v>
      </c>
      <c r="J19" s="18">
        <f t="shared" si="6"/>
        <v>20.181903164422863</v>
      </c>
      <c r="K19" s="19">
        <f t="shared" si="4"/>
        <v>70.534298335842607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22" t="s">
        <v>23</v>
      </c>
      <c r="B20" s="44">
        <v>3.4166392397780417E-2</v>
      </c>
      <c r="C20" s="5"/>
      <c r="D20" s="40">
        <v>0.20000000000000101</v>
      </c>
      <c r="E20" s="40">
        <v>0.46300000000000002</v>
      </c>
      <c r="F20" s="36">
        <f t="shared" ref="F20:F31" si="7">D.*D20^2+E.*D20+F.</f>
        <v>0.46199999999999974</v>
      </c>
      <c r="G20" s="24">
        <f t="shared" si="1"/>
        <v>1.0000000000005569E-6</v>
      </c>
      <c r="H20" s="25">
        <v>16</v>
      </c>
      <c r="I20" s="18">
        <f t="shared" si="5"/>
        <v>50.352348785513449</v>
      </c>
      <c r="J20" s="18">
        <f t="shared" si="6"/>
        <v>19.829554378909414</v>
      </c>
      <c r="K20" s="19">
        <f t="shared" ref="K20:K24" si="8">J19+S</f>
        <v>70.181903164422863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22" t="s">
        <v>24</v>
      </c>
      <c r="B21" s="44">
        <v>0.47957340917829705</v>
      </c>
      <c r="C21" s="5"/>
      <c r="D21" s="40">
        <v>0.19900000000000001</v>
      </c>
      <c r="E21" s="40">
        <v>0.46200000000000002</v>
      </c>
      <c r="F21" s="36">
        <f t="shared" si="7"/>
        <v>0.46236680000000008</v>
      </c>
      <c r="G21" s="24">
        <f t="shared" si="1"/>
        <v>1.3454224000004107E-7</v>
      </c>
      <c r="H21" s="25">
        <v>17</v>
      </c>
      <c r="I21" s="18">
        <f t="shared" si="5"/>
        <v>50.35167043933729</v>
      </c>
      <c r="J21" s="18">
        <f t="shared" si="6"/>
        <v>19.477883939572131</v>
      </c>
      <c r="K21" s="19">
        <f t="shared" si="8"/>
        <v>69.829554378909421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58" t="s">
        <v>64</v>
      </c>
      <c r="B22" s="58"/>
      <c r="C22" s="5"/>
      <c r="D22" s="40">
        <v>0.18</v>
      </c>
      <c r="E22" s="40">
        <v>0.46200000000000002</v>
      </c>
      <c r="F22" s="36">
        <f t="shared" si="7"/>
        <v>0.46432000000000007</v>
      </c>
      <c r="G22" s="24">
        <f t="shared" si="1"/>
        <v>5.3824000000002053E-6</v>
      </c>
      <c r="H22" s="25">
        <v>18</v>
      </c>
      <c r="I22" s="18">
        <f t="shared" si="5"/>
        <v>50.351494307469061</v>
      </c>
      <c r="J22" s="18">
        <f t="shared" si="6"/>
        <v>19.126389632103077</v>
      </c>
      <c r="K22" s="19">
        <f t="shared" si="8"/>
        <v>69.477883939572138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22" t="s">
        <v>25</v>
      </c>
      <c r="B23" s="44">
        <v>-13.2</v>
      </c>
      <c r="C23" s="5"/>
      <c r="D23" s="40">
        <v>0.16</v>
      </c>
      <c r="E23" s="40">
        <v>0.45800000000000002</v>
      </c>
      <c r="F23" s="36">
        <f t="shared" si="7"/>
        <v>0.45608000000000004</v>
      </c>
      <c r="G23" s="24">
        <f t="shared" si="1"/>
        <v>3.6863999999999127E-6</v>
      </c>
      <c r="H23" s="25">
        <v>19</v>
      </c>
      <c r="I23" s="18">
        <f t="shared" si="5"/>
        <v>50.354335187800501</v>
      </c>
      <c r="J23" s="18">
        <f t="shared" si="6"/>
        <v>18.772054444302569</v>
      </c>
      <c r="K23" s="19">
        <f t="shared" si="8"/>
        <v>69.12638963210307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15.75" thickBot="1" x14ac:dyDescent="0.3">
      <c r="A24" s="21" t="s">
        <v>26</v>
      </c>
      <c r="B24" s="44">
        <v>4.9000000000000004</v>
      </c>
      <c r="C24" s="5"/>
      <c r="D24" s="40">
        <v>0.14000000000000001</v>
      </c>
      <c r="E24" s="40">
        <v>0.44</v>
      </c>
      <c r="F24" s="36">
        <f t="shared" si="7"/>
        <v>0.43728000000000017</v>
      </c>
      <c r="G24" s="24">
        <f t="shared" si="1"/>
        <v>7.3983999999990947E-6</v>
      </c>
      <c r="H24" s="25">
        <v>20</v>
      </c>
      <c r="I24" s="18">
        <f t="shared" si="5"/>
        <v>50.354959594130612</v>
      </c>
      <c r="J24" s="18">
        <f t="shared" si="6"/>
        <v>18.417094850171956</v>
      </c>
      <c r="K24" s="19">
        <f t="shared" si="8"/>
        <v>68.772054444302569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5.75" thickBot="1" x14ac:dyDescent="0.3">
      <c r="A25" s="22" t="s">
        <v>27</v>
      </c>
      <c r="B25" s="44">
        <v>0.01</v>
      </c>
      <c r="C25" s="5"/>
      <c r="D25" s="40">
        <v>0.12</v>
      </c>
      <c r="E25" s="40">
        <v>0.41</v>
      </c>
      <c r="F25" s="36">
        <f t="shared" si="7"/>
        <v>0.40792</v>
      </c>
      <c r="G25" s="24">
        <f t="shared" si="1"/>
        <v>4.3263999999998787E-6</v>
      </c>
      <c r="H25" s="5"/>
      <c r="I25" s="5"/>
      <c r="J25" s="5"/>
      <c r="K25" s="5"/>
      <c r="L25" s="5"/>
      <c r="M25" s="10" t="s">
        <v>57</v>
      </c>
      <c r="N25" s="11" t="s">
        <v>58</v>
      </c>
      <c r="O25" s="26"/>
      <c r="P25" s="26"/>
      <c r="Q25" s="26"/>
      <c r="R25" s="26"/>
      <c r="S25" s="26"/>
      <c r="T25" s="27"/>
      <c r="U25" s="5"/>
      <c r="V25" s="5"/>
      <c r="W25" s="5"/>
      <c r="X25" s="5"/>
      <c r="Y25" s="5"/>
    </row>
    <row r="26" spans="1:25" ht="15.75" thickBot="1" x14ac:dyDescent="0.3">
      <c r="A26" s="5"/>
      <c r="B26" s="5"/>
      <c r="C26" s="5"/>
      <c r="D26" s="40">
        <v>0.100000000000001</v>
      </c>
      <c r="E26" s="40">
        <v>0.37</v>
      </c>
      <c r="F26" s="36">
        <f t="shared" si="7"/>
        <v>0.36800000000000233</v>
      </c>
      <c r="G26" s="24">
        <f t="shared" si="1"/>
        <v>3.9999999999906816E-6</v>
      </c>
      <c r="H26" s="5"/>
      <c r="I26" s="2" t="s">
        <v>17</v>
      </c>
      <c r="J26" s="3">
        <f>COUNT(U35:U54)+1</f>
        <v>6</v>
      </c>
      <c r="K26" s="5"/>
      <c r="L26" s="5"/>
      <c r="M26" s="12" t="s">
        <v>49</v>
      </c>
      <c r="N26" s="13" t="s">
        <v>59</v>
      </c>
      <c r="O26" s="13"/>
      <c r="P26" s="13"/>
      <c r="Q26" s="13"/>
      <c r="R26" s="28"/>
      <c r="S26" s="28"/>
      <c r="T26" s="29"/>
      <c r="U26" s="5"/>
      <c r="V26" s="5"/>
      <c r="W26" s="5"/>
      <c r="X26" s="5"/>
      <c r="Y26" s="5"/>
    </row>
    <row r="27" spans="1:25" x14ac:dyDescent="0.25">
      <c r="A27" s="5"/>
      <c r="B27" s="5"/>
      <c r="C27" s="5"/>
      <c r="D27" s="40">
        <v>0.08</v>
      </c>
      <c r="E27" s="40">
        <v>0.32</v>
      </c>
      <c r="F27" s="36">
        <f t="shared" si="7"/>
        <v>0.31752000000000002</v>
      </c>
      <c r="G27" s="24">
        <f t="shared" si="1"/>
        <v>6.1503999999999115E-6</v>
      </c>
      <c r="H27" s="5"/>
      <c r="I27" s="5"/>
      <c r="J27" s="5"/>
      <c r="K27" s="5"/>
      <c r="L27" s="5"/>
      <c r="M27" s="12" t="s">
        <v>50</v>
      </c>
      <c r="N27" s="13" t="s">
        <v>52</v>
      </c>
      <c r="O27" s="13"/>
      <c r="P27" s="13"/>
      <c r="Q27" s="13"/>
      <c r="R27" s="28"/>
      <c r="S27" s="28"/>
      <c r="T27" s="29"/>
      <c r="U27" s="5"/>
      <c r="V27" s="5"/>
      <c r="W27" s="5"/>
      <c r="X27" s="5"/>
      <c r="Y27" s="5"/>
    </row>
    <row r="28" spans="1:25" ht="15.75" thickBot="1" x14ac:dyDescent="0.3">
      <c r="A28" s="5"/>
      <c r="B28" s="5"/>
      <c r="C28" s="5"/>
      <c r="D28" s="40">
        <v>0.06</v>
      </c>
      <c r="E28" s="40">
        <v>0.26</v>
      </c>
      <c r="F28" s="36">
        <f t="shared" si="7"/>
        <v>0.25647999999999999</v>
      </c>
      <c r="G28" s="24">
        <f t="shared" si="1"/>
        <v>1.2390400000000163E-5</v>
      </c>
      <c r="H28" s="5"/>
      <c r="I28" s="5"/>
      <c r="J28" s="5"/>
      <c r="K28" s="5"/>
      <c r="L28" s="5"/>
      <c r="M28" s="14" t="s">
        <v>53</v>
      </c>
      <c r="N28" s="15" t="s">
        <v>51</v>
      </c>
      <c r="O28" s="15"/>
      <c r="P28" s="15"/>
      <c r="Q28" s="15"/>
      <c r="R28" s="30"/>
      <c r="S28" s="30"/>
      <c r="T28" s="31"/>
      <c r="U28" s="5"/>
      <c r="V28" s="5"/>
      <c r="W28" s="5"/>
      <c r="X28" s="5"/>
      <c r="Y28" s="5"/>
    </row>
    <row r="29" spans="1:25" x14ac:dyDescent="0.25">
      <c r="A29" s="5"/>
      <c r="B29" s="5"/>
      <c r="C29" s="5"/>
      <c r="D29" s="40">
        <v>0.04</v>
      </c>
      <c r="E29" s="40">
        <v>0.19</v>
      </c>
      <c r="F29" s="36">
        <f t="shared" si="7"/>
        <v>0.18488000000000002</v>
      </c>
      <c r="G29" s="24">
        <f t="shared" si="1"/>
        <v>2.6214399999999852E-5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5"/>
      <c r="B30" s="5"/>
      <c r="C30" s="5"/>
      <c r="D30" s="40">
        <v>0.02</v>
      </c>
      <c r="E30" s="40">
        <v>0.1</v>
      </c>
      <c r="F30" s="36">
        <f t="shared" si="7"/>
        <v>0.10271999999999999</v>
      </c>
      <c r="G30" s="24">
        <f t="shared" si="1"/>
        <v>7.3983999999999256E-6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5"/>
      <c r="B31" s="5"/>
      <c r="C31" s="5"/>
      <c r="D31" s="40">
        <v>0</v>
      </c>
      <c r="E31" s="40">
        <v>0</v>
      </c>
      <c r="F31" s="36">
        <f t="shared" si="7"/>
        <v>0.01</v>
      </c>
      <c r="G31" s="24">
        <f t="shared" si="1"/>
        <v>1E-4</v>
      </c>
      <c r="H31" s="5"/>
      <c r="I31" s="5"/>
      <c r="J31" s="5"/>
      <c r="K31" s="5"/>
      <c r="L31" s="5"/>
      <c r="M31" s="4" t="s">
        <v>28</v>
      </c>
      <c r="N31" t="s">
        <v>62</v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5"/>
      <c r="B32" s="5"/>
      <c r="C32" s="5"/>
      <c r="D32" s="5"/>
      <c r="E32" s="5"/>
      <c r="F32" s="32" t="s">
        <v>38</v>
      </c>
      <c r="G32" s="41">
        <f>SUM(G4:G20)</f>
        <v>9.9989990607977477E-5</v>
      </c>
      <c r="H32" s="5"/>
      <c r="I32" s="5"/>
      <c r="J32" s="5"/>
      <c r="K32" s="5"/>
      <c r="L32" s="6"/>
      <c r="M32" s="35" t="s">
        <v>29</v>
      </c>
      <c r="N32" s="35" t="s">
        <v>30</v>
      </c>
      <c r="O32" s="35" t="s">
        <v>31</v>
      </c>
      <c r="P32" s="35" t="s">
        <v>32</v>
      </c>
      <c r="Q32" s="35" t="s">
        <v>20</v>
      </c>
      <c r="R32" s="35" t="s">
        <v>19</v>
      </c>
      <c r="S32" s="35" t="s">
        <v>47</v>
      </c>
      <c r="T32" s="35" t="s">
        <v>45</v>
      </c>
      <c r="U32" s="35" t="s">
        <v>33</v>
      </c>
      <c r="V32" s="5"/>
      <c r="W32" s="35" t="s">
        <v>34</v>
      </c>
      <c r="X32" s="35" t="s">
        <v>35</v>
      </c>
      <c r="Y32" s="35" t="s">
        <v>48</v>
      </c>
    </row>
    <row r="33" spans="1:25" x14ac:dyDescent="0.25">
      <c r="A33" s="5"/>
      <c r="B33" s="5"/>
      <c r="C33" s="5"/>
      <c r="D33" s="5"/>
      <c r="E33" s="5"/>
      <c r="F33" s="32" t="s">
        <v>39</v>
      </c>
      <c r="G33" s="41">
        <f>SUM(G19:G31)</f>
        <v>1.7817832875840334E-4</v>
      </c>
      <c r="H33" s="5"/>
      <c r="I33" s="5"/>
      <c r="J33" s="5"/>
      <c r="K33" s="5"/>
      <c r="L33" s="25" t="s">
        <v>37</v>
      </c>
      <c r="M33" s="23">
        <f>xcn</f>
        <v>8.3511404955101867E-3</v>
      </c>
      <c r="N33" s="23">
        <f>xan</f>
        <v>0.05</v>
      </c>
      <c r="O33" s="23" t="s">
        <v>36</v>
      </c>
      <c r="P33" s="23" t="s">
        <v>36</v>
      </c>
      <c r="Q33" s="21"/>
      <c r="R33" s="21"/>
      <c r="S33" s="21" t="s">
        <v>36</v>
      </c>
      <c r="T33" s="21"/>
      <c r="U33" s="21" t="s">
        <v>36</v>
      </c>
      <c r="W33" s="23">
        <f t="shared" ref="W33:W54" si="9">1-(M33+N33)</f>
        <v>0.94164885950448984</v>
      </c>
      <c r="X33" s="23" t="s">
        <v>36</v>
      </c>
      <c r="Y33" s="21" t="s">
        <v>36</v>
      </c>
    </row>
    <row r="34" spans="1:25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25">
        <v>0</v>
      </c>
      <c r="M34" s="23">
        <f>xco</f>
        <v>0</v>
      </c>
      <c r="N34" s="23">
        <f>xao</f>
        <v>0.5</v>
      </c>
      <c r="O34" s="23" t="s">
        <v>36</v>
      </c>
      <c r="P34" s="23" t="s">
        <v>36</v>
      </c>
      <c r="Q34" s="21"/>
      <c r="R34" s="21"/>
      <c r="S34" s="21" t="s">
        <v>36</v>
      </c>
      <c r="T34" s="21"/>
      <c r="U34" s="21" t="s">
        <v>36</v>
      </c>
      <c r="W34" s="23">
        <f t="shared" si="9"/>
        <v>0.5</v>
      </c>
      <c r="X34" s="23" t="s">
        <v>36</v>
      </c>
      <c r="Y34" s="21" t="s">
        <v>36</v>
      </c>
    </row>
    <row r="35" spans="1:25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25">
        <v>1</v>
      </c>
      <c r="M35" s="7">
        <f t="shared" ref="M35:M49" si="10">(-(E.)+SQRT((E.)^2-4*D.*(F.-N35)))/(2*D.)</f>
        <v>8.6973949552231852E-2</v>
      </c>
      <c r="N35" s="7">
        <f t="shared" ref="N35:N49" si="11">G.*P35^2+H.*P35+I.</f>
        <v>0.33632137651650912</v>
      </c>
      <c r="O35" s="42">
        <v>0.77853211653956023</v>
      </c>
      <c r="P35" s="7">
        <f t="shared" ref="P35:P49" si="12">A.*O35^2+B.*O35+C.</f>
        <v>0.19171433340215427</v>
      </c>
      <c r="Q35" s="8">
        <f>(Lo*xco+S*ycn_1)/(Lo+S)</f>
        <v>0.5</v>
      </c>
      <c r="R35" s="8">
        <f>(Lo*xao+S*yan_1)/(Lo+S)</f>
        <v>0.25</v>
      </c>
      <c r="S35" s="21">
        <f t="shared" ref="S35:S54" si="13">(N35*(xcm-Y35)+P35*(M35-xcm))/(M35-Y35)</f>
        <v>0.24995629728587587</v>
      </c>
      <c r="T35" s="24">
        <f>(S35-xam)^2</f>
        <v>1.9099272218152146E-9</v>
      </c>
      <c r="U35" s="21">
        <f t="shared" ref="U35:U49" si="14">SQRT(M35-xcn+0.25*(N34-N35))</f>
        <v>0.3457491358305822</v>
      </c>
      <c r="W35" s="23">
        <f t="shared" si="9"/>
        <v>0.57670467393125902</v>
      </c>
      <c r="X35" s="23">
        <f t="shared" ref="X35:X54" si="15">1-(O35+P35)</f>
        <v>2.9753550058285505E-2</v>
      </c>
      <c r="Y35" s="21">
        <f t="shared" ref="Y35:Y54" si="16">(-(B.)-SQRT((B.)^2-4*A.*(C.-P35)))/(2*A.)</f>
        <v>0.77853211653956012</v>
      </c>
    </row>
    <row r="36" spans="1:25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25">
        <v>2</v>
      </c>
      <c r="M36" s="7">
        <f t="shared" si="10"/>
        <v>4.5264209923822366E-2</v>
      </c>
      <c r="N36" s="7">
        <f t="shared" si="11"/>
        <v>0.20474982578636189</v>
      </c>
      <c r="O36" s="42">
        <v>0.88480131967526809</v>
      </c>
      <c r="P36" s="7">
        <f t="shared" si="12"/>
        <v>0.10363926318248673</v>
      </c>
      <c r="Q36" s="8">
        <f>(J5*M35+S*ycn_1)/(J5+S)</f>
        <v>0.59265975322333064</v>
      </c>
      <c r="R36" s="8">
        <f t="shared" ref="R36:R49" si="17">(J5*N35+S*yan_1)/(J5+S)</f>
        <v>0.15004745202978323</v>
      </c>
      <c r="S36" s="21">
        <f t="shared" si="13"/>
        <v>0.14998322757805582</v>
      </c>
      <c r="T36" s="24">
        <f>(S36-R36)^2</f>
        <v>4.1247801996860444E-9</v>
      </c>
      <c r="U36" s="21">
        <f t="shared" si="14"/>
        <v>0.26420817003046854</v>
      </c>
      <c r="W36" s="23">
        <f t="shared" si="9"/>
        <v>0.74998596428981568</v>
      </c>
      <c r="X36" s="23">
        <f t="shared" si="15"/>
        <v>1.1559417142245176E-2</v>
      </c>
      <c r="Y36" s="21">
        <f t="shared" si="16"/>
        <v>0.88480131967526809</v>
      </c>
    </row>
    <row r="37" spans="1:25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25">
        <v>3</v>
      </c>
      <c r="M37" s="7">
        <f t="shared" si="10"/>
        <v>2.1141450083696754E-2</v>
      </c>
      <c r="N37" s="7">
        <f t="shared" si="11"/>
        <v>0.1076932213764471</v>
      </c>
      <c r="O37" s="42">
        <v>0.9405249858607061</v>
      </c>
      <c r="P37" s="7">
        <f t="shared" si="12"/>
        <v>5.2772694855179325E-2</v>
      </c>
      <c r="Q37" s="8">
        <f t="shared" ref="Q37:Q49" si="18">(J6*M36+S*ycn_1)/(J6+S)</f>
        <v>0.6316090405878646</v>
      </c>
      <c r="R37" s="8">
        <f t="shared" si="17"/>
        <v>7.9004040222360475E-2</v>
      </c>
      <c r="S37" s="21">
        <f t="shared" si="13"/>
        <v>7.9088006395750657E-2</v>
      </c>
      <c r="T37" s="24">
        <f t="shared" ref="T37:T49" si="19">(S37-R37)^2</f>
        <v>7.050318273790104E-9</v>
      </c>
      <c r="U37" s="21">
        <f t="shared" si="14"/>
        <v>0.19249535238718171</v>
      </c>
      <c r="W37" s="23">
        <f t="shared" si="9"/>
        <v>0.87116532853985618</v>
      </c>
      <c r="X37" s="23">
        <f t="shared" si="15"/>
        <v>6.7023192841145773E-3</v>
      </c>
      <c r="Y37" s="21">
        <f t="shared" si="16"/>
        <v>0.9405249858607061</v>
      </c>
    </row>
    <row r="38" spans="1:25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25">
        <v>4</v>
      </c>
      <c r="M38" s="7">
        <f t="shared" si="10"/>
        <v>8.5050392363443077E-3</v>
      </c>
      <c r="N38" s="7">
        <f t="shared" si="11"/>
        <v>5.0719861118252038E-2</v>
      </c>
      <c r="O38" s="42">
        <v>0.96837929403547907</v>
      </c>
      <c r="P38" s="7">
        <f t="shared" si="12"/>
        <v>2.6138480392128294E-2</v>
      </c>
      <c r="Q38" s="8">
        <f t="shared" si="18"/>
        <v>0.65384326473220744</v>
      </c>
      <c r="R38" s="8">
        <f t="shared" si="17"/>
        <v>3.8083882421346853E-2</v>
      </c>
      <c r="S38" s="21">
        <f t="shared" si="13"/>
        <v>3.8133186670950718E-2</v>
      </c>
      <c r="T38" s="24">
        <f t="shared" si="19"/>
        <v>2.4309090290002582E-9</v>
      </c>
      <c r="U38" s="21">
        <f t="shared" si="14"/>
        <v>0.11998849447085702</v>
      </c>
      <c r="W38" s="23">
        <f t="shared" si="9"/>
        <v>0.94077509964540362</v>
      </c>
      <c r="X38" s="23">
        <f t="shared" si="15"/>
        <v>5.4822255723926405E-3</v>
      </c>
      <c r="Y38" s="21">
        <f t="shared" si="16"/>
        <v>0.96837929403547918</v>
      </c>
    </row>
    <row r="39" spans="1:25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25">
        <v>5</v>
      </c>
      <c r="M39" s="7">
        <f t="shared" si="10"/>
        <v>2.2978202256602139E-3</v>
      </c>
      <c r="N39" s="7">
        <f t="shared" si="11"/>
        <v>2.1189623398914281E-2</v>
      </c>
      <c r="O39" s="42">
        <v>0.98176009054065883</v>
      </c>
      <c r="P39" s="7">
        <f t="shared" si="12"/>
        <v>1.3057539493389059E-2</v>
      </c>
      <c r="Q39" s="8">
        <f t="shared" si="18"/>
        <v>0.66644717904487605</v>
      </c>
      <c r="R39" s="8">
        <f t="shared" si="17"/>
        <v>1.7062873160156984E-2</v>
      </c>
      <c r="S39" s="21">
        <f t="shared" si="13"/>
        <v>1.7057401047372262E-2</v>
      </c>
      <c r="T39" s="24">
        <f t="shared" si="19"/>
        <v>2.9944018328717473E-11</v>
      </c>
      <c r="U39" s="21">
        <f t="shared" si="14"/>
        <v>3.6458732287127947E-2</v>
      </c>
      <c r="W39" s="23">
        <f t="shared" si="9"/>
        <v>0.97651255637542556</v>
      </c>
      <c r="X39" s="23">
        <f t="shared" si="15"/>
        <v>5.1823699659521161E-3</v>
      </c>
      <c r="Y39" s="21">
        <f t="shared" si="16"/>
        <v>0.98176009054065883</v>
      </c>
    </row>
    <row r="40" spans="1:25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25">
        <v>6</v>
      </c>
      <c r="M40" s="7">
        <f t="shared" si="10"/>
        <v>-6.2430760006068706E-4</v>
      </c>
      <c r="N40" s="7">
        <f t="shared" si="11"/>
        <v>6.935747927973376E-3</v>
      </c>
      <c r="O40" s="42">
        <v>0.98799391964506356</v>
      </c>
      <c r="P40" s="7">
        <f t="shared" si="12"/>
        <v>6.89996933713799E-3</v>
      </c>
      <c r="Q40" s="8">
        <f t="shared" si="18"/>
        <v>0.6740929764714545</v>
      </c>
      <c r="R40" s="8">
        <f t="shared" si="17"/>
        <v>6.9217520334504453E-3</v>
      </c>
      <c r="S40" s="21">
        <f t="shared" si="13"/>
        <v>6.9176300825096286E-3</v>
      </c>
      <c r="T40" s="24">
        <f t="shared" si="19"/>
        <v>1.6990479558499693E-11</v>
      </c>
      <c r="U40" s="21" t="e">
        <f t="shared" si="14"/>
        <v>#NUM!</v>
      </c>
      <c r="W40" s="23">
        <f t="shared" si="9"/>
        <v>0.99368855967208736</v>
      </c>
      <c r="X40" s="23">
        <f t="shared" si="15"/>
        <v>5.1061110177984537E-3</v>
      </c>
      <c r="Y40" s="21">
        <f t="shared" si="16"/>
        <v>0.98799391964506356</v>
      </c>
    </row>
    <row r="41" spans="1:25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25">
        <v>7</v>
      </c>
      <c r="M41" s="7">
        <f t="shared" si="10"/>
        <v>-1.9652332843218948E-3</v>
      </c>
      <c r="N41" s="7">
        <f t="shared" si="11"/>
        <v>3.193766342469307E-4</v>
      </c>
      <c r="O41" s="42">
        <v>0.99084087016245848</v>
      </c>
      <c r="P41" s="7">
        <f t="shared" si="12"/>
        <v>4.0744331815277812E-3</v>
      </c>
      <c r="Q41" s="8">
        <f t="shared" si="18"/>
        <v>0.67935535873485087</v>
      </c>
      <c r="R41" s="8">
        <f t="shared" si="17"/>
        <v>2.2225228683525034E-3</v>
      </c>
      <c r="S41" s="21">
        <f t="shared" si="13"/>
        <v>2.2179425568452232E-3</v>
      </c>
      <c r="T41" s="24">
        <f t="shared" si="19"/>
        <v>2.0979253503723072E-11</v>
      </c>
      <c r="U41" s="21" t="e">
        <f t="shared" si="14"/>
        <v>#NUM!</v>
      </c>
      <c r="W41" s="23">
        <f t="shared" si="9"/>
        <v>1.001645856650075</v>
      </c>
      <c r="X41" s="23">
        <f t="shared" si="15"/>
        <v>5.084696656013743E-3</v>
      </c>
      <c r="Y41" s="21">
        <f t="shared" si="16"/>
        <v>0.99084087016245859</v>
      </c>
    </row>
    <row r="42" spans="1:25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25">
        <v>8</v>
      </c>
      <c r="M42" s="7">
        <f t="shared" si="10"/>
        <v>-2.5671142053848659E-3</v>
      </c>
      <c r="N42" s="7">
        <f t="shared" si="11"/>
        <v>-2.6658486009198115E-3</v>
      </c>
      <c r="O42" s="42">
        <v>0.99211597169879939</v>
      </c>
      <c r="P42" s="7">
        <f t="shared" si="12"/>
        <v>2.8061958823573097E-3</v>
      </c>
      <c r="Q42" s="8">
        <f t="shared" si="18"/>
        <v>0.68351981626105462</v>
      </c>
      <c r="R42" s="8">
        <f t="shared" si="17"/>
        <v>1.0087812683587669E-4</v>
      </c>
      <c r="S42" s="21">
        <f t="shared" si="13"/>
        <v>9.8921046554607944E-5</v>
      </c>
      <c r="T42" s="24">
        <f t="shared" si="19"/>
        <v>3.830163227330941E-12</v>
      </c>
      <c r="U42" s="21" t="e">
        <f t="shared" si="14"/>
        <v>#NUM!</v>
      </c>
      <c r="W42" s="23">
        <f t="shared" si="9"/>
        <v>1.0052329628063046</v>
      </c>
      <c r="X42" s="23">
        <f t="shared" si="15"/>
        <v>5.0778324188432977E-3</v>
      </c>
      <c r="Y42" s="21">
        <f t="shared" si="16"/>
        <v>0.99211597169879939</v>
      </c>
    </row>
    <row r="43" spans="1:25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25">
        <v>9</v>
      </c>
      <c r="M43" s="7">
        <f t="shared" si="10"/>
        <v>-2.8299905525253077E-3</v>
      </c>
      <c r="N43" s="7">
        <f t="shared" si="11"/>
        <v>-3.9726704815355148E-3</v>
      </c>
      <c r="O43" s="42">
        <v>0.99267234754822753</v>
      </c>
      <c r="P43" s="7">
        <f t="shared" si="12"/>
        <v>2.2522864988548386E-3</v>
      </c>
      <c r="Q43" s="8">
        <f t="shared" si="18"/>
        <v>0.68720189106038354</v>
      </c>
      <c r="R43" s="8">
        <f t="shared" si="17"/>
        <v>-8.3173723661178586E-4</v>
      </c>
      <c r="S43" s="21">
        <f t="shared" si="13"/>
        <v>-8.2843370795722209E-4</v>
      </c>
      <c r="T43" s="24">
        <f t="shared" si="19"/>
        <v>1.0913301571523944E-11</v>
      </c>
      <c r="U43" s="21" t="e">
        <f t="shared" si="14"/>
        <v>#NUM!</v>
      </c>
      <c r="W43" s="23">
        <f t="shared" si="9"/>
        <v>1.0068026610340608</v>
      </c>
      <c r="X43" s="23">
        <f t="shared" si="15"/>
        <v>5.0753659529176876E-3</v>
      </c>
      <c r="Y43" s="21">
        <f t="shared" si="16"/>
        <v>0.99267234754822753</v>
      </c>
    </row>
    <row r="44" spans="1:25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25">
        <v>10</v>
      </c>
      <c r="M44" s="7">
        <f t="shared" si="10"/>
        <v>-2.9391574873868873E-3</v>
      </c>
      <c r="N44" s="7">
        <f t="shared" si="11"/>
        <v>-4.5159018251064728E-3</v>
      </c>
      <c r="O44" s="42">
        <v>0.99290330317776143</v>
      </c>
      <c r="P44" s="7">
        <f t="shared" si="12"/>
        <v>2.022260376936591E-3</v>
      </c>
      <c r="Q44" s="8">
        <f t="shared" si="18"/>
        <v>0.69068914688642724</v>
      </c>
      <c r="R44" s="8">
        <f t="shared" si="17"/>
        <v>-1.225322444840163E-3</v>
      </c>
      <c r="S44" s="21">
        <f t="shared" si="13"/>
        <v>-1.21387573232963E-3</v>
      </c>
      <c r="T44" s="24">
        <f t="shared" si="19"/>
        <v>1.3102722729879319E-10</v>
      </c>
      <c r="U44" s="21" t="e">
        <f t="shared" si="14"/>
        <v>#NUM!</v>
      </c>
      <c r="W44" s="23">
        <f t="shared" si="9"/>
        <v>1.0074550593124934</v>
      </c>
      <c r="X44" s="23">
        <f t="shared" si="15"/>
        <v>5.0744364453019219E-3</v>
      </c>
      <c r="Y44" s="21">
        <f t="shared" si="16"/>
        <v>0.99290330317776154</v>
      </c>
    </row>
    <row r="45" spans="1:25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25">
        <v>11</v>
      </c>
      <c r="M45" s="7">
        <f t="shared" si="10"/>
        <v>-2.9795475380381999E-3</v>
      </c>
      <c r="N45" s="7">
        <f t="shared" si="11"/>
        <v>-4.7169686230019289E-3</v>
      </c>
      <c r="O45" s="42">
        <v>0.99298873895876716</v>
      </c>
      <c r="P45" s="7">
        <f t="shared" si="12"/>
        <v>1.9371544180015188E-3</v>
      </c>
      <c r="Q45" s="8">
        <f t="shared" si="18"/>
        <v>0.69411432992557542</v>
      </c>
      <c r="R45" s="8">
        <f t="shared" si="17"/>
        <v>-1.3773015496011103E-3</v>
      </c>
      <c r="S45" s="21">
        <f t="shared" si="13"/>
        <v>-1.3565325109259002E-3</v>
      </c>
      <c r="T45" s="24">
        <f t="shared" si="19"/>
        <v>4.3135296749237205E-10</v>
      </c>
      <c r="U45" s="21" t="e">
        <f t="shared" si="14"/>
        <v>#NUM!</v>
      </c>
      <c r="W45" s="23">
        <f t="shared" si="9"/>
        <v>1.0076965161610401</v>
      </c>
      <c r="X45" s="23">
        <f t="shared" si="15"/>
        <v>5.0741066232313781E-3</v>
      </c>
      <c r="Y45" s="21">
        <f t="shared" si="16"/>
        <v>0.99298873895876727</v>
      </c>
    </row>
    <row r="46" spans="1:25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25">
        <v>12</v>
      </c>
      <c r="M46" s="7">
        <f t="shared" si="10"/>
        <v>-2.9894106137479956E-3</v>
      </c>
      <c r="N46" s="7">
        <f t="shared" si="11"/>
        <v>-4.7660748081573816E-3</v>
      </c>
      <c r="O46" s="42">
        <v>0.99300960084450651</v>
      </c>
      <c r="P46" s="7">
        <f t="shared" si="12"/>
        <v>1.9163719183943329E-3</v>
      </c>
      <c r="Q46" s="8">
        <f t="shared" si="18"/>
        <v>0.6975380472568975</v>
      </c>
      <c r="R46" s="8">
        <f t="shared" si="17"/>
        <v>-1.422465237943447E-3</v>
      </c>
      <c r="S46" s="21">
        <f t="shared" si="13"/>
        <v>-1.3913727233381989E-3</v>
      </c>
      <c r="T46" s="24">
        <f t="shared" si="19"/>
        <v>9.6674446447756622E-10</v>
      </c>
      <c r="U46" s="21" t="e">
        <f t="shared" si="14"/>
        <v>#NUM!</v>
      </c>
      <c r="W46" s="23">
        <f t="shared" si="9"/>
        <v>1.0077554854219053</v>
      </c>
      <c r="X46" s="23">
        <f t="shared" si="15"/>
        <v>5.0740272370991546E-3</v>
      </c>
      <c r="Y46" s="21">
        <f t="shared" si="16"/>
        <v>0.99300960084450651</v>
      </c>
    </row>
    <row r="47" spans="1:25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25">
        <v>13</v>
      </c>
      <c r="M47" s="7">
        <f t="shared" si="10"/>
        <v>-2.9863861095101628E-3</v>
      </c>
      <c r="N47" s="7">
        <f t="shared" si="11"/>
        <v>-4.7510161629348326E-3</v>
      </c>
      <c r="O47" s="42">
        <v>0.99300320361252148</v>
      </c>
      <c r="P47" s="7">
        <f t="shared" si="12"/>
        <v>1.922744854877978E-3</v>
      </c>
      <c r="Q47" s="8">
        <f t="shared" si="18"/>
        <v>0.70098804671894377</v>
      </c>
      <c r="R47" s="8">
        <f t="shared" si="17"/>
        <v>-1.420865786607578E-3</v>
      </c>
      <c r="S47" s="21">
        <f t="shared" si="13"/>
        <v>-1.380688831456362E-3</v>
      </c>
      <c r="T47" s="24">
        <f t="shared" si="19"/>
        <v>1.614187725222821E-9</v>
      </c>
      <c r="U47" s="21" t="e">
        <f t="shared" si="14"/>
        <v>#NUM!</v>
      </c>
      <c r="W47" s="23">
        <f t="shared" si="9"/>
        <v>1.007737402272445</v>
      </c>
      <c r="X47" s="23">
        <f t="shared" si="15"/>
        <v>5.0740515326005431E-3</v>
      </c>
      <c r="Y47" s="21">
        <f t="shared" si="16"/>
        <v>0.99300320361252159</v>
      </c>
    </row>
    <row r="48" spans="1:25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25">
        <v>14</v>
      </c>
      <c r="M48" s="7">
        <f t="shared" si="10"/>
        <v>-2.97950817521678E-3</v>
      </c>
      <c r="N48" s="7">
        <f t="shared" si="11"/>
        <v>-4.7167726489157685E-3</v>
      </c>
      <c r="O48" s="42">
        <v>0.99298865569957662</v>
      </c>
      <c r="P48" s="7">
        <f t="shared" si="12"/>
        <v>1.9372373594594428E-3</v>
      </c>
      <c r="Q48" s="8">
        <f t="shared" si="18"/>
        <v>0.70447658161541793</v>
      </c>
      <c r="R48" s="8">
        <f t="shared" si="17"/>
        <v>-1.3998560266775188E-3</v>
      </c>
      <c r="S48" s="21">
        <f t="shared" si="13"/>
        <v>-1.3563934693396284E-3</v>
      </c>
      <c r="T48" s="24">
        <f t="shared" si="19"/>
        <v>1.8889938903494138E-9</v>
      </c>
      <c r="U48" s="21" t="e">
        <f t="shared" si="14"/>
        <v>#NUM!</v>
      </c>
      <c r="W48" s="23">
        <f t="shared" si="9"/>
        <v>1.0076962808241325</v>
      </c>
      <c r="X48" s="23">
        <f t="shared" si="15"/>
        <v>5.074106940963885E-3</v>
      </c>
      <c r="Y48" s="21">
        <f t="shared" si="16"/>
        <v>0.99298865569957684</v>
      </c>
    </row>
    <row r="49" spans="1:25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25">
        <v>15</v>
      </c>
      <c r="M49" s="7">
        <f t="shared" si="10"/>
        <v>-2.9747914922952385E-3</v>
      </c>
      <c r="N49" s="7">
        <f t="shared" si="11"/>
        <v>-4.6932901866253377E-3</v>
      </c>
      <c r="O49" s="42">
        <v>0.99297867904499315</v>
      </c>
      <c r="P49" s="7">
        <f t="shared" si="12"/>
        <v>1.9471758892061208E-3</v>
      </c>
      <c r="Q49" s="8">
        <f t="shared" si="18"/>
        <v>0.70800758026197275</v>
      </c>
      <c r="R49" s="8">
        <f t="shared" si="17"/>
        <v>-1.3731704864208029E-3</v>
      </c>
      <c r="S49" s="21">
        <f t="shared" si="13"/>
        <v>-1.3397328782691949E-3</v>
      </c>
      <c r="T49" s="24">
        <f t="shared" si="19"/>
        <v>1.118073638900478E-9</v>
      </c>
      <c r="U49" s="21" t="e">
        <f t="shared" si="14"/>
        <v>#NUM!</v>
      </c>
      <c r="W49" s="23">
        <f t="shared" si="9"/>
        <v>1.0076680816789205</v>
      </c>
      <c r="X49" s="23">
        <f t="shared" si="15"/>
        <v>5.0741450658007281E-3</v>
      </c>
      <c r="Y49" s="21">
        <f t="shared" si="16"/>
        <v>0.99297867904499326</v>
      </c>
    </row>
    <row r="50" spans="1:25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25">
        <v>16</v>
      </c>
      <c r="M50" s="7">
        <f t="shared" ref="M50:M54" si="20">(-(E.)+SQRT((E.)^2-4*D.*(F.-N50)))/(2*D.)</f>
        <v>-2.976441927351066E-3</v>
      </c>
      <c r="N50" s="7">
        <f t="shared" ref="N50:N54" si="21">G.*P50^2+H.*P50+I.</f>
        <v>-4.701506970439244E-3</v>
      </c>
      <c r="O50" s="42">
        <v>0.99298217003150224</v>
      </c>
      <c r="P50" s="7">
        <f t="shared" ref="P50:P54" si="22">A.*O50^2+B.*O50+C.</f>
        <v>1.9436982549166371E-3</v>
      </c>
      <c r="Q50" s="8">
        <f t="shared" ref="Q50:Q51" si="23">(J19*M49+S*ycn_1)/(J19+S)</f>
        <v>0.7115789226913426</v>
      </c>
      <c r="R50" s="8">
        <f t="shared" ref="R50:R51" si="24">(J19*N49+S*yan_1)/(J19+S)</f>
        <v>-1.3496289470392221E-3</v>
      </c>
      <c r="S50" s="21">
        <f t="shared" si="13"/>
        <v>-1.3455626169356989E-3</v>
      </c>
      <c r="T50" s="24">
        <f t="shared" ref="T50:T54" si="25">(S50-R50)^2</f>
        <v>1.6535040510818409E-11</v>
      </c>
      <c r="U50" s="21" t="e">
        <f t="shared" ref="U50:U54" si="26">SQRT(M50-xcn+0.25*(N49-N50))</f>
        <v>#NUM!</v>
      </c>
      <c r="W50" s="23">
        <f t="shared" si="9"/>
        <v>1.0076779488977903</v>
      </c>
      <c r="X50" s="23">
        <f t="shared" si="15"/>
        <v>5.0741317135811759E-3</v>
      </c>
      <c r="Y50" s="21">
        <f t="shared" si="16"/>
        <v>0.99298217003150224</v>
      </c>
    </row>
    <row r="51" spans="1:25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25">
        <v>17</v>
      </c>
      <c r="M51" s="7">
        <f t="shared" si="20"/>
        <v>-2.9838225605239082E-3</v>
      </c>
      <c r="N51" s="7">
        <f t="shared" si="21"/>
        <v>-4.7382527479266643E-3</v>
      </c>
      <c r="O51" s="42">
        <v>0.99299778132910244</v>
      </c>
      <c r="P51" s="7">
        <f t="shared" si="22"/>
        <v>1.9281465122196195E-3</v>
      </c>
      <c r="Q51" s="8">
        <f t="shared" si="23"/>
        <v>0.7151839780038689</v>
      </c>
      <c r="R51" s="8">
        <f t="shared" si="24"/>
        <v>-1.3350906927927422E-3</v>
      </c>
      <c r="S51" s="21">
        <f t="shared" si="13"/>
        <v>-1.3716333550702756E-3</v>
      </c>
      <c r="T51" s="24">
        <f t="shared" si="25"/>
        <v>1.3353661663298673E-9</v>
      </c>
      <c r="U51" s="21" t="e">
        <f t="shared" si="26"/>
        <v>#NUM!</v>
      </c>
      <c r="W51" s="23">
        <f t="shared" si="9"/>
        <v>1.0077220753084506</v>
      </c>
      <c r="X51" s="23">
        <f t="shared" si="15"/>
        <v>5.0740721586779447E-3</v>
      </c>
      <c r="Y51" s="21">
        <f t="shared" si="16"/>
        <v>0.99299778132910244</v>
      </c>
    </row>
    <row r="52" spans="1:25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25">
        <v>18</v>
      </c>
      <c r="M52" s="7">
        <f t="shared" si="20"/>
        <v>-2.9841552590666978E-3</v>
      </c>
      <c r="N52" s="7">
        <f t="shared" si="21"/>
        <v>-4.7399091798816561E-3</v>
      </c>
      <c r="O52" s="42">
        <v>0.99299848503722898</v>
      </c>
      <c r="P52" s="7">
        <f t="shared" si="22"/>
        <v>1.927445482684087E-3</v>
      </c>
      <c r="Q52" s="8">
        <f t="shared" ref="Q52:Q54" si="27">(J21*M51+S*ycn_1)/(J21+S)</f>
        <v>0.71881696186813071</v>
      </c>
      <c r="R52" s="8">
        <f t="shared" ref="R52:R54" si="28">(J21*N51+S*yan_1)/(J21+S)</f>
        <v>-1.3283527342419323E-3</v>
      </c>
      <c r="S52" s="21">
        <f t="shared" si="13"/>
        <v>-1.3728085728213033E-3</v>
      </c>
      <c r="T52" s="24">
        <f t="shared" si="25"/>
        <v>1.976321583795089E-9</v>
      </c>
      <c r="U52" s="21" t="e">
        <f t="shared" si="26"/>
        <v>#NUM!</v>
      </c>
      <c r="W52" s="23">
        <f t="shared" si="9"/>
        <v>1.0077240644389485</v>
      </c>
      <c r="X52" s="23">
        <f t="shared" si="15"/>
        <v>5.074069480086929E-3</v>
      </c>
      <c r="Y52" s="21">
        <f t="shared" si="16"/>
        <v>0.99299848503722898</v>
      </c>
    </row>
    <row r="53" spans="1:25" x14ac:dyDescent="0.25">
      <c r="L53" s="25">
        <v>19</v>
      </c>
      <c r="M53" s="7">
        <f t="shared" si="20"/>
        <v>-2.9518326469842502E-3</v>
      </c>
      <c r="N53" s="7">
        <f t="shared" si="21"/>
        <v>-4.5789957411033382E-3</v>
      </c>
      <c r="O53" s="42">
        <v>0.99293011536105658</v>
      </c>
      <c r="P53" s="7">
        <f t="shared" si="22"/>
        <v>1.9955525166918675E-3</v>
      </c>
      <c r="Q53" s="8">
        <f t="shared" si="27"/>
        <v>0.72248708705305142</v>
      </c>
      <c r="R53" s="8">
        <f t="shared" si="28"/>
        <v>-1.3114723664534684E-3</v>
      </c>
      <c r="S53" s="21">
        <f t="shared" si="13"/>
        <v>-1.258641253607961E-3</v>
      </c>
      <c r="T53" s="24">
        <f t="shared" si="25"/>
        <v>2.7911264844947358E-9</v>
      </c>
      <c r="U53" s="21" t="e">
        <f t="shared" si="26"/>
        <v>#NUM!</v>
      </c>
      <c r="W53" s="23">
        <f t="shared" si="9"/>
        <v>1.0075308283880875</v>
      </c>
      <c r="X53" s="23">
        <f t="shared" si="15"/>
        <v>5.0743321222515014E-3</v>
      </c>
      <c r="Y53" s="21">
        <f t="shared" si="16"/>
        <v>0.99293011536105658</v>
      </c>
    </row>
    <row r="54" spans="1:25" x14ac:dyDescent="0.25">
      <c r="L54" s="25">
        <v>20</v>
      </c>
      <c r="M54" s="7">
        <f t="shared" si="20"/>
        <v>-2.9517915554503711E-3</v>
      </c>
      <c r="N54" s="7">
        <f t="shared" si="21"/>
        <v>-4.5787911904129524E-3</v>
      </c>
      <c r="O54" s="42">
        <v>0.99293002843999711</v>
      </c>
      <c r="P54" s="7">
        <f t="shared" si="22"/>
        <v>1.9956391007569518E-3</v>
      </c>
      <c r="Q54" s="8">
        <f t="shared" si="27"/>
        <v>0.72623376515950533</v>
      </c>
      <c r="R54" s="8">
        <f t="shared" si="28"/>
        <v>-1.2498849721268228E-3</v>
      </c>
      <c r="S54" s="21">
        <f t="shared" si="13"/>
        <v>-1.2584961242619905E-3</v>
      </c>
      <c r="T54" s="24">
        <f t="shared" si="25"/>
        <v>7.4151941095003128E-11</v>
      </c>
      <c r="U54" s="21" t="e">
        <f t="shared" si="26"/>
        <v>#NUM!</v>
      </c>
      <c r="W54" s="23">
        <f t="shared" si="9"/>
        <v>1.0075305827458634</v>
      </c>
      <c r="X54" s="23">
        <f t="shared" si="15"/>
        <v>5.0743324592459338E-3</v>
      </c>
      <c r="Y54" s="21">
        <f t="shared" si="16"/>
        <v>0.99293002843999711</v>
      </c>
    </row>
    <row r="56" spans="1:25" x14ac:dyDescent="0.25">
      <c r="S56" s="21" t="s">
        <v>46</v>
      </c>
      <c r="T56" s="43">
        <f>SUM(T35:T54)</f>
        <v>2.7942473070448374E-8</v>
      </c>
      <c r="U56" s="33"/>
    </row>
  </sheetData>
  <mergeCells count="6">
    <mergeCell ref="A1:B1"/>
    <mergeCell ref="D2:E2"/>
    <mergeCell ref="A13:B13"/>
    <mergeCell ref="A18:B18"/>
    <mergeCell ref="A22:B22"/>
    <mergeCell ref="A17:B17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O26"/>
  <sheetViews>
    <sheetView showGridLines="0" workbookViewId="0">
      <selection activeCell="F6" sqref="F6"/>
    </sheetView>
  </sheetViews>
  <sheetFormatPr defaultRowHeight="15" x14ac:dyDescent="0.25"/>
  <sheetData>
    <row r="2" spans="9:12" x14ac:dyDescent="0.25">
      <c r="I2" s="20" t="s">
        <v>32</v>
      </c>
      <c r="J2" s="20" t="s">
        <v>30</v>
      </c>
      <c r="K2" s="1" t="s">
        <v>40</v>
      </c>
      <c r="L2" s="1" t="s">
        <v>8</v>
      </c>
    </row>
    <row r="3" spans="9:12" x14ac:dyDescent="0.25">
      <c r="I3" s="45">
        <v>0</v>
      </c>
      <c r="J3" s="45">
        <v>0</v>
      </c>
      <c r="K3" s="1">
        <f t="shared" ref="K3:K25" si="0">G.*I3^2+H.*I3+I.</f>
        <v>-9.3052647455272152E-3</v>
      </c>
      <c r="L3" s="1">
        <f>(K3-J3)^2</f>
        <v>8.6587951984351663E-5</v>
      </c>
    </row>
    <row r="4" spans="9:12" x14ac:dyDescent="0.25">
      <c r="I4" s="45">
        <v>0.02</v>
      </c>
      <c r="J4" s="45">
        <v>0.04</v>
      </c>
      <c r="K4" s="1">
        <f t="shared" si="0"/>
        <v>3.6989280388866945E-2</v>
      </c>
      <c r="L4" s="1">
        <f t="shared" ref="L4:L25" si="1">(K4-J4)^2</f>
        <v>9.0644325768611788E-6</v>
      </c>
    </row>
    <row r="5" spans="9:12" x14ac:dyDescent="0.25">
      <c r="I5" s="45">
        <v>0.04</v>
      </c>
      <c r="J5" s="45">
        <v>0.08</v>
      </c>
      <c r="K5" s="1">
        <f t="shared" si="0"/>
        <v>8.0898905553835027E-2</v>
      </c>
      <c r="L5" s="1">
        <f t="shared" si="1"/>
        <v>8.0803119471545284E-7</v>
      </c>
    </row>
    <row r="6" spans="9:12" x14ac:dyDescent="0.25">
      <c r="I6" s="45">
        <v>0.06</v>
      </c>
      <c r="J6" s="45">
        <v>0.12</v>
      </c>
      <c r="K6" s="1">
        <f t="shared" si="0"/>
        <v>0.12242361074937703</v>
      </c>
      <c r="L6" s="1">
        <f t="shared" si="1"/>
        <v>5.8738890644959335E-6</v>
      </c>
    </row>
    <row r="7" spans="9:12" x14ac:dyDescent="0.25">
      <c r="I7" s="45">
        <v>0.08</v>
      </c>
      <c r="J7" s="45">
        <v>0.16</v>
      </c>
      <c r="K7" s="1">
        <f t="shared" si="0"/>
        <v>0.16156339597549299</v>
      </c>
      <c r="L7" s="1">
        <f t="shared" si="1"/>
        <v>2.4442069761876688E-6</v>
      </c>
    </row>
    <row r="8" spans="9:12" x14ac:dyDescent="0.25">
      <c r="I8" s="45">
        <v>0.1</v>
      </c>
      <c r="J8" s="45">
        <v>0.19</v>
      </c>
      <c r="K8" s="1">
        <f t="shared" si="0"/>
        <v>0.19831826123218285</v>
      </c>
      <c r="L8" s="1">
        <f t="shared" si="1"/>
        <v>6.9193469926836146E-5</v>
      </c>
    </row>
    <row r="9" spans="9:12" x14ac:dyDescent="0.25">
      <c r="I9" s="45">
        <v>0.12</v>
      </c>
      <c r="J9" s="45">
        <v>0.22500000000000001</v>
      </c>
      <c r="K9" s="1">
        <f t="shared" si="0"/>
        <v>0.23268820651944663</v>
      </c>
      <c r="L9" s="1">
        <f t="shared" si="1"/>
        <v>5.9108519485661624E-5</v>
      </c>
    </row>
    <row r="10" spans="9:12" x14ac:dyDescent="0.25">
      <c r="I10" s="45">
        <v>0.14000000000000001</v>
      </c>
      <c r="J10" s="45">
        <v>0.25700000000000001</v>
      </c>
      <c r="K10" s="1">
        <f t="shared" si="0"/>
        <v>0.26467323183728431</v>
      </c>
      <c r="L10" s="1">
        <f t="shared" si="1"/>
        <v>5.8878486828713397E-5</v>
      </c>
    </row>
    <row r="11" spans="9:12" x14ac:dyDescent="0.25">
      <c r="I11" s="45">
        <v>0.16</v>
      </c>
      <c r="J11" s="45">
        <v>0.28699999999999998</v>
      </c>
      <c r="K11" s="1">
        <f t="shared" si="0"/>
        <v>0.29427333718569587</v>
      </c>
      <c r="L11" s="1">
        <f t="shared" si="1"/>
        <v>5.2901433816826666E-5</v>
      </c>
    </row>
    <row r="12" spans="9:12" x14ac:dyDescent="0.25">
      <c r="I12" s="45">
        <v>0.18</v>
      </c>
      <c r="J12" s="45">
        <v>0.315</v>
      </c>
      <c r="K12" s="1">
        <f t="shared" si="0"/>
        <v>0.32148852256468141</v>
      </c>
      <c r="L12" s="1">
        <f t="shared" si="1"/>
        <v>4.2100925072379816E-5</v>
      </c>
    </row>
    <row r="13" spans="9:12" x14ac:dyDescent="0.25">
      <c r="I13" s="45">
        <v>0.2</v>
      </c>
      <c r="J13" s="45">
        <v>0.34</v>
      </c>
      <c r="K13" s="1">
        <f t="shared" si="0"/>
        <v>0.34631878797424093</v>
      </c>
      <c r="L13" s="1">
        <f t="shared" si="1"/>
        <v>3.9927081463411448E-5</v>
      </c>
    </row>
    <row r="14" spans="9:12" x14ac:dyDescent="0.25">
      <c r="I14" s="45">
        <v>0.22</v>
      </c>
      <c r="J14" s="45">
        <v>0.36499999999999999</v>
      </c>
      <c r="K14" s="1">
        <f t="shared" si="0"/>
        <v>0.36876413341437431</v>
      </c>
      <c r="L14" s="1">
        <f t="shared" si="1"/>
        <v>1.4168700361209242E-5</v>
      </c>
    </row>
    <row r="15" spans="9:12" x14ac:dyDescent="0.25">
      <c r="I15" s="45">
        <v>0.24</v>
      </c>
      <c r="J15" s="45">
        <v>0.38500000000000001</v>
      </c>
      <c r="K15" s="1">
        <f t="shared" si="0"/>
        <v>0.38882455888508161</v>
      </c>
      <c r="L15" s="1">
        <f t="shared" si="1"/>
        <v>1.4627250665456588E-5</v>
      </c>
    </row>
    <row r="16" spans="9:12" x14ac:dyDescent="0.25">
      <c r="I16" s="45">
        <v>0.26</v>
      </c>
      <c r="J16" s="45">
        <v>0.40500000000000003</v>
      </c>
      <c r="K16" s="1">
        <f t="shared" si="0"/>
        <v>0.40650006438636282</v>
      </c>
      <c r="L16" s="1">
        <f t="shared" si="1"/>
        <v>2.2501931632339983E-6</v>
      </c>
    </row>
    <row r="17" spans="9:15" x14ac:dyDescent="0.25">
      <c r="I17" s="45">
        <v>0.28000000000000003</v>
      </c>
      <c r="J17" s="45">
        <v>0.42199999999999999</v>
      </c>
      <c r="K17" s="1">
        <f t="shared" si="0"/>
        <v>0.42179064991821807</v>
      </c>
      <c r="L17" s="1">
        <f t="shared" si="1"/>
        <v>4.3827456742093082E-8</v>
      </c>
    </row>
    <row r="18" spans="9:15" x14ac:dyDescent="0.25">
      <c r="I18" s="45">
        <v>0.3</v>
      </c>
      <c r="J18" s="45">
        <v>0.435</v>
      </c>
      <c r="K18" s="1">
        <f t="shared" si="0"/>
        <v>0.43469631548064708</v>
      </c>
      <c r="L18" s="1">
        <f t="shared" si="1"/>
        <v>9.222428729461422E-8</v>
      </c>
    </row>
    <row r="19" spans="9:15" x14ac:dyDescent="0.25">
      <c r="I19" s="45">
        <v>0.32</v>
      </c>
      <c r="J19" s="45">
        <v>0.44800000000000001</v>
      </c>
      <c r="K19" s="1">
        <f t="shared" si="0"/>
        <v>0.44521706107365</v>
      </c>
      <c r="L19" s="1">
        <f t="shared" si="1"/>
        <v>7.7447490677941416E-6</v>
      </c>
    </row>
    <row r="20" spans="9:15" x14ac:dyDescent="0.25">
      <c r="I20" s="45">
        <v>0.34</v>
      </c>
      <c r="J20" s="45">
        <v>0.45700000000000002</v>
      </c>
      <c r="K20" s="1">
        <f t="shared" si="0"/>
        <v>0.45335288669722701</v>
      </c>
      <c r="L20" s="1">
        <f t="shared" si="1"/>
        <v>1.3301435443263842E-5</v>
      </c>
    </row>
    <row r="21" spans="9:15" x14ac:dyDescent="0.25">
      <c r="I21" s="45">
        <v>0.36</v>
      </c>
      <c r="J21" s="45">
        <v>0.46500000000000002</v>
      </c>
      <c r="K21" s="1">
        <f t="shared" si="0"/>
        <v>0.45910379235137777</v>
      </c>
      <c r="L21" s="1">
        <f t="shared" si="1"/>
        <v>3.4765264635671568E-5</v>
      </c>
    </row>
    <row r="22" spans="9:15" x14ac:dyDescent="0.25">
      <c r="I22" s="45">
        <v>0.38</v>
      </c>
      <c r="J22" s="45">
        <v>0.46300000000000002</v>
      </c>
      <c r="K22" s="1">
        <f t="shared" si="0"/>
        <v>0.46246977803610262</v>
      </c>
      <c r="L22" s="1">
        <f t="shared" si="1"/>
        <v>2.8113533099921972E-7</v>
      </c>
    </row>
    <row r="23" spans="9:15" x14ac:dyDescent="0.25">
      <c r="I23" s="45">
        <v>0.4</v>
      </c>
      <c r="J23" s="45">
        <v>0.46</v>
      </c>
      <c r="K23" s="1">
        <f t="shared" si="0"/>
        <v>0.46345084375140122</v>
      </c>
      <c r="L23" s="1">
        <f t="shared" si="1"/>
        <v>1.190832259658471E-5</v>
      </c>
      <c r="N23" s="1" t="s">
        <v>41</v>
      </c>
      <c r="O23" s="46">
        <v>-2.9811499617825974</v>
      </c>
    </row>
    <row r="24" spans="9:15" x14ac:dyDescent="0.25">
      <c r="I24" s="45">
        <v>0.42</v>
      </c>
      <c r="J24" s="45">
        <v>0.45500000000000002</v>
      </c>
      <c r="K24" s="1">
        <f t="shared" si="0"/>
        <v>0.46204698949727391</v>
      </c>
      <c r="L24" s="1">
        <f t="shared" si="1"/>
        <v>4.9660060974688544E-5</v>
      </c>
      <c r="N24" s="1" t="s">
        <v>42</v>
      </c>
      <c r="O24" s="46">
        <v>2.3743502559553602</v>
      </c>
    </row>
    <row r="25" spans="9:15" x14ac:dyDescent="0.25">
      <c r="I25" s="45">
        <v>0.43</v>
      </c>
      <c r="J25" s="45">
        <v>0.45</v>
      </c>
      <c r="K25" s="1">
        <f t="shared" si="0"/>
        <v>0.46045071738167548</v>
      </c>
      <c r="L25" s="1">
        <f t="shared" si="1"/>
        <v>1.0921749379165373E-4</v>
      </c>
      <c r="N25" s="1" t="s">
        <v>43</v>
      </c>
      <c r="O25" s="46">
        <v>-9.3052647455272152E-3</v>
      </c>
    </row>
    <row r="26" spans="9:15" x14ac:dyDescent="0.25">
      <c r="K26" s="1" t="s">
        <v>44</v>
      </c>
      <c r="L26" s="46">
        <f>SUM(L3:L25)</f>
        <v>6.8494908616503313E-4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I16" sqref="I16"/>
    </sheetView>
  </sheetViews>
  <sheetFormatPr defaultRowHeight="15" x14ac:dyDescent="0.25"/>
  <sheetData/>
  <sheetProtection algorithmName="SHA-512" hashValue="s2AjAlHq7W45DhCNf91x1ZvI8UuZnLE3JVlqGxYtWwMO8apeqEDH0sziOuRYWsLp2kAzKFrwTzfsdg8Na+GNBA==" saltValue="BqHpqAYZGNRtVErCiB1yRQ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workbookViewId="0">
      <selection activeCell="G3" sqref="G3"/>
    </sheetView>
  </sheetViews>
  <sheetFormatPr defaultRowHeight="15" x14ac:dyDescent="0.25"/>
  <sheetData>
    <row r="2" spans="2:5" ht="15.75" thickBot="1" x14ac:dyDescent="0.3"/>
    <row r="3" spans="2:5" x14ac:dyDescent="0.25">
      <c r="B3" s="60" t="s">
        <v>66</v>
      </c>
      <c r="C3" s="61"/>
      <c r="D3" s="61"/>
      <c r="E3" s="62"/>
    </row>
    <row r="4" spans="2:5" x14ac:dyDescent="0.25">
      <c r="B4" s="47" t="s">
        <v>67</v>
      </c>
      <c r="C4" s="48" t="s">
        <v>68</v>
      </c>
      <c r="D4" s="48"/>
      <c r="E4" s="49"/>
    </row>
    <row r="5" spans="2:5" ht="15.75" thickBot="1" x14ac:dyDescent="0.3">
      <c r="B5" s="50" t="s">
        <v>69</v>
      </c>
      <c r="C5" s="51">
        <v>2017</v>
      </c>
      <c r="D5" s="52"/>
      <c r="E5" s="53"/>
    </row>
  </sheetData>
  <sheetProtection algorithmName="SHA-512" hashValue="qM1nm1Wx3t6vojzoiK7CL8DHDIQiUVYo72MotQbmeK+DSwR/OnT2MGXWvauQIOtOLR/08SFUvwelRbGHRIdtHA==" saltValue="SWX+d6wIdJ8D3NFLgyyBQQ==" spinCount="100000" sheet="1" objects="1" scenarios="1"/>
  <mergeCells count="1">
    <mergeCell ref="B3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28</vt:i4>
      </vt:variant>
    </vt:vector>
  </HeadingPairs>
  <TitlesOfParts>
    <vt:vector size="32" baseType="lpstr">
      <vt:lpstr>Liquid-Liquid Extraction</vt:lpstr>
      <vt:lpstr>Equilibrium</vt:lpstr>
      <vt:lpstr>Figures</vt:lpstr>
      <vt:lpstr>Credits</vt:lpstr>
      <vt:lpstr>'Liquid-Liquid Extraction'!A.</vt:lpstr>
      <vt:lpstr>'Liquid-Liquid Extraction'!B.</vt:lpstr>
      <vt:lpstr>'Liquid-Liquid Extraction'!C.</vt:lpstr>
      <vt:lpstr>'Liquid-Liquid Extraction'!D.</vt:lpstr>
      <vt:lpstr>E.</vt:lpstr>
      <vt:lpstr>F.</vt:lpstr>
      <vt:lpstr>G.</vt:lpstr>
      <vt:lpstr>H.</vt:lpstr>
      <vt:lpstr>I.</vt:lpstr>
      <vt:lpstr>'Liquid-Liquid Extraction'!Lo</vt:lpstr>
      <vt:lpstr>M</vt:lpstr>
      <vt:lpstr>S</vt:lpstr>
      <vt:lpstr>'Liquid-Liquid Extraction'!Vn_1</vt:lpstr>
      <vt:lpstr>'Liquid-Liquid Extraction'!xam</vt:lpstr>
      <vt:lpstr>'Liquid-Liquid Extraction'!xan</vt:lpstr>
      <vt:lpstr>'Liquid-Liquid Extraction'!xao</vt:lpstr>
      <vt:lpstr>'Liquid-Liquid Extraction'!xbo</vt:lpstr>
      <vt:lpstr>xcm</vt:lpstr>
      <vt:lpstr>xcn</vt:lpstr>
      <vt:lpstr>'Liquid-Liquid Extraction'!xco</vt:lpstr>
      <vt:lpstr>'Liquid-Liquid Extraction'!xn</vt:lpstr>
      <vt:lpstr>'Liquid-Liquid Extraction'!xo</vt:lpstr>
      <vt:lpstr>'Liquid-Liquid Extraction'!y1_</vt:lpstr>
      <vt:lpstr>ya2_</vt:lpstr>
      <vt:lpstr>'Liquid-Liquid Extraction'!yan_1</vt:lpstr>
      <vt:lpstr>yc2_</vt:lpstr>
      <vt:lpstr>'Liquid-Liquid Extraction'!ycn_1</vt:lpstr>
      <vt:lpstr>'Liquid-Liquid Extraction'!yn_1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Joshua Pires; Pires</dc:creator>
  <cp:lastModifiedBy>Pires</cp:lastModifiedBy>
  <dcterms:created xsi:type="dcterms:W3CDTF">2015-05-14T05:36:12Z</dcterms:created>
  <dcterms:modified xsi:type="dcterms:W3CDTF">2017-06-04T20:20:29Z</dcterms:modified>
</cp:coreProperties>
</file>