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qKjQNOkpVm6ztCQM2I97i3WeUOur4u4h7emEJZieIz3c6ss+2sMtJCmadRnqsILgRG8tb+crCCEfVDJKGtEIRg==" workbookSaltValue="R/XHqWWffZpaRDtocPjLHg==" workbookSpinCount="100000" lockStructure="1"/>
  <bookViews>
    <workbookView xWindow="360" yWindow="300" windowWidth="18735" windowHeight="11700"/>
  </bookViews>
  <sheets>
    <sheet name="Solid-Liquid Extraction" sheetId="2" r:id="rId1"/>
    <sheet name="Equilibrium" sheetId="4" r:id="rId2"/>
    <sheet name="Figures" sheetId="3" r:id="rId3"/>
    <sheet name="Credits" sheetId="5" r:id="rId4"/>
  </sheets>
  <externalReferences>
    <externalReference r:id="rId5"/>
    <externalReference r:id="rId6"/>
  </externalReferences>
  <definedNames>
    <definedName name="A." localSheetId="3">[1]Operation!$C$3</definedName>
    <definedName name="A.">Equilibrium!$H$5</definedName>
    <definedName name="A..">'Solid-Liquid Extraction'!#REF!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 localSheetId="3">[2]Main!$P$8</definedName>
    <definedName name="B">'Solid-Liquid Extraction'!$B$2</definedName>
    <definedName name="B." localSheetId="3">[1]Operation!$C$4</definedName>
    <definedName name="B.">Equilibrium!$H$6</definedName>
    <definedName name="B..">'Solid-Liquid Extraction'!#REF!</definedName>
    <definedName name="C." localSheetId="3">[1]Operation!$C$5</definedName>
    <definedName name="C.">#REF!</definedName>
    <definedName name="C_">'Solid-Liquid Extraction'!#REF!</definedName>
    <definedName name="const1">'Solid-Liquid Extraction'!$F$7</definedName>
    <definedName name="const10">'Solid-Liquid Extraction'!$L$41</definedName>
    <definedName name="const11">'Solid-Liquid Extraction'!$L$43</definedName>
    <definedName name="const12">'Solid-Liquid Extraction'!$L$44</definedName>
    <definedName name="const13">'Solid-Liquid Extraction'!$L$46</definedName>
    <definedName name="const14">'Solid-Liquid Extraction'!$L$47</definedName>
    <definedName name="const15">'Solid-Liquid Extraction'!$L$49</definedName>
    <definedName name="const16">'Solid-Liquid Extraction'!$L$50</definedName>
    <definedName name="const17">'Solid-Liquid Extraction'!$L$52</definedName>
    <definedName name="const18">'Solid-Liquid Extraction'!$L$53</definedName>
    <definedName name="const19">'Solid-Liquid Extraction'!$L$55</definedName>
    <definedName name="const2">'Solid-Liquid Extraction'!$F$8</definedName>
    <definedName name="const20">'Solid-Liquid Extraction'!$L$56</definedName>
    <definedName name="const3">'Solid-Liquid Extraction'!#REF!</definedName>
    <definedName name="const4">'Solid-Liquid Extraction'!$L$32</definedName>
    <definedName name="const5">'Solid-Liquid Extraction'!$L$34</definedName>
    <definedName name="const6">'Solid-Liquid Extraction'!$L$35</definedName>
    <definedName name="const7">'Solid-Liquid Extraction'!$L$37</definedName>
    <definedName name="const8">'Solid-Liquid Extraction'!$L$38</definedName>
    <definedName name="const9">'Solid-Liquid Extraction'!$L$40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 localSheetId="3">[1]Equilibrium!$R$3</definedName>
    <definedName name="D.">#REF!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3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 localSheetId="3">[1]Absorption_packed!$B$6</definedName>
    <definedName name="L.">#REF!</definedName>
    <definedName name="L_">#REF!</definedName>
    <definedName name="LA">'Solid-Liquid Extraction'!$B$3</definedName>
    <definedName name="Ln">'Solid-Liquid Extraction'!#REF!</definedName>
    <definedName name="Ln.">'Solid-Liquid Extraction'!$F$17</definedName>
    <definedName name="Lo">#REF!</definedName>
    <definedName name="Lo.">'Solid-Liquid Extraction'!$B$6</definedName>
    <definedName name="Lt">[2]Main!$M$7</definedName>
    <definedName name="M">'Solid-Liquid Extraction'!$I$10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d">'Solid-Liquid Extraction'!$B$19</definedName>
    <definedName name="NM">'Solid-Liquid Extraction'!$I$12</definedName>
    <definedName name="Nn">'Solid-Liquid Extraction'!$I$9</definedName>
    <definedName name="Nn_1">'Solid-Liquid Extraction'!$B$15</definedName>
    <definedName name="No">'Solid-Liquid Extraction'!$B$9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3">[1]Absorption_packed!$E$2</definedName>
    <definedName name="S">[2]Main!#REF!</definedName>
    <definedName name="S.">[2]Main!$J$14</definedName>
    <definedName name="slope_n">'Solid-Liquid Extraction'!$I$7</definedName>
    <definedName name="solver_adj" localSheetId="1" hidden="1">Equilibrium!$H$5:$H$6</definedName>
    <definedName name="solver_adj" localSheetId="0" hidden="1">'Solid-Liquid Extraction'!#REF!,'Solid-Liquid Extraction'!#REF!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100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Equilibrium!$E$12</definedName>
    <definedName name="solver_opt" localSheetId="0" hidden="1">Equilibrium!$E$12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tim" localSheetId="1" hidden="1">2147483647</definedName>
    <definedName name="solver_tim" localSheetId="0" hidden="1">100</definedName>
    <definedName name="solver_tol" localSheetId="1" hidden="1">0.01</definedName>
    <definedName name="solver_tol" localSheetId="0" hidden="1">0.05</definedName>
    <definedName name="solver_typ" localSheetId="1" hidden="1">3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">#REF!</definedName>
    <definedName name="V." localSheetId="3">[1]Absorption_packed!$B$2</definedName>
    <definedName name="V.">#REF!</definedName>
    <definedName name="V1.">'Solid-Liquid Extraction'!$F$16</definedName>
    <definedName name="V1_">'Solid-Liquid Extraction'!$F$16</definedName>
    <definedName name="Vc">[2]Main!$C$3</definedName>
    <definedName name="Vn_1">#REF!</definedName>
    <definedName name="Vn_1.">'Solid-Liquid Extraction'!$B$12</definedName>
    <definedName name="x1.">[1]Absorption_packed!$B$9</definedName>
    <definedName name="x2.">[1]Absorption_packed!$B$7</definedName>
    <definedName name="xaM">'Solid-Liquid Extraction'!#REF!</definedName>
    <definedName name="xan">'Solid-Liquid Extraction'!$I$8</definedName>
    <definedName name="xao">'Solid-Liquid Extraction'!$B$7</definedName>
    <definedName name="xco">'Solid-Liquid Extraction'!$B$8</definedName>
    <definedName name="xn">#REF!</definedName>
    <definedName name="xo">#REF!</definedName>
    <definedName name="y1.">[1]Absorption_packed!$B$3</definedName>
    <definedName name="y1_">#REF!</definedName>
    <definedName name="y2.">[1]Absorption_packed!$B$4</definedName>
    <definedName name="ya1.">'Solid-Liquid Extraction'!$F$9</definedName>
    <definedName name="ya1_">'Solid-Liquid Extraction'!$F$9</definedName>
    <definedName name="ya10.">'Solid-Liquid Extraction'!$L$57</definedName>
    <definedName name="ya2.">'Solid-Liquid Extraction'!$L$33</definedName>
    <definedName name="ya3.">'Solid-Liquid Extraction'!$L$36</definedName>
    <definedName name="ya4.">'Solid-Liquid Extraction'!$L$39</definedName>
    <definedName name="ya5.">'Solid-Liquid Extraction'!$L$42</definedName>
    <definedName name="ya6.">'Solid-Liquid Extraction'!$L$45</definedName>
    <definedName name="ya7.">'Solid-Liquid Extraction'!$L$48</definedName>
    <definedName name="ya8.">'Solid-Liquid Extraction'!$L$51</definedName>
    <definedName name="ya9.">'Solid-Liquid Extraction'!$L$54</definedName>
    <definedName name="yad">'Solid-Liquid Extraction'!$A$19</definedName>
    <definedName name="yaM">'Solid-Liquid Extraction'!$I$11</definedName>
    <definedName name="yan">'Solid-Liquid Extraction'!#REF!</definedName>
    <definedName name="yan_1">'Solid-Liquid Extraction'!$B$13</definedName>
    <definedName name="yao">'Solid-Liquid Extraction'!$B$7</definedName>
    <definedName name="ycn_1">'Solid-Liquid Extraction'!$B$14</definedName>
    <definedName name="yco">'Solid-Liquid Extraction'!$B$8</definedName>
    <definedName name="yn_1">#REF!</definedName>
  </definedNames>
  <calcPr calcId="171027"/>
</workbook>
</file>

<file path=xl/calcChain.xml><?xml version="1.0" encoding="utf-8"?>
<calcChain xmlns="http://schemas.openxmlformats.org/spreadsheetml/2006/main">
  <c r="D11" i="4" l="1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E12" i="4" l="1"/>
  <c r="I7" i="2"/>
  <c r="I8" i="2" s="1"/>
  <c r="B12" i="2"/>
  <c r="B13" i="2" s="1"/>
  <c r="B6" i="2"/>
  <c r="B8" i="2" s="1"/>
  <c r="I9" i="2" l="1"/>
  <c r="B9" i="2"/>
  <c r="I10" i="2"/>
  <c r="B7" i="2"/>
  <c r="B14" i="2"/>
  <c r="I11" i="2" l="1"/>
  <c r="I12" i="2"/>
  <c r="F8" i="2" l="1"/>
  <c r="F7" i="2"/>
  <c r="N28" i="2"/>
  <c r="O28" i="2"/>
  <c r="F9" i="2" l="1"/>
  <c r="G19" i="2" s="1"/>
  <c r="P28" i="2"/>
  <c r="R28" i="2" l="1"/>
  <c r="Q28" i="2"/>
  <c r="F16" i="2"/>
  <c r="A19" i="2" s="1"/>
  <c r="S28" i="2" l="1"/>
  <c r="F17" i="2"/>
  <c r="B19" i="2"/>
  <c r="N29" i="2" l="1"/>
  <c r="O29" i="2" s="1"/>
  <c r="P29" i="2" s="1"/>
  <c r="Q29" i="2" s="1"/>
  <c r="R29" i="2" l="1"/>
  <c r="S29" i="2"/>
  <c r="N30" i="2" l="1"/>
  <c r="O30" i="2" s="1"/>
  <c r="P30" i="2" s="1"/>
  <c r="R30" i="2" l="1"/>
  <c r="Q30" i="2"/>
  <c r="S30" i="2" s="1"/>
  <c r="N31" i="2" l="1"/>
  <c r="O31" i="2" s="1"/>
  <c r="P31" i="2" s="1"/>
  <c r="R31" i="2" l="1"/>
  <c r="Q31" i="2"/>
  <c r="S31" i="2" s="1"/>
  <c r="N32" i="2" l="1"/>
  <c r="O32" i="2" s="1"/>
  <c r="P32" i="2" s="1"/>
  <c r="R32" i="2" l="1"/>
  <c r="Q32" i="2"/>
  <c r="S32" i="2" s="1"/>
  <c r="N33" i="2" l="1"/>
  <c r="O33" i="2" s="1"/>
  <c r="P33" i="2" s="1"/>
  <c r="R33" i="2" l="1"/>
  <c r="Q33" i="2"/>
  <c r="S33" i="2" s="1"/>
  <c r="N34" i="2" l="1"/>
  <c r="O34" i="2" s="1"/>
  <c r="P34" i="2" s="1"/>
  <c r="R34" i="2" l="1"/>
  <c r="Q34" i="2"/>
  <c r="S34" i="2" s="1"/>
  <c r="N35" i="2" l="1"/>
  <c r="O35" i="2" s="1"/>
  <c r="P35" i="2" s="1"/>
  <c r="R35" i="2" l="1"/>
  <c r="Q35" i="2"/>
  <c r="S35" i="2" s="1"/>
  <c r="N36" i="2" l="1"/>
  <c r="O36" i="2" s="1"/>
  <c r="P36" i="2" s="1"/>
  <c r="R36" i="2" l="1"/>
  <c r="Q36" i="2"/>
  <c r="S36" i="2" s="1"/>
  <c r="N37" i="2" l="1"/>
  <c r="O37" i="2" s="1"/>
  <c r="P37" i="2" s="1"/>
  <c r="R37" i="2" l="1"/>
  <c r="Q37" i="2"/>
  <c r="S37" i="2" s="1"/>
  <c r="N38" i="2" l="1"/>
  <c r="O38" i="2" s="1"/>
  <c r="P38" i="2" s="1"/>
  <c r="Q38" i="2" s="1"/>
  <c r="S38" i="2" l="1"/>
  <c r="R38" i="2"/>
  <c r="N39" i="2" l="1"/>
  <c r="O39" i="2" s="1"/>
  <c r="P39" i="2" s="1"/>
  <c r="Q39" i="2" s="1"/>
  <c r="S39" i="2" l="1"/>
  <c r="R39" i="2"/>
  <c r="N40" i="2" l="1"/>
  <c r="O40" i="2" s="1"/>
  <c r="P40" i="2" s="1"/>
  <c r="Q40" i="2" s="1"/>
  <c r="R40" i="2" l="1"/>
  <c r="S40" i="2"/>
  <c r="N41" i="2" l="1"/>
  <c r="O41" i="2" s="1"/>
  <c r="P41" i="2" s="1"/>
  <c r="Q41" i="2" s="1"/>
  <c r="S41" i="2" l="1"/>
  <c r="R41" i="2"/>
  <c r="N42" i="2" l="1"/>
  <c r="O42" i="2" s="1"/>
  <c r="P42" i="2" s="1"/>
  <c r="Q42" i="2" s="1"/>
  <c r="R42" i="2" l="1"/>
  <c r="S42" i="2"/>
  <c r="N43" i="2" l="1"/>
  <c r="O43" i="2" s="1"/>
  <c r="P43" i="2" s="1"/>
  <c r="Q43" i="2" s="1"/>
  <c r="R43" i="2" l="1"/>
  <c r="S43" i="2"/>
  <c r="N44" i="2" l="1"/>
  <c r="O44" i="2" s="1"/>
  <c r="P44" i="2" s="1"/>
  <c r="Q44" i="2" s="1"/>
  <c r="R44" i="2" l="1"/>
  <c r="S44" i="2"/>
  <c r="N45" i="2" l="1"/>
  <c r="O45" i="2" s="1"/>
  <c r="P45" i="2" s="1"/>
  <c r="Q45" i="2" s="1"/>
  <c r="S45" i="2" l="1"/>
  <c r="R45" i="2"/>
  <c r="N46" i="2" l="1"/>
  <c r="O46" i="2" s="1"/>
  <c r="P46" i="2" s="1"/>
  <c r="Q46" i="2" s="1"/>
  <c r="S46" i="2" l="1"/>
  <c r="R46" i="2"/>
  <c r="N47" i="2" l="1"/>
  <c r="O47" i="2" s="1"/>
  <c r="P47" i="2" s="1"/>
  <c r="Q47" i="2" s="1"/>
  <c r="S47" i="2" l="1"/>
  <c r="S49" i="2" s="1"/>
  <c r="R47" i="2"/>
  <c r="R49" i="2" s="1"/>
  <c r="F19" i="2" l="1"/>
</calcChain>
</file>

<file path=xl/sharedStrings.xml><?xml version="1.0" encoding="utf-8"?>
<sst xmlns="http://schemas.openxmlformats.org/spreadsheetml/2006/main" count="67" uniqueCount="58">
  <si>
    <t>diff x</t>
  </si>
  <si>
    <t>Nstages</t>
  </si>
  <si>
    <t>Stages:</t>
  </si>
  <si>
    <t>Equilibrium Line:</t>
  </si>
  <si>
    <t>Initial Data:</t>
  </si>
  <si>
    <t>Coefficients:</t>
  </si>
  <si>
    <t>Nmax = 15</t>
  </si>
  <si>
    <t>N</t>
  </si>
  <si>
    <t>Vn+1.ycn+1</t>
  </si>
  <si>
    <t>Vn+1.yan+1</t>
  </si>
  <si>
    <t>Lo.xco</t>
  </si>
  <si>
    <t>Lo.xao</t>
  </si>
  <si>
    <t>yad</t>
  </si>
  <si>
    <t>Nd</t>
  </si>
  <si>
    <t>N'</t>
  </si>
  <si>
    <t>Lo.</t>
  </si>
  <si>
    <t>Vn+1.</t>
  </si>
  <si>
    <t>Operating Point:</t>
  </si>
  <si>
    <t>yan+1</t>
  </si>
  <si>
    <t>ycn+1</t>
  </si>
  <si>
    <t>M</t>
  </si>
  <si>
    <t>Nn</t>
  </si>
  <si>
    <t>slope_n</t>
  </si>
  <si>
    <t>NM</t>
  </si>
  <si>
    <t>No</t>
  </si>
  <si>
    <t>Nn+1</t>
  </si>
  <si>
    <t>Other Lines:</t>
  </si>
  <si>
    <t>yaM</t>
  </si>
  <si>
    <t>const1</t>
  </si>
  <si>
    <t>const2</t>
  </si>
  <si>
    <t>xan</t>
  </si>
  <si>
    <t>ya1.</t>
  </si>
  <si>
    <t>V1.</t>
  </si>
  <si>
    <t>Ln.</t>
  </si>
  <si>
    <t>xao</t>
  </si>
  <si>
    <t>xco</t>
  </si>
  <si>
    <t>diff N</t>
  </si>
  <si>
    <t>ya,xa</t>
  </si>
  <si>
    <t>xa</t>
  </si>
  <si>
    <t>const(A)</t>
  </si>
  <si>
    <t>const(B)</t>
  </si>
  <si>
    <t>kg/h</t>
  </si>
  <si>
    <t>Ln.xan</t>
  </si>
  <si>
    <t>Bo</t>
  </si>
  <si>
    <t>kg A/h</t>
  </si>
  <si>
    <t>kg C/h</t>
  </si>
  <si>
    <t>E</t>
  </si>
  <si>
    <t>SE</t>
  </si>
  <si>
    <t>A.</t>
  </si>
  <si>
    <t>B.</t>
  </si>
  <si>
    <t>N'=A.*xa + B.</t>
  </si>
  <si>
    <t>1st Operating Line:</t>
  </si>
  <si>
    <t>Solid-Liquid Extraction</t>
  </si>
  <si>
    <t>Variable Retention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</si>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</sst>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3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6" borderId="1" xfId="0" applyNumberFormat="1" applyFont="1" applyFill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2" fontId="0" fillId="6" borderId="1" xfId="0" applyNumberFormat="1" applyFont="1" applyFill="1" applyBorder="1" applyAlignment="1" applyProtection="1">
      <alignment horizontal="center"/>
      <protection locked="0"/>
    </xf>
    <xf numFmtId="0" fontId="0" fillId="10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0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Equilibrium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Equilibrium!$B$4:$B$11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Equilibrium!$D$4:$D$11</c:f>
              <c:numCache>
                <c:formatCode>General</c:formatCode>
                <c:ptCount val="8"/>
                <c:pt idx="0">
                  <c:v>2.0366655540429424</c:v>
                </c:pt>
                <c:pt idx="1">
                  <c:v>1.9786893785132675</c:v>
                </c:pt>
                <c:pt idx="2">
                  <c:v>1.9207132029835925</c:v>
                </c:pt>
                <c:pt idx="3">
                  <c:v>1.8627370274539177</c:v>
                </c:pt>
                <c:pt idx="4">
                  <c:v>1.8047608519242426</c:v>
                </c:pt>
                <c:pt idx="5">
                  <c:v>1.7467846763945678</c:v>
                </c:pt>
                <c:pt idx="6">
                  <c:v>1.688808500864893</c:v>
                </c:pt>
                <c:pt idx="7">
                  <c:v>1.6308323253352182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F-4E0F-9BEF-1ED5CD4594AE}"/>
            </c:ext>
          </c:extLst>
        </c:ser>
        <c:ser>
          <c:idx val="0"/>
          <c:order val="1"/>
          <c:tx>
            <c:v>Data</c:v>
          </c:tx>
          <c:spPr>
            <a:ln w="1905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Equilibrium!$B$4:$B$11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Equilibrium!$C$4:$C$11</c:f>
              <c:numCache>
                <c:formatCode>0.00</c:formatCode>
                <c:ptCount val="8"/>
                <c:pt idx="0">
                  <c:v>2</c:v>
                </c:pt>
                <c:pt idx="1">
                  <c:v>1.98</c:v>
                </c:pt>
                <c:pt idx="2">
                  <c:v>1.94</c:v>
                </c:pt>
                <c:pt idx="3">
                  <c:v>1.89</c:v>
                </c:pt>
                <c:pt idx="4">
                  <c:v>1.82</c:v>
                </c:pt>
                <c:pt idx="5">
                  <c:v>1.75</c:v>
                </c:pt>
                <c:pt idx="6">
                  <c:v>1.68</c:v>
                </c:pt>
                <c:pt idx="7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2F-4E0F-9BEF-1ED5CD4594AE}"/>
            </c:ext>
          </c:extLst>
        </c:ser>
        <c:ser>
          <c:idx val="3"/>
          <c:order val="2"/>
          <c:tx>
            <c:v>Lo.M.Vn+1</c:v>
          </c:tx>
          <c:spPr>
            <a:ln w="19050" cap="flat" cmpd="sng" algn="ctr">
              <a:solidFill>
                <a:schemeClr val="dk1"/>
              </a:solidFill>
              <a:prstDash val="sysDash"/>
              <a:headEnd type="oval" w="med" len="med"/>
              <a:tailEnd type="oval" w="med" len="med"/>
            </a:ln>
            <a:effectLst/>
          </c:spPr>
          <c:marker>
            <c:symbol val="none"/>
          </c:marker>
          <c:xVal>
            <c:numRef>
              <c:f>('Solid-Liquid Extraction'!$B$7,'Solid-Liquid Extraction'!$I$11,'Solid-Liquid Extraction'!$B$13)</c:f>
              <c:numCache>
                <c:formatCode>0.00000</c:formatCode>
                <c:ptCount val="3"/>
                <c:pt idx="0">
                  <c:v>0.94117647058823528</c:v>
                </c:pt>
                <c:pt idx="1">
                  <c:v>0.37614678899082571</c:v>
                </c:pt>
                <c:pt idx="2">
                  <c:v>1.5037593984962405E-2</c:v>
                </c:pt>
              </c:numCache>
            </c:numRef>
          </c:xVal>
          <c:yVal>
            <c:numRef>
              <c:f>('Solid-Liquid Extraction'!$B$9,'Solid-Liquid Extraction'!$I$12,'Solid-Liquid Extraction'!$B$15)</c:f>
              <c:numCache>
                <c:formatCode>0.00000</c:formatCode>
                <c:ptCount val="3"/>
                <c:pt idx="0" formatCode="General">
                  <c:v>2.3529411764705883</c:v>
                </c:pt>
                <c:pt idx="1">
                  <c:v>0.91743119266055051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2F-4E0F-9BEF-1ED5CD4594AE}"/>
            </c:ext>
          </c:extLst>
        </c:ser>
        <c:ser>
          <c:idx val="4"/>
          <c:order val="3"/>
          <c:tx>
            <c:v>Ln.M.V1</c:v>
          </c:tx>
          <c:spPr>
            <a:ln w="19050" cap="flat" cmpd="sng" algn="ctr">
              <a:solidFill>
                <a:schemeClr val="dk1"/>
              </a:solidFill>
              <a:prstDash val="sysDash"/>
              <a:headEnd type="oval" w="med" len="med"/>
              <a:tailEnd type="oval" w="med" len="med"/>
            </a:ln>
            <a:effectLst/>
          </c:spPr>
          <c:marker>
            <c:symbol val="none"/>
          </c:marker>
          <c:xVal>
            <c:numRef>
              <c:f>('Solid-Liquid Extraction'!$I$8,'Solid-Liquid Extraction'!$I$11,'Solid-Liquid Extraction'!$P$28)</c:f>
              <c:numCache>
                <c:formatCode>0.00000</c:formatCode>
                <c:ptCount val="3"/>
                <c:pt idx="0" formatCode="General">
                  <c:v>0.11809201906692973</c:v>
                </c:pt>
                <c:pt idx="1">
                  <c:v>0.37614678899082571</c:v>
                </c:pt>
                <c:pt idx="2">
                  <c:v>0.60145555538194295</c:v>
                </c:pt>
              </c:numCache>
            </c:numRef>
          </c:xVal>
          <c:yVal>
            <c:numRef>
              <c:f>('Solid-Liquid Extraction'!$I$9,'Solid-Liquid Extraction'!$I$12,'Solid-Liquid Extraction'!$B$15)</c:f>
              <c:numCache>
                <c:formatCode>0.00000</c:formatCode>
                <c:ptCount val="3"/>
                <c:pt idx="0">
                  <c:v>1.9682003177821623</c:v>
                </c:pt>
                <c:pt idx="1">
                  <c:v>0.91743119266055051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2F-4E0F-9BEF-1ED5CD4594AE}"/>
            </c:ext>
          </c:extLst>
        </c:ser>
        <c:ser>
          <c:idx val="5"/>
          <c:order val="4"/>
          <c:tx>
            <c:v>op_Lo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Extraction'!$B$7)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0.94117647058823528</c:v>
                </c:pt>
              </c:numCache>
            </c:numRef>
          </c:xVal>
          <c:yVal>
            <c:numRef>
              <c:f>('Solid-Liquid Extraction'!$B$19,'Solid-Liquid Extraction'!$B$9)</c:f>
              <c:numCache>
                <c:formatCode>General</c:formatCode>
                <c:ptCount val="2"/>
                <c:pt idx="0" formatCode="0.00000">
                  <c:v>-6.3726075870721202</c:v>
                </c:pt>
                <c:pt idx="1">
                  <c:v>2.3529411764705883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2F-4E0F-9BEF-1ED5CD4594AE}"/>
            </c:ext>
          </c:extLst>
        </c:ser>
        <c:ser>
          <c:idx val="7"/>
          <c:order val="5"/>
          <c:tx>
            <c:v>op_L1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Extraction'!$P$28)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0.60145555538194295</c:v>
                </c:pt>
              </c:numCache>
            </c:numRef>
          </c:xVal>
          <c:yVal>
            <c:numRef>
              <c:f>('Solid-Liquid Extraction'!$B$19,'Solid-Liquid Extraction'!$Q$28)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1.687964625521726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2F-4E0F-9BEF-1ED5CD4594AE}"/>
            </c:ext>
          </c:extLst>
        </c:ser>
        <c:ser>
          <c:idx val="8"/>
          <c:order val="6"/>
          <c:tx>
            <c:v>op_L2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Extraction'!$P$29)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0.40878033713289913</c:v>
                </c:pt>
              </c:numCache>
            </c:numRef>
          </c:xVal>
          <c:yVal>
            <c:numRef>
              <c:f>('Solid-Liquid Extraction'!$B$19,'Solid-Liquid Extraction'!$Q$29)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1.7996703482559759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2F-4E0F-9BEF-1ED5CD4594AE}"/>
            </c:ext>
          </c:extLst>
        </c:ser>
        <c:ser>
          <c:idx val="9"/>
          <c:order val="7"/>
          <c:tx>
            <c:v>op_L3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Extraction'!$P$30)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0.248592503603001</c:v>
                </c:pt>
              </c:numCache>
            </c:numRef>
          </c:xVal>
          <c:yVal>
            <c:numRef>
              <c:f>('Solid-Liquid Extraction'!$B$19,'Solid-Liquid Extraction'!$Q$30)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1.8925411278004531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2F-4E0F-9BEF-1ED5CD4594AE}"/>
            </c:ext>
          </c:extLst>
        </c:ser>
        <c:ser>
          <c:idx val="10"/>
          <c:order val="8"/>
          <c:tx>
            <c:v>op_L4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Extraction'!$P$31)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0.11871067429081408</c:v>
                </c:pt>
              </c:numCache>
            </c:numRef>
          </c:xVal>
          <c:yVal>
            <c:numRef>
              <c:f>('Solid-Liquid Extraction'!$B$19,'Solid-Liquid Extraction'!$Q$31)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1.9678416451436394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2F-4E0F-9BEF-1ED5CD4594AE}"/>
            </c:ext>
          </c:extLst>
        </c:ser>
        <c:ser>
          <c:idx val="6"/>
          <c:order val="9"/>
          <c:tx>
            <c:v>op_L5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Extraction'!$P$32)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1.5524633043986429E-2</c:v>
                </c:pt>
              </c:numCache>
            </c:numRef>
          </c:xVal>
          <c:yVal>
            <c:numRef>
              <c:f>('Solid-Liquid Extraction'!$B$19,'Solid-Liquid Extraction'!$Q$32)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2.0276649655390231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A2F-4E0F-9BEF-1ED5CD4594AE}"/>
            </c:ext>
          </c:extLst>
        </c:ser>
        <c:ser>
          <c:idx val="11"/>
          <c:order val="10"/>
          <c:tx>
            <c:v>op_L6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Extraction'!$P$33)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-6.5133989334551043E-2</c:v>
                </c:pt>
              </c:numCache>
            </c:numRef>
          </c:xVal>
          <c:yVal>
            <c:numRef>
              <c:f>('Solid-Liquid Extraction'!$B$19,'Solid-Liquid Extraction'!$Q$33)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2.0744277500290216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2F-4E0F-9BEF-1ED5CD4594AE}"/>
            </c:ext>
          </c:extLst>
        </c:ser>
        <c:ser>
          <c:idx val="12"/>
          <c:order val="11"/>
          <c:tx>
            <c:v>op_L7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Extraction'!$P$34)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-0.12738777720235125</c:v>
                </c:pt>
              </c:numCache>
            </c:numRef>
          </c:xVal>
          <c:yVal>
            <c:numRef>
              <c:f>('Solid-Liquid Extraction'!$B$19,'Solid-Liquid Extraction'!$Q$34)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2.1105201153571289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A2F-4E0F-9BEF-1ED5CD4594AE}"/>
            </c:ext>
          </c:extLst>
        </c:ser>
        <c:ser>
          <c:idx val="13"/>
          <c:order val="12"/>
          <c:tx>
            <c:v>op_L8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Extraction'!$P$35)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-0.17496708673436279</c:v>
                </c:pt>
              </c:numCache>
            </c:numRef>
          </c:xVal>
          <c:yVal>
            <c:numRef>
              <c:f>('Solid-Liquid Extraction'!$B$19,'Solid-Liquid Extraction'!$Q$35)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2.138104779367215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A2F-4E0F-9BEF-1ED5CD4594AE}"/>
            </c:ext>
          </c:extLst>
        </c:ser>
        <c:ser>
          <c:idx val="14"/>
          <c:order val="13"/>
          <c:tx>
            <c:v>op_L9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Extraction'!$P$36)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-0.21105891540197225</c:v>
                </c:pt>
              </c:numCache>
            </c:numRef>
          </c:xVal>
          <c:yVal>
            <c:numRef>
              <c:f>('Solid-Liquid Extraction'!$B$19,'Solid-Liquid Extraction'!$Q$36)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2.159029441307418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A2F-4E0F-9BEF-1ED5CD4594AE}"/>
            </c:ext>
          </c:extLst>
        </c:ser>
        <c:ser>
          <c:idx val="15"/>
          <c:order val="14"/>
          <c:tx>
            <c:v>op_L10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Extraction'!$A$19,'Solid-Liquid Extraction'!$P$37)</c:f>
              <c:numCache>
                <c:formatCode>0.00000</c:formatCode>
                <c:ptCount val="2"/>
                <c:pt idx="0">
                  <c:v>-0.31863037935360561</c:v>
                </c:pt>
                <c:pt idx="1">
                  <c:v>-0.23828111870757024</c:v>
                </c:pt>
              </c:numCache>
            </c:numRef>
          </c:xVal>
          <c:yVal>
            <c:numRef>
              <c:f>('Solid-Liquid Extraction'!$B$19,'Solid-Liquid Extraction'!$Q$37)</c:f>
              <c:numCache>
                <c:formatCode>0.00000</c:formatCode>
                <c:ptCount val="2"/>
                <c:pt idx="0">
                  <c:v>-6.3726075870721202</c:v>
                </c:pt>
                <c:pt idx="1">
                  <c:v>2.1748118336789162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A2F-4E0F-9BEF-1ED5CD4594AE}"/>
            </c:ext>
          </c:extLst>
        </c:ser>
        <c:ser>
          <c:idx val="21"/>
          <c:order val="15"/>
          <c:tx>
            <c:v>d1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Extraction'!$P$28,'Solid-Liquid Extraction'!$P$28)</c:f>
              <c:numCache>
                <c:formatCode>0.00000</c:formatCode>
                <c:ptCount val="2"/>
                <c:pt idx="0">
                  <c:v>0.60145555538194295</c:v>
                </c:pt>
                <c:pt idx="1">
                  <c:v>0.60145555538194295</c:v>
                </c:pt>
              </c:numCache>
            </c:numRef>
          </c:xVal>
          <c:yVal>
            <c:numRef>
              <c:f>('Solid-Liquid Extraction'!$M$27,'Solid-Liquid Extraction'!$Q$28)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1.687964625521726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A2F-4E0F-9BEF-1ED5CD4594AE}"/>
            </c:ext>
          </c:extLst>
        </c:ser>
        <c:ser>
          <c:idx val="22"/>
          <c:order val="16"/>
          <c:tx>
            <c:v>d2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Extraction'!$P$29,'Solid-Liquid Extraction'!$P$29)</c:f>
              <c:numCache>
                <c:formatCode>0.00000</c:formatCode>
                <c:ptCount val="2"/>
                <c:pt idx="0">
                  <c:v>0.40878033713289913</c:v>
                </c:pt>
                <c:pt idx="1">
                  <c:v>0.40878033713289913</c:v>
                </c:pt>
              </c:numCache>
            </c:numRef>
          </c:xVal>
          <c:yVal>
            <c:numRef>
              <c:f>('Solid-Liquid Extraction'!$M$27,'Solid-Liquid Extraction'!$Q$29)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1.7996703482559759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A2F-4E0F-9BEF-1ED5CD4594AE}"/>
            </c:ext>
          </c:extLst>
        </c:ser>
        <c:ser>
          <c:idx val="23"/>
          <c:order val="17"/>
          <c:tx>
            <c:v>d3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Extraction'!$P$30,'Solid-Liquid Extraction'!$P$30)</c:f>
              <c:numCache>
                <c:formatCode>0.00000</c:formatCode>
                <c:ptCount val="2"/>
                <c:pt idx="0">
                  <c:v>0.248592503603001</c:v>
                </c:pt>
                <c:pt idx="1">
                  <c:v>0.248592503603001</c:v>
                </c:pt>
              </c:numCache>
            </c:numRef>
          </c:xVal>
          <c:yVal>
            <c:numRef>
              <c:f>('Solid-Liquid Extraction'!$M$27,'Solid-Liquid Extraction'!$Q$30)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1.8925411278004531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A2F-4E0F-9BEF-1ED5CD4594AE}"/>
            </c:ext>
          </c:extLst>
        </c:ser>
        <c:ser>
          <c:idx val="24"/>
          <c:order val="18"/>
          <c:tx>
            <c:v>d4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Extraction'!$P$31,'Solid-Liquid Extraction'!$P$31)</c:f>
              <c:numCache>
                <c:formatCode>0.00000</c:formatCode>
                <c:ptCount val="2"/>
                <c:pt idx="0">
                  <c:v>0.11871067429081408</c:v>
                </c:pt>
                <c:pt idx="1">
                  <c:v>0.11871067429081408</c:v>
                </c:pt>
              </c:numCache>
            </c:numRef>
          </c:xVal>
          <c:yVal>
            <c:numRef>
              <c:f>('Solid-Liquid Extraction'!$M$27,'Solid-Liquid Extraction'!$Q$31)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1.9678416451436394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A2F-4E0F-9BEF-1ED5CD4594AE}"/>
            </c:ext>
          </c:extLst>
        </c:ser>
        <c:ser>
          <c:idx val="25"/>
          <c:order val="19"/>
          <c:tx>
            <c:v>d5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Extraction'!$P$32,'Solid-Liquid Extraction'!$P$32)</c:f>
              <c:numCache>
                <c:formatCode>0.00000</c:formatCode>
                <c:ptCount val="2"/>
                <c:pt idx="0">
                  <c:v>1.5524633043986429E-2</c:v>
                </c:pt>
                <c:pt idx="1">
                  <c:v>1.5524633043986429E-2</c:v>
                </c:pt>
              </c:numCache>
            </c:numRef>
          </c:xVal>
          <c:yVal>
            <c:numRef>
              <c:f>('Solid-Liquid Extraction'!$M$27,'Solid-Liquid Extraction'!$Q$32)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2.0276649655390231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A2F-4E0F-9BEF-1ED5CD4594AE}"/>
            </c:ext>
          </c:extLst>
        </c:ser>
        <c:ser>
          <c:idx val="26"/>
          <c:order val="20"/>
          <c:tx>
            <c:v>d6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Extraction'!$P$33,'Solid-Liquid Extraction'!$P$33)</c:f>
              <c:numCache>
                <c:formatCode>0.00000</c:formatCode>
                <c:ptCount val="2"/>
                <c:pt idx="0">
                  <c:v>-6.5133989334551043E-2</c:v>
                </c:pt>
                <c:pt idx="1">
                  <c:v>-6.5133989334551043E-2</c:v>
                </c:pt>
              </c:numCache>
            </c:numRef>
          </c:xVal>
          <c:yVal>
            <c:numRef>
              <c:f>('Solid-Liquid Extraction'!$M$27,'Solid-Liquid Extraction'!$Q$33)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2.0744277500290216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A2F-4E0F-9BEF-1ED5CD4594AE}"/>
            </c:ext>
          </c:extLst>
        </c:ser>
        <c:ser>
          <c:idx val="27"/>
          <c:order val="21"/>
          <c:tx>
            <c:v>d7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Extraction'!$P$34,'Solid-Liquid Extraction'!$P$34)</c:f>
              <c:numCache>
                <c:formatCode>0.00000</c:formatCode>
                <c:ptCount val="2"/>
                <c:pt idx="0">
                  <c:v>-0.12738777720235125</c:v>
                </c:pt>
                <c:pt idx="1">
                  <c:v>-0.12738777720235125</c:v>
                </c:pt>
              </c:numCache>
            </c:numRef>
          </c:xVal>
          <c:yVal>
            <c:numRef>
              <c:f>('Solid-Liquid Extraction'!$M$27,'Solid-Liquid Extraction'!$Q$34)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2.1105201153571289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A2F-4E0F-9BEF-1ED5CD4594AE}"/>
            </c:ext>
          </c:extLst>
        </c:ser>
        <c:ser>
          <c:idx val="28"/>
          <c:order val="22"/>
          <c:tx>
            <c:v>d8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Extraction'!$P$35,'Solid-Liquid Extraction'!$P$35)</c:f>
              <c:numCache>
                <c:formatCode>0.00000</c:formatCode>
                <c:ptCount val="2"/>
                <c:pt idx="0">
                  <c:v>-0.17496708673436279</c:v>
                </c:pt>
                <c:pt idx="1">
                  <c:v>-0.17496708673436279</c:v>
                </c:pt>
              </c:numCache>
            </c:numRef>
          </c:xVal>
          <c:yVal>
            <c:numRef>
              <c:f>('Solid-Liquid Extraction'!$M$27,'Solid-Liquid Extraction'!$Q$35)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2.138104779367215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A2F-4E0F-9BEF-1ED5CD4594AE}"/>
            </c:ext>
          </c:extLst>
        </c:ser>
        <c:ser>
          <c:idx val="29"/>
          <c:order val="23"/>
          <c:tx>
            <c:v>d9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Extraction'!$P$36,'Solid-Liquid Extraction'!$P$36)</c:f>
              <c:numCache>
                <c:formatCode>0.00000</c:formatCode>
                <c:ptCount val="2"/>
                <c:pt idx="0">
                  <c:v>-0.21105891540197225</c:v>
                </c:pt>
                <c:pt idx="1">
                  <c:v>-0.21105891540197225</c:v>
                </c:pt>
              </c:numCache>
            </c:numRef>
          </c:xVal>
          <c:yVal>
            <c:numRef>
              <c:f>('Solid-Liquid Extraction'!$M$27,'Solid-Liquid Extraction'!$Q$36)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2.159029441307418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A2F-4E0F-9BEF-1ED5CD4594AE}"/>
            </c:ext>
          </c:extLst>
        </c:ser>
        <c:ser>
          <c:idx val="30"/>
          <c:order val="24"/>
          <c:tx>
            <c:v>d10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('Solid-Liquid Extraction'!$P$37,'Solid-Liquid Extraction'!$P$37)</c:f>
              <c:numCache>
                <c:formatCode>0.00000</c:formatCode>
                <c:ptCount val="2"/>
                <c:pt idx="0">
                  <c:v>-0.23828111870757024</c:v>
                </c:pt>
                <c:pt idx="1">
                  <c:v>-0.23828111870757024</c:v>
                </c:pt>
              </c:numCache>
            </c:numRef>
          </c:xVal>
          <c:yVal>
            <c:numRef>
              <c:f>('Solid-Liquid Extraction'!$M$27,'Solid-Liquid Extraction'!$Q$37)</c:f>
              <c:numCache>
                <c:formatCode>0.00000</c:formatCode>
                <c:ptCount val="2"/>
                <c:pt idx="0" formatCode="General">
                  <c:v>0</c:v>
                </c:pt>
                <c:pt idx="1">
                  <c:v>2.1748118336789162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A2F-4E0F-9BEF-1ED5CD45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38496"/>
        <c:axId val="164940416"/>
      </c:scatterChart>
      <c:valAx>
        <c:axId val="1649384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ya, xa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940416"/>
        <c:crosses val="autoZero"/>
        <c:crossBetween val="midCat"/>
      </c:valAx>
      <c:valAx>
        <c:axId val="164940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</a:t>
                </a:r>
              </a:p>
            </c:rich>
          </c:tx>
          <c:layout>
            <c:manualLayout>
              <c:xMode val="edge"/>
              <c:yMode val="edge"/>
              <c:x val="1.7094017094017103E-2"/>
              <c:y val="0.4505464765017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493849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86" footer="0.314960620000002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9525</xdr:rowOff>
    </xdr:from>
    <xdr:to>
      <xdr:col>19</xdr:col>
      <xdr:colOff>9525</xdr:colOff>
      <xdr:row>22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7FE935-EBD7-48C6-8446-331D4DCF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10</xdr:col>
      <xdr:colOff>286509</xdr:colOff>
      <xdr:row>12</xdr:row>
      <xdr:rowOff>123825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1A53F791-450D-4208-B5A9-8CEF4FBD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609601" y="190500"/>
          <a:ext cx="5772908" cy="22193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18</xdr:col>
      <xdr:colOff>581025</xdr:colOff>
      <xdr:row>19</xdr:row>
      <xdr:rowOff>138696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573F8ABA-18C5-4AC0-83FB-3934322FF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05600" y="190500"/>
          <a:ext cx="4848225" cy="3567696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showGridLines="0" tabSelected="1" workbookViewId="0">
      <selection activeCell="H17" sqref="H17"/>
    </sheetView>
  </sheetViews>
  <sheetFormatPr defaultRowHeight="15" x14ac:dyDescent="0.25"/>
  <cols>
    <col min="1" max="1" width="12.5703125" customWidth="1"/>
    <col min="2" max="2" width="9.5703125" bestFit="1" customWidth="1"/>
    <col min="3" max="3" width="9" customWidth="1"/>
    <col min="6" max="6" width="9.140625" customWidth="1"/>
    <col min="9" max="9" width="9.140625" customWidth="1"/>
    <col min="10" max="10" width="8.140625" customWidth="1"/>
    <col min="14" max="14" width="9.140625" customWidth="1"/>
    <col min="15" max="15" width="9.5703125" bestFit="1" customWidth="1"/>
  </cols>
  <sheetData>
    <row r="1" spans="1:19" x14ac:dyDescent="0.25">
      <c r="A1" s="33" t="s">
        <v>4</v>
      </c>
      <c r="B1" s="33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2" t="s">
        <v>43</v>
      </c>
      <c r="B2" s="27">
        <v>2000</v>
      </c>
      <c r="C2" s="11" t="s">
        <v>41</v>
      </c>
      <c r="E2" s="35" t="s">
        <v>52</v>
      </c>
      <c r="F2" s="35"/>
      <c r="G2" s="35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12" t="s">
        <v>42</v>
      </c>
      <c r="B3" s="28">
        <v>120</v>
      </c>
      <c r="C3" s="11" t="s">
        <v>44</v>
      </c>
      <c r="E3" s="36" t="s">
        <v>53</v>
      </c>
      <c r="F3" s="36"/>
      <c r="G3" s="36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2" t="s">
        <v>11</v>
      </c>
      <c r="B4" s="27">
        <v>800</v>
      </c>
      <c r="C4" s="11" t="s">
        <v>44</v>
      </c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 s="12" t="s">
        <v>10</v>
      </c>
      <c r="B5" s="27">
        <v>50</v>
      </c>
      <c r="C5" s="11" t="s">
        <v>45</v>
      </c>
      <c r="L5" s="11"/>
      <c r="M5" s="11"/>
      <c r="N5" s="11"/>
      <c r="O5" s="11"/>
      <c r="P5" s="11"/>
      <c r="Q5" s="11"/>
      <c r="R5" s="11"/>
      <c r="S5" s="11"/>
    </row>
    <row r="6" spans="1:19" x14ac:dyDescent="0.25">
      <c r="A6" s="8" t="s">
        <v>15</v>
      </c>
      <c r="B6" s="9">
        <f>B4+B5</f>
        <v>850</v>
      </c>
      <c r="C6" s="11" t="s">
        <v>41</v>
      </c>
      <c r="E6" s="34" t="s">
        <v>51</v>
      </c>
      <c r="F6" s="34"/>
      <c r="H6" s="32" t="s">
        <v>26</v>
      </c>
      <c r="I6" s="32"/>
      <c r="J6" s="11"/>
      <c r="L6" s="11"/>
      <c r="M6" s="11"/>
      <c r="N6" s="11"/>
      <c r="O6" s="11"/>
      <c r="P6" s="11"/>
      <c r="Q6" s="11"/>
      <c r="R6" s="11"/>
      <c r="S6" s="11"/>
    </row>
    <row r="7" spans="1:19" x14ac:dyDescent="0.25">
      <c r="A7" s="8" t="s">
        <v>34</v>
      </c>
      <c r="B7" s="10">
        <f>B4/Lo.</f>
        <v>0.94117647058823528</v>
      </c>
      <c r="C7" s="11"/>
      <c r="E7" s="14" t="s">
        <v>28</v>
      </c>
      <c r="F7" s="15">
        <f>(NM-Nn)/(yaM-xan)</f>
        <v>-4.0718841408414912</v>
      </c>
      <c r="H7" s="14" t="s">
        <v>22</v>
      </c>
      <c r="I7" s="15">
        <f>B/LA</f>
        <v>16.666666666666668</v>
      </c>
      <c r="J7" s="11"/>
      <c r="L7" s="11"/>
      <c r="M7" s="11"/>
      <c r="N7" s="11"/>
      <c r="O7" s="11"/>
      <c r="P7" s="11"/>
      <c r="Q7" s="11"/>
      <c r="R7" s="11"/>
      <c r="S7" s="11"/>
    </row>
    <row r="8" spans="1:19" x14ac:dyDescent="0.25">
      <c r="A8" s="8" t="s">
        <v>35</v>
      </c>
      <c r="B8" s="10">
        <f>B5/Lo.</f>
        <v>5.8823529411764705E-2</v>
      </c>
      <c r="C8" s="11"/>
      <c r="E8" s="14" t="s">
        <v>29</v>
      </c>
      <c r="F8" s="15">
        <f>(Nn*yaM-NM*xan)/(yaM-xan)</f>
        <v>2.4490573373807445</v>
      </c>
      <c r="H8" s="14" t="s">
        <v>30</v>
      </c>
      <c r="I8" s="14">
        <f>B./(slope_n-A.)</f>
        <v>0.11809201906692973</v>
      </c>
      <c r="J8" s="11"/>
      <c r="L8" s="11"/>
      <c r="M8" s="11"/>
      <c r="N8" s="11"/>
      <c r="O8" s="11"/>
      <c r="P8" s="11"/>
      <c r="Q8" s="11"/>
      <c r="R8" s="11"/>
      <c r="S8" s="11"/>
    </row>
    <row r="9" spans="1:19" x14ac:dyDescent="0.25">
      <c r="A9" s="8" t="s">
        <v>24</v>
      </c>
      <c r="B9" s="8">
        <f>B/Lo.</f>
        <v>2.3529411764705883</v>
      </c>
      <c r="C9" s="11"/>
      <c r="E9" s="14" t="s">
        <v>31</v>
      </c>
      <c r="F9" s="15">
        <f>-F8/F7</f>
        <v>0.60145555538194295</v>
      </c>
      <c r="H9" s="14" t="s">
        <v>21</v>
      </c>
      <c r="I9" s="15">
        <f>slope_n*xan</f>
        <v>1.9682003177821623</v>
      </c>
      <c r="J9" s="11"/>
      <c r="L9" s="11"/>
      <c r="M9" s="11"/>
      <c r="N9" s="11"/>
      <c r="O9" s="11"/>
      <c r="P9" s="11"/>
      <c r="Q9" s="11"/>
      <c r="R9" s="11"/>
      <c r="S9" s="11"/>
    </row>
    <row r="10" spans="1:19" x14ac:dyDescent="0.25">
      <c r="A10" s="12" t="s">
        <v>9</v>
      </c>
      <c r="B10" s="27">
        <v>20</v>
      </c>
      <c r="C10" s="11" t="s">
        <v>44</v>
      </c>
      <c r="H10" s="14" t="s">
        <v>20</v>
      </c>
      <c r="I10" s="14">
        <f>Lo.+Vn_1.</f>
        <v>2180</v>
      </c>
      <c r="J10" s="11" t="s">
        <v>41</v>
      </c>
      <c r="L10" s="11"/>
      <c r="M10" s="11"/>
      <c r="N10" s="11"/>
      <c r="O10" s="11"/>
      <c r="P10" s="11"/>
      <c r="Q10" s="11"/>
      <c r="R10" s="11"/>
      <c r="S10" s="11"/>
    </row>
    <row r="11" spans="1:19" x14ac:dyDescent="0.25">
      <c r="A11" s="12" t="s">
        <v>8</v>
      </c>
      <c r="B11" s="27">
        <v>1310</v>
      </c>
      <c r="C11" s="11" t="s">
        <v>45</v>
      </c>
      <c r="H11" s="14" t="s">
        <v>27</v>
      </c>
      <c r="I11" s="15">
        <f>(B4+B10)/M</f>
        <v>0.37614678899082571</v>
      </c>
      <c r="J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25">
      <c r="A12" s="8" t="s">
        <v>16</v>
      </c>
      <c r="B12" s="9">
        <f>B10+B11</f>
        <v>1330</v>
      </c>
      <c r="C12" s="11" t="s">
        <v>41</v>
      </c>
      <c r="H12" s="14" t="s">
        <v>23</v>
      </c>
      <c r="I12" s="15">
        <f>B/M</f>
        <v>0.91743119266055051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 s="8" t="s">
        <v>18</v>
      </c>
      <c r="B13" s="10">
        <f>B10/Vn_1.</f>
        <v>1.5037593984962405E-2</v>
      </c>
      <c r="C13" s="11"/>
      <c r="D13" s="11"/>
      <c r="E13" s="11"/>
      <c r="F13" s="11"/>
      <c r="G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 s="8" t="s">
        <v>19</v>
      </c>
      <c r="B14" s="10">
        <f>B11/Vn_1.</f>
        <v>0.98496240601503759</v>
      </c>
      <c r="C14" s="11"/>
      <c r="G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 s="8" t="s">
        <v>25</v>
      </c>
      <c r="B15" s="8">
        <v>0</v>
      </c>
      <c r="C15" s="11"/>
      <c r="G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 s="11"/>
      <c r="B16" s="11"/>
      <c r="C16" s="11"/>
      <c r="E16" s="26" t="s">
        <v>32</v>
      </c>
      <c r="F16" s="6">
        <f>M*(yaM-xan)/(ya1.-xan)</f>
        <v>1163.8432694423752</v>
      </c>
      <c r="G16" s="11" t="s">
        <v>41</v>
      </c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31" t="s">
        <v>17</v>
      </c>
      <c r="B17" s="31"/>
      <c r="C17" s="11"/>
      <c r="E17" s="26" t="s">
        <v>33</v>
      </c>
      <c r="F17" s="6">
        <f>M-V1.</f>
        <v>1016.1567305576248</v>
      </c>
      <c r="G17" s="11" t="s">
        <v>41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15.75" thickBot="1" x14ac:dyDescent="0.3">
      <c r="A18" s="8" t="s">
        <v>12</v>
      </c>
      <c r="B18" s="8" t="s">
        <v>13</v>
      </c>
      <c r="C18" s="11"/>
      <c r="E18" s="11"/>
      <c r="F18" s="11"/>
      <c r="G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ht="15.75" thickBot="1" x14ac:dyDescent="0.3">
      <c r="A19" s="23">
        <f>(Lo.*xao-V1.*ya1.)/(Lo.-V1.)</f>
        <v>-0.31863037935360561</v>
      </c>
      <c r="B19" s="23">
        <f>B/(Lo.-V1.)</f>
        <v>-6.3726075870721202</v>
      </c>
      <c r="C19" s="11"/>
      <c r="E19" s="2" t="s">
        <v>1</v>
      </c>
      <c r="F19" s="7">
        <f>AVERAGE(R49,S49)</f>
        <v>4</v>
      </c>
      <c r="G19" s="11">
        <f>LN((xan-yan_1)/(ya1.-yan_1))/LN((ya1.-yan_1)/(1-xan))</f>
        <v>4.2611309406753941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5">
      <c r="A20" s="11"/>
      <c r="B20" s="11"/>
      <c r="C20" s="11"/>
      <c r="D20" s="11"/>
      <c r="E20" s="11"/>
      <c r="F20" s="11"/>
      <c r="G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5">
      <c r="A21" s="11"/>
      <c r="B21" s="11"/>
      <c r="C21" s="11"/>
      <c r="D21" s="11"/>
      <c r="E21" s="11"/>
      <c r="F21" s="11"/>
      <c r="G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5">
      <c r="A22" s="11"/>
      <c r="B22" s="11"/>
      <c r="C22" s="11"/>
      <c r="D22" s="11"/>
      <c r="E22" s="11"/>
      <c r="F22" s="11"/>
      <c r="G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5">
      <c r="A23" s="11"/>
      <c r="B23" s="11"/>
      <c r="C23" s="11"/>
      <c r="D23" s="11"/>
      <c r="E23" s="11"/>
      <c r="F23" s="11"/>
      <c r="G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5">
      <c r="A24" s="11"/>
      <c r="B24" s="11"/>
      <c r="C24" s="11"/>
      <c r="D24" s="11"/>
      <c r="E24" s="11"/>
      <c r="F24" s="11"/>
      <c r="G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A25" s="11"/>
      <c r="B25" s="11"/>
      <c r="C25" s="11"/>
      <c r="D25" s="11"/>
      <c r="E25" s="11"/>
      <c r="F25" s="11"/>
      <c r="G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5">
      <c r="A26" s="11"/>
      <c r="B26" s="11"/>
      <c r="C26" s="11"/>
      <c r="D26" s="11"/>
      <c r="E26" s="11"/>
      <c r="F26" s="11"/>
      <c r="G26" s="11"/>
      <c r="K26" s="11"/>
      <c r="L26" s="11"/>
      <c r="M26" s="11"/>
      <c r="N26" s="5" t="s">
        <v>2</v>
      </c>
      <c r="O26" s="11" t="s">
        <v>6</v>
      </c>
      <c r="P26" s="11"/>
      <c r="Q26" s="11"/>
      <c r="R26" s="11"/>
      <c r="S26" s="11"/>
    </row>
    <row r="27" spans="1:19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"/>
      <c r="L27" s="11"/>
      <c r="M27" s="16">
        <v>0</v>
      </c>
      <c r="N27" s="25" t="s">
        <v>39</v>
      </c>
      <c r="O27" s="25" t="s">
        <v>40</v>
      </c>
      <c r="P27" s="25" t="s">
        <v>37</v>
      </c>
      <c r="Q27" s="25" t="s">
        <v>7</v>
      </c>
      <c r="R27" s="25" t="s">
        <v>0</v>
      </c>
      <c r="S27" s="25" t="s">
        <v>36</v>
      </c>
    </row>
    <row r="28" spans="1:19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6">
        <v>1</v>
      </c>
      <c r="N28" s="17">
        <f>(NM-Nn)/(yaM-xan)</f>
        <v>-4.0718841408414912</v>
      </c>
      <c r="O28" s="17">
        <f>(Nn*yaM-NM*xan)/(yaM-xan)</f>
        <v>2.4490573373807445</v>
      </c>
      <c r="P28" s="15">
        <f>-O28/N28</f>
        <v>0.60145555538194295</v>
      </c>
      <c r="Q28" s="18">
        <f t="shared" ref="Q28:Q47" si="0">A.*P28+B.</f>
        <v>1.687964625521726</v>
      </c>
      <c r="R28" s="18">
        <f>SQRT((P28-xan-(xan-xao)))</f>
        <v>1.1429995572336495</v>
      </c>
      <c r="S28" s="18">
        <f t="shared" ref="S28:S42" si="1">SQRT(Nn-Q28+0.01)</f>
        <v>0.53873527103804553</v>
      </c>
    </row>
    <row r="29" spans="1:19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6">
        <v>2</v>
      </c>
      <c r="N29" s="17">
        <f t="shared" ref="N29:N42" si="2">(Nd-Q28)/(yad-P28)</f>
        <v>8.7606732244098691</v>
      </c>
      <c r="O29" s="19">
        <f>Q28-N29*P28</f>
        <v>-3.5811909541854288</v>
      </c>
      <c r="P29" s="15">
        <f t="shared" ref="P29:P42" si="3">-O29/N29</f>
        <v>0.40878033713289913</v>
      </c>
      <c r="Q29" s="18">
        <f t="shared" si="0"/>
        <v>1.7996703482559759</v>
      </c>
      <c r="R29" s="18">
        <f t="shared" ref="R29:R42" si="4">SQRT((P29-xan-(xan-P28)))</f>
        <v>0.87980216775192288</v>
      </c>
      <c r="S29" s="18">
        <f t="shared" si="1"/>
        <v>0.42252806951276783</v>
      </c>
    </row>
    <row r="30" spans="1:19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6">
        <v>3</v>
      </c>
      <c r="N30" s="17">
        <f t="shared" si="2"/>
        <v>11.234750533785563</v>
      </c>
      <c r="O30" s="19">
        <f t="shared" ref="O30:O42" si="5">Q29-N30*P29</f>
        <v>-2.7928747625489052</v>
      </c>
      <c r="P30" s="15">
        <f t="shared" si="3"/>
        <v>0.248592503603001</v>
      </c>
      <c r="Q30" s="18">
        <f t="shared" si="0"/>
        <v>1.8925411278004531</v>
      </c>
      <c r="R30" s="18">
        <f t="shared" si="4"/>
        <v>0.64899060286112054</v>
      </c>
      <c r="S30" s="18">
        <f t="shared" si="1"/>
        <v>0.29267591288267841</v>
      </c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6">
        <v>4</v>
      </c>
      <c r="N31" s="17">
        <f t="shared" si="2"/>
        <v>14.571254022389061</v>
      </c>
      <c r="O31" s="19">
        <f t="shared" si="5"/>
        <v>-1.7297633902605425</v>
      </c>
      <c r="P31" s="15">
        <f t="shared" si="3"/>
        <v>0.11871067429081408</v>
      </c>
      <c r="Q31" s="18">
        <f t="shared" si="0"/>
        <v>1.9678416451436394</v>
      </c>
      <c r="R31" s="18">
        <f t="shared" si="4"/>
        <v>0.36210376932580474</v>
      </c>
      <c r="S31" s="18">
        <f t="shared" si="1"/>
        <v>0.10177756451459703</v>
      </c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20"/>
      <c r="L32" s="21"/>
      <c r="M32" s="16">
        <v>5</v>
      </c>
      <c r="N32" s="17">
        <f t="shared" si="2"/>
        <v>19.070812499109596</v>
      </c>
      <c r="O32" s="19">
        <f t="shared" si="5"/>
        <v>-0.29606736589934624</v>
      </c>
      <c r="P32" s="15">
        <f t="shared" si="3"/>
        <v>1.5524633043986429E-2</v>
      </c>
      <c r="Q32" s="18">
        <f t="shared" si="0"/>
        <v>2.0276649655390231</v>
      </c>
      <c r="R32" s="18" t="e">
        <f t="shared" si="4"/>
        <v>#NUM!</v>
      </c>
      <c r="S32" s="18" t="e">
        <f t="shared" si="1"/>
        <v>#NUM!</v>
      </c>
    </row>
    <row r="33" spans="1:1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20"/>
      <c r="L33" s="21"/>
      <c r="M33" s="16">
        <v>6</v>
      </c>
      <c r="N33" s="17">
        <f t="shared" si="2"/>
        <v>25.13884945893356</v>
      </c>
      <c r="O33" s="19">
        <f t="shared" si="5"/>
        <v>1.6373935525410628</v>
      </c>
      <c r="P33" s="15">
        <f t="shared" si="3"/>
        <v>-6.5133989334551043E-2</v>
      </c>
      <c r="Q33" s="18">
        <f t="shared" si="0"/>
        <v>2.0744277500290216</v>
      </c>
      <c r="R33" s="18" t="e">
        <f t="shared" si="4"/>
        <v>#NUM!</v>
      </c>
      <c r="S33" s="18" t="e">
        <f t="shared" si="1"/>
        <v>#NUM!</v>
      </c>
    </row>
    <row r="34" spans="1:19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20"/>
      <c r="L34" s="21"/>
      <c r="M34" s="16">
        <v>7</v>
      </c>
      <c r="N34" s="17">
        <f t="shared" si="2"/>
        <v>33.322112936070624</v>
      </c>
      <c r="O34" s="19">
        <f t="shared" si="5"/>
        <v>4.2448298986117514</v>
      </c>
      <c r="P34" s="15">
        <f t="shared" si="3"/>
        <v>-0.12738777720235125</v>
      </c>
      <c r="Q34" s="18">
        <f t="shared" si="0"/>
        <v>2.1105201153571289</v>
      </c>
      <c r="R34" s="18" t="e">
        <f t="shared" si="4"/>
        <v>#NUM!</v>
      </c>
      <c r="S34" s="18" t="e">
        <f t="shared" si="1"/>
        <v>#NUM!</v>
      </c>
    </row>
    <row r="35" spans="1:19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20"/>
      <c r="L35" s="21"/>
      <c r="M35" s="16">
        <v>8</v>
      </c>
      <c r="N35" s="17">
        <f t="shared" si="2"/>
        <v>44.357939115050932</v>
      </c>
      <c r="O35" s="19">
        <f t="shared" si="5"/>
        <v>7.7611793805006997</v>
      </c>
      <c r="P35" s="15">
        <f t="shared" si="3"/>
        <v>-0.17496708673436279</v>
      </c>
      <c r="Q35" s="18">
        <f t="shared" si="0"/>
        <v>2.138104779367215</v>
      </c>
      <c r="R35" s="18" t="e">
        <f t="shared" si="4"/>
        <v>#NUM!</v>
      </c>
      <c r="S35" s="18" t="e">
        <f t="shared" si="1"/>
        <v>#NUM!</v>
      </c>
    </row>
    <row r="36" spans="1:19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20"/>
      <c r="L36" s="21"/>
      <c r="M36" s="16">
        <v>9</v>
      </c>
      <c r="N36" s="17">
        <f t="shared" si="2"/>
        <v>59.24068849650866</v>
      </c>
      <c r="O36" s="19">
        <f t="shared" si="5"/>
        <v>12.503275461739213</v>
      </c>
      <c r="P36" s="15">
        <f t="shared" si="3"/>
        <v>-0.21105891540197225</v>
      </c>
      <c r="Q36" s="18">
        <f t="shared" si="0"/>
        <v>2.159029441307418</v>
      </c>
      <c r="R36" s="18" t="e">
        <f t="shared" si="4"/>
        <v>#NUM!</v>
      </c>
      <c r="S36" s="18" t="e">
        <f t="shared" si="1"/>
        <v>#NUM!</v>
      </c>
    </row>
    <row r="37" spans="1:19" x14ac:dyDescent="0.25">
      <c r="A37" s="11"/>
      <c r="B37" s="11"/>
      <c r="C37" s="11"/>
      <c r="D37" s="11"/>
      <c r="H37" s="11"/>
      <c r="I37" s="11"/>
      <c r="J37" s="11"/>
      <c r="K37" s="20"/>
      <c r="L37" s="21"/>
      <c r="M37" s="16">
        <v>10</v>
      </c>
      <c r="N37" s="17">
        <f t="shared" si="2"/>
        <v>79.311340712213067</v>
      </c>
      <c r="O37" s="19">
        <f t="shared" si="5"/>
        <v>18.898394991103391</v>
      </c>
      <c r="P37" s="15">
        <f t="shared" si="3"/>
        <v>-0.23828111870757024</v>
      </c>
      <c r="Q37" s="18">
        <f t="shared" si="0"/>
        <v>2.1748118336789162</v>
      </c>
      <c r="R37" s="18" t="e">
        <f t="shared" si="4"/>
        <v>#NUM!</v>
      </c>
      <c r="S37" s="18" t="e">
        <f t="shared" si="1"/>
        <v>#NUM!</v>
      </c>
    </row>
    <row r="38" spans="1:19" x14ac:dyDescent="0.25">
      <c r="A38" s="11"/>
      <c r="B38" s="11"/>
      <c r="C38" s="11"/>
      <c r="D38" s="11"/>
      <c r="H38" s="11"/>
      <c r="I38" s="11"/>
      <c r="J38" s="11"/>
      <c r="K38" s="20"/>
      <c r="L38" s="21"/>
      <c r="M38" s="16">
        <v>11</v>
      </c>
      <c r="N38" s="17">
        <f t="shared" si="2"/>
        <v>106.3783207465368</v>
      </c>
      <c r="O38" s="19">
        <f t="shared" si="5"/>
        <v>27.522757107396433</v>
      </c>
      <c r="P38" s="15">
        <f t="shared" si="3"/>
        <v>-0.25872524508986905</v>
      </c>
      <c r="Q38" s="18">
        <f t="shared" si="0"/>
        <v>2.1866645562758262</v>
      </c>
      <c r="R38" s="18" t="e">
        <f t="shared" si="4"/>
        <v>#NUM!</v>
      </c>
      <c r="S38" s="18" t="e">
        <f t="shared" si="1"/>
        <v>#NUM!</v>
      </c>
    </row>
    <row r="39" spans="1:19" x14ac:dyDescent="0.25">
      <c r="A39" s="11"/>
      <c r="B39" s="11"/>
      <c r="C39" s="11"/>
      <c r="D39" s="11"/>
      <c r="H39" s="11"/>
      <c r="I39" s="11"/>
      <c r="J39" s="11"/>
      <c r="K39" s="20"/>
      <c r="L39" s="21"/>
      <c r="M39" s="16">
        <v>12</v>
      </c>
      <c r="N39" s="17">
        <f t="shared" si="2"/>
        <v>142.88044336342108</v>
      </c>
      <c r="O39" s="19">
        <f t="shared" si="5"/>
        <v>39.153442284026099</v>
      </c>
      <c r="P39" s="15">
        <f t="shared" si="3"/>
        <v>-0.27402940082176286</v>
      </c>
      <c r="Q39" s="18">
        <f t="shared" si="0"/>
        <v>2.195537320466284</v>
      </c>
      <c r="R39" s="18" t="e">
        <f t="shared" si="4"/>
        <v>#NUM!</v>
      </c>
      <c r="S39" s="18" t="e">
        <f t="shared" si="1"/>
        <v>#NUM!</v>
      </c>
    </row>
    <row r="40" spans="1:19" x14ac:dyDescent="0.25">
      <c r="A40" s="11"/>
      <c r="B40" s="11"/>
      <c r="C40" s="11"/>
      <c r="D40" s="11"/>
      <c r="I40" s="11"/>
      <c r="J40" s="11"/>
      <c r="K40" s="20"/>
      <c r="L40" s="21"/>
      <c r="M40" s="16">
        <v>13</v>
      </c>
      <c r="N40" s="17">
        <f t="shared" si="2"/>
        <v>192.10665751248484</v>
      </c>
      <c r="O40" s="19">
        <f t="shared" si="5"/>
        <v>54.838409572484117</v>
      </c>
      <c r="P40" s="15">
        <f t="shared" si="3"/>
        <v>-0.28545814227661642</v>
      </c>
      <c r="Q40" s="18">
        <f t="shared" si="0"/>
        <v>2.2021632676729825</v>
      </c>
      <c r="R40" s="18" t="e">
        <f t="shared" si="4"/>
        <v>#NUM!</v>
      </c>
      <c r="S40" s="18" t="e">
        <f t="shared" si="1"/>
        <v>#NUM!</v>
      </c>
    </row>
    <row r="41" spans="1:19" x14ac:dyDescent="0.25">
      <c r="A41" s="11"/>
      <c r="B41" s="11"/>
      <c r="C41" s="11"/>
      <c r="D41" s="11"/>
      <c r="I41" s="11"/>
      <c r="J41" s="11"/>
      <c r="K41" s="20"/>
      <c r="L41" s="21"/>
      <c r="M41" s="16">
        <v>14</v>
      </c>
      <c r="N41" s="17">
        <f t="shared" si="2"/>
        <v>258.49239033363904</v>
      </c>
      <c r="O41" s="19">
        <f t="shared" si="5"/>
        <v>75.990920804955593</v>
      </c>
      <c r="P41" s="15">
        <f t="shared" si="3"/>
        <v>-0.29397739990284921</v>
      </c>
      <c r="Q41" s="18">
        <f t="shared" si="0"/>
        <v>2.2071024074281924</v>
      </c>
      <c r="R41" s="18" t="e">
        <f t="shared" si="4"/>
        <v>#NUM!</v>
      </c>
      <c r="S41" s="18" t="e">
        <f t="shared" si="1"/>
        <v>#NUM!</v>
      </c>
    </row>
    <row r="42" spans="1:19" x14ac:dyDescent="0.25">
      <c r="A42" s="11"/>
      <c r="B42" s="11"/>
      <c r="C42" s="11"/>
      <c r="D42" s="11"/>
      <c r="I42" s="11"/>
      <c r="J42" s="11"/>
      <c r="K42" s="20"/>
      <c r="L42" s="21"/>
      <c r="M42" s="16">
        <v>15</v>
      </c>
      <c r="N42" s="17">
        <f t="shared" si="2"/>
        <v>348.01919222940302</v>
      </c>
      <c r="O42" s="19">
        <f t="shared" si="5"/>
        <v>104.51687965531796</v>
      </c>
      <c r="P42" s="15">
        <f t="shared" si="3"/>
        <v>-0.30031929844381633</v>
      </c>
      <c r="Q42" s="18">
        <f t="shared" si="0"/>
        <v>2.2107791976582174</v>
      </c>
      <c r="R42" s="18" t="e">
        <f t="shared" si="4"/>
        <v>#NUM!</v>
      </c>
      <c r="S42" s="18" t="e">
        <f t="shared" si="1"/>
        <v>#NUM!</v>
      </c>
    </row>
    <row r="43" spans="1:19" x14ac:dyDescent="0.25">
      <c r="A43" s="11"/>
      <c r="B43" s="11"/>
      <c r="C43" s="11"/>
      <c r="D43" s="11"/>
      <c r="I43" s="11"/>
      <c r="J43" s="11"/>
      <c r="K43" s="20"/>
      <c r="L43" s="21"/>
      <c r="M43" s="16">
        <v>16</v>
      </c>
      <c r="N43" s="17">
        <f t="shared" ref="N43:N47" si="6">(Nd-Q42)/(yad-P42)</f>
        <v>468.75369220511584</v>
      </c>
      <c r="O43" s="19">
        <f t="shared" ref="O43:O47" si="7">Q42-N43*P42</f>
        <v>142.98655918364722</v>
      </c>
      <c r="P43" s="15">
        <f t="shared" ref="P43:P47" si="8">-O43/N43</f>
        <v>-0.30503559024998483</v>
      </c>
      <c r="Q43" s="18">
        <f t="shared" si="0"/>
        <v>2.2135135232742535</v>
      </c>
      <c r="R43" s="18" t="e">
        <f t="shared" ref="R43:R47" si="9">SQRT((P43-xan-(xan-P42)))</f>
        <v>#NUM!</v>
      </c>
      <c r="S43" s="18" t="e">
        <f t="shared" ref="S43:S47" si="10">SQRT(Nn-Q43+0.01)</f>
        <v>#NUM!</v>
      </c>
    </row>
    <row r="44" spans="1:19" x14ac:dyDescent="0.25">
      <c r="A44" s="11"/>
      <c r="B44" s="11"/>
      <c r="C44" s="11"/>
      <c r="D44" s="11"/>
      <c r="E44" s="11"/>
      <c r="I44" s="11"/>
      <c r="J44" s="11"/>
      <c r="K44" s="20"/>
      <c r="L44" s="21"/>
      <c r="M44" s="16">
        <v>17</v>
      </c>
      <c r="N44" s="17">
        <f t="shared" si="6"/>
        <v>631.57442494342081</v>
      </c>
      <c r="O44" s="19">
        <f t="shared" si="7"/>
        <v>194.86619102268537</v>
      </c>
      <c r="P44" s="15">
        <f t="shared" si="8"/>
        <v>-0.30854034509098804</v>
      </c>
      <c r="Q44" s="18">
        <f t="shared" si="0"/>
        <v>2.2155454460927584</v>
      </c>
      <c r="R44" s="18" t="e">
        <f t="shared" si="9"/>
        <v>#NUM!</v>
      </c>
      <c r="S44" s="18" t="e">
        <f t="shared" si="10"/>
        <v>#NUM!</v>
      </c>
    </row>
    <row r="45" spans="1:19" x14ac:dyDescent="0.25">
      <c r="A45" s="11"/>
      <c r="B45" s="11"/>
      <c r="C45" s="11"/>
      <c r="D45" s="11"/>
      <c r="E45" s="11"/>
      <c r="I45" s="11"/>
      <c r="J45" s="11"/>
      <c r="K45" s="20"/>
      <c r="L45" s="21"/>
      <c r="M45" s="16">
        <v>18</v>
      </c>
      <c r="N45" s="17">
        <f t="shared" si="6"/>
        <v>851.1520188769839</v>
      </c>
      <c r="O45" s="19">
        <f t="shared" si="7"/>
        <v>264.83028307528849</v>
      </c>
      <c r="P45" s="15">
        <f t="shared" si="8"/>
        <v>-0.31114334126200804</v>
      </c>
      <c r="Q45" s="18">
        <f t="shared" si="0"/>
        <v>2.2170545637218995</v>
      </c>
      <c r="R45" s="18" t="e">
        <f t="shared" si="9"/>
        <v>#NUM!</v>
      </c>
      <c r="S45" s="18" t="e">
        <f t="shared" si="10"/>
        <v>#NUM!</v>
      </c>
    </row>
    <row r="46" spans="1:19" x14ac:dyDescent="0.25">
      <c r="A46" s="11"/>
      <c r="B46" s="11"/>
      <c r="C46" s="11"/>
      <c r="D46" s="11"/>
      <c r="E46" s="11"/>
      <c r="I46" s="11"/>
      <c r="J46" s="11"/>
      <c r="K46" s="20"/>
      <c r="L46" s="21"/>
      <c r="M46" s="16">
        <v>19</v>
      </c>
      <c r="N46" s="17">
        <f t="shared" si="6"/>
        <v>1147.2710630968861</v>
      </c>
      <c r="O46" s="19">
        <f t="shared" si="7"/>
        <v>359.1828064689031</v>
      </c>
      <c r="P46" s="15">
        <f t="shared" si="8"/>
        <v>-0.31307580049944167</v>
      </c>
      <c r="Q46" s="18">
        <f t="shared" si="0"/>
        <v>2.2181749296814335</v>
      </c>
      <c r="R46" s="18" t="e">
        <f t="shared" si="9"/>
        <v>#NUM!</v>
      </c>
      <c r="S46" s="18" t="e">
        <f t="shared" si="10"/>
        <v>#NUM!</v>
      </c>
    </row>
    <row r="47" spans="1:19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20"/>
      <c r="L47" s="21"/>
      <c r="M47" s="16">
        <v>20</v>
      </c>
      <c r="N47" s="17">
        <f t="shared" si="6"/>
        <v>1546.6127572054454</v>
      </c>
      <c r="O47" s="19">
        <f t="shared" si="7"/>
        <v>486.42520195442489</v>
      </c>
      <c r="P47" s="15">
        <f t="shared" si="8"/>
        <v>-0.31451001531459</v>
      </c>
      <c r="Q47" s="18">
        <f t="shared" si="0"/>
        <v>2.2190064325801364</v>
      </c>
      <c r="R47" s="18" t="e">
        <f t="shared" si="9"/>
        <v>#NUM!</v>
      </c>
      <c r="S47" s="18" t="e">
        <f t="shared" si="10"/>
        <v>#NUM!</v>
      </c>
    </row>
    <row r="48" spans="1:19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20"/>
      <c r="L48" s="21"/>
      <c r="M48" s="11"/>
      <c r="N48" s="11"/>
      <c r="O48" s="11"/>
      <c r="P48" s="11"/>
      <c r="Q48" s="11"/>
      <c r="R48" s="11"/>
      <c r="S48" s="11"/>
    </row>
    <row r="49" spans="1:19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20"/>
      <c r="L49" s="21"/>
      <c r="M49" s="11"/>
      <c r="N49" s="11"/>
      <c r="O49" s="11"/>
      <c r="P49" s="11"/>
      <c r="Q49" s="11"/>
      <c r="R49" s="22">
        <f>COUNT(R28:R47)</f>
        <v>4</v>
      </c>
      <c r="S49" s="22">
        <f>COUNT(S28:S47)</f>
        <v>4</v>
      </c>
    </row>
    <row r="50" spans="1:19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20"/>
      <c r="L50" s="21"/>
    </row>
    <row r="51" spans="1:19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20"/>
      <c r="L51" s="21"/>
    </row>
    <row r="52" spans="1:19" x14ac:dyDescent="0.25">
      <c r="K52" s="4"/>
      <c r="L52" s="3"/>
    </row>
    <row r="53" spans="1:19" x14ac:dyDescent="0.25">
      <c r="K53" s="4"/>
      <c r="L53" s="3"/>
    </row>
    <row r="54" spans="1:19" x14ac:dyDescent="0.25">
      <c r="K54" s="4"/>
      <c r="L54" s="3"/>
    </row>
    <row r="55" spans="1:19" x14ac:dyDescent="0.25">
      <c r="K55" s="4"/>
      <c r="L55" s="3"/>
    </row>
    <row r="56" spans="1:19" x14ac:dyDescent="0.25">
      <c r="K56" s="4"/>
      <c r="L56" s="3"/>
    </row>
    <row r="57" spans="1:19" x14ac:dyDescent="0.25">
      <c r="K57" s="4"/>
      <c r="L57" s="3"/>
    </row>
  </sheetData>
  <sheetProtection algorithmName="SHA-512" hashValue="6qP0dL1YsfXUlh9egmFvVh0JvL/mv2Vn2KipnmBdVWo04xnKyjyPxAMMkEoroYazgAtwRdMeZetrYGVlcdF/dw==" saltValue="ssiPikBd8MOcc/m+CAwgpQ==" spinCount="100000" sheet="1" objects="1" scenarios="1"/>
  <mergeCells count="6">
    <mergeCell ref="A17:B17"/>
    <mergeCell ref="H6:I6"/>
    <mergeCell ref="A1:B1"/>
    <mergeCell ref="E6:F6"/>
    <mergeCell ref="E2:G2"/>
    <mergeCell ref="E3:G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showGridLines="0" workbookViewId="0">
      <selection activeCell="H12" sqref="H12"/>
    </sheetView>
  </sheetViews>
  <sheetFormatPr defaultRowHeight="15" x14ac:dyDescent="0.25"/>
  <sheetData>
    <row r="2" spans="2:8" x14ac:dyDescent="0.25">
      <c r="B2" s="37" t="s">
        <v>3</v>
      </c>
      <c r="C2" s="37"/>
      <c r="D2" s="11"/>
      <c r="E2" s="11"/>
    </row>
    <row r="3" spans="2:8" x14ac:dyDescent="0.25">
      <c r="B3" s="12" t="s">
        <v>38</v>
      </c>
      <c r="C3" s="12" t="s">
        <v>7</v>
      </c>
      <c r="D3" s="14" t="s">
        <v>14</v>
      </c>
      <c r="E3" s="14" t="s">
        <v>46</v>
      </c>
      <c r="G3" s="38" t="s">
        <v>5</v>
      </c>
      <c r="H3" s="38"/>
    </row>
    <row r="4" spans="2:8" x14ac:dyDescent="0.25">
      <c r="B4" s="29">
        <v>0</v>
      </c>
      <c r="C4" s="29">
        <v>2</v>
      </c>
      <c r="D4" s="13">
        <f t="shared" ref="D4:D11" si="0">A.*B4+B.</f>
        <v>2.0366655540429424</v>
      </c>
      <c r="E4" s="13">
        <f t="shared" ref="E4:E11" si="1">(D4-C4)^2</f>
        <v>1.3443628532759269E-3</v>
      </c>
      <c r="G4" s="34" t="s">
        <v>50</v>
      </c>
      <c r="H4" s="34"/>
    </row>
    <row r="5" spans="2:8" x14ac:dyDescent="0.25">
      <c r="B5" s="29">
        <v>0.1</v>
      </c>
      <c r="C5" s="29">
        <v>1.98</v>
      </c>
      <c r="D5" s="13">
        <f t="shared" si="0"/>
        <v>1.9786893785132675</v>
      </c>
      <c r="E5" s="13">
        <f t="shared" si="1"/>
        <v>1.7177286814847617E-6</v>
      </c>
      <c r="G5" s="24" t="s">
        <v>48</v>
      </c>
      <c r="H5" s="30">
        <v>-0.579761755296749</v>
      </c>
    </row>
    <row r="6" spans="2:8" x14ac:dyDescent="0.25">
      <c r="B6" s="29">
        <v>0.2</v>
      </c>
      <c r="C6" s="29">
        <v>1.94</v>
      </c>
      <c r="D6" s="13">
        <f t="shared" si="0"/>
        <v>1.9207132029835925</v>
      </c>
      <c r="E6" s="13">
        <f t="shared" si="1"/>
        <v>3.7198053915210344E-4</v>
      </c>
      <c r="G6" s="24" t="s">
        <v>49</v>
      </c>
      <c r="H6" s="30">
        <v>2.0366655540429424</v>
      </c>
    </row>
    <row r="7" spans="2:8" x14ac:dyDescent="0.25">
      <c r="B7" s="29">
        <v>0.3</v>
      </c>
      <c r="C7" s="29">
        <v>1.89</v>
      </c>
      <c r="D7" s="13">
        <f t="shared" si="0"/>
        <v>1.8627370274539177</v>
      </c>
      <c r="E7" s="13">
        <f t="shared" si="1"/>
        <v>7.4326967204843347E-4</v>
      </c>
    </row>
    <row r="8" spans="2:8" x14ac:dyDescent="0.25">
      <c r="B8" s="29">
        <v>0.4</v>
      </c>
      <c r="C8" s="29">
        <v>1.82</v>
      </c>
      <c r="D8" s="13">
        <f t="shared" si="0"/>
        <v>1.8047608519242426</v>
      </c>
      <c r="E8" s="13">
        <f t="shared" si="1"/>
        <v>2.3223163407486155E-4</v>
      </c>
    </row>
    <row r="9" spans="2:8" x14ac:dyDescent="0.25">
      <c r="B9" s="29">
        <v>0.5</v>
      </c>
      <c r="C9" s="29">
        <v>1.75</v>
      </c>
      <c r="D9" s="13">
        <f t="shared" si="0"/>
        <v>1.7467846763945678</v>
      </c>
      <c r="E9" s="13">
        <f t="shared" si="1"/>
        <v>1.0338305887649499E-5</v>
      </c>
    </row>
    <row r="10" spans="2:8" x14ac:dyDescent="0.25">
      <c r="B10" s="29">
        <v>0.6</v>
      </c>
      <c r="C10" s="29">
        <v>1.68</v>
      </c>
      <c r="D10" s="13">
        <f t="shared" si="0"/>
        <v>1.688808500864893</v>
      </c>
      <c r="E10" s="13">
        <f t="shared" si="1"/>
        <v>7.7589687486821491E-5</v>
      </c>
    </row>
    <row r="11" spans="2:8" x14ac:dyDescent="0.25">
      <c r="B11" s="29">
        <v>0.7</v>
      </c>
      <c r="C11" s="29">
        <v>1.61</v>
      </c>
      <c r="D11" s="13">
        <f t="shared" si="0"/>
        <v>1.6308323253352182</v>
      </c>
      <c r="E11" s="13">
        <f t="shared" si="1"/>
        <v>4.3398577887236825E-4</v>
      </c>
    </row>
    <row r="12" spans="2:8" x14ac:dyDescent="0.25">
      <c r="B12" s="11"/>
      <c r="C12" s="11"/>
      <c r="D12" s="13" t="s">
        <v>47</v>
      </c>
      <c r="E12" s="30">
        <f>SUM(E4:E11)</f>
        <v>3.215476199479649E-3</v>
      </c>
    </row>
  </sheetData>
  <mergeCells count="3">
    <mergeCell ref="B2:C2"/>
    <mergeCell ref="G4:H4"/>
    <mergeCell ref="G3:H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23" sqref="C23"/>
    </sheetView>
  </sheetViews>
  <sheetFormatPr defaultRowHeight="15" x14ac:dyDescent="0.25"/>
  <sheetData/>
  <sheetProtection algorithmName="SHA-512" hashValue="PvOR3RVls3+XOhAnK5BGL+2bSlwRmYhgTb5DbPATxXOV1y5IkSg2J7bMW1OWleC6CXs++rgrjgf/smutEBPw0w==" saltValue="JSXhYiC1Z2ps7wOxVONDp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39" t="s">
        <v>54</v>
      </c>
      <c r="C3" s="40"/>
      <c r="D3" s="40"/>
      <c r="E3" s="41"/>
    </row>
    <row r="4" spans="2:5" x14ac:dyDescent="0.25">
      <c r="B4" s="42" t="s">
        <v>55</v>
      </c>
      <c r="C4" s="43" t="s">
        <v>56</v>
      </c>
      <c r="D4" s="43"/>
      <c r="E4" s="44"/>
    </row>
    <row r="5" spans="2:5" ht="15.75" thickBot="1" x14ac:dyDescent="0.3">
      <c r="B5" s="45" t="s">
        <v>57</v>
      </c>
      <c r="C5" s="46">
        <v>2017</v>
      </c>
      <c r="D5" s="47"/>
      <c r="E5" s="48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55</vt:i4>
      </vt:variant>
    </vt:vector>
  </HeadingPairs>
  <TitlesOfParts>
    <vt:vector size="59" baseType="lpstr">
      <vt:lpstr>Solid-Liquid Extraction</vt:lpstr>
      <vt:lpstr>Equilibrium</vt:lpstr>
      <vt:lpstr>Figures</vt:lpstr>
      <vt:lpstr>Credits</vt:lpstr>
      <vt:lpstr>A.</vt:lpstr>
      <vt:lpstr>B</vt:lpstr>
      <vt:lpstr>B.</vt:lpstr>
      <vt:lpstr>const1</vt:lpstr>
      <vt:lpstr>const10</vt:lpstr>
      <vt:lpstr>const11</vt:lpstr>
      <vt:lpstr>const12</vt:lpstr>
      <vt:lpstr>const13</vt:lpstr>
      <vt:lpstr>const14</vt:lpstr>
      <vt:lpstr>const15</vt:lpstr>
      <vt:lpstr>const16</vt:lpstr>
      <vt:lpstr>const17</vt:lpstr>
      <vt:lpstr>const18</vt:lpstr>
      <vt:lpstr>const19</vt:lpstr>
      <vt:lpstr>const2</vt:lpstr>
      <vt:lpstr>const20</vt:lpstr>
      <vt:lpstr>const4</vt:lpstr>
      <vt:lpstr>const5</vt:lpstr>
      <vt:lpstr>const6</vt:lpstr>
      <vt:lpstr>const7</vt:lpstr>
      <vt:lpstr>const8</vt:lpstr>
      <vt:lpstr>const9</vt:lpstr>
      <vt:lpstr>LA</vt:lpstr>
      <vt:lpstr>Ln.</vt:lpstr>
      <vt:lpstr>Lo.</vt:lpstr>
      <vt:lpstr>M</vt:lpstr>
      <vt:lpstr>Nd</vt:lpstr>
      <vt:lpstr>NM</vt:lpstr>
      <vt:lpstr>Nn</vt:lpstr>
      <vt:lpstr>Nn_1</vt:lpstr>
      <vt:lpstr>No</vt:lpstr>
      <vt:lpstr>slope_n</vt:lpstr>
      <vt:lpstr>V1.</vt:lpstr>
      <vt:lpstr>V1_</vt:lpstr>
      <vt:lpstr>Vn_1.</vt:lpstr>
      <vt:lpstr>xan</vt:lpstr>
      <vt:lpstr>xao</vt:lpstr>
      <vt:lpstr>xco</vt:lpstr>
      <vt:lpstr>ya1.</vt:lpstr>
      <vt:lpstr>ya1_</vt:lpstr>
      <vt:lpstr>ya10.</vt:lpstr>
      <vt:lpstr>ya2.</vt:lpstr>
      <vt:lpstr>ya3.</vt:lpstr>
      <vt:lpstr>ya4.</vt:lpstr>
      <vt:lpstr>ya5.</vt:lpstr>
      <vt:lpstr>ya6.</vt:lpstr>
      <vt:lpstr>ya7.</vt:lpstr>
      <vt:lpstr>ya8.</vt:lpstr>
      <vt:lpstr>ya9.</vt:lpstr>
      <vt:lpstr>yad</vt:lpstr>
      <vt:lpstr>yaM</vt:lpstr>
      <vt:lpstr>yan_1</vt:lpstr>
      <vt:lpstr>yao</vt:lpstr>
      <vt:lpstr>ycn_1</vt:lpstr>
      <vt:lpstr>yco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2017-03-27T03:44:52Z</dcterms:modified>
</cp:coreProperties>
</file>