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FZeO9DmrvMcItvxmET9iSexHFh0kZu8Gp17QnCxpoCNl/+tvD6fXCfnVjDuGoA4RxpNnMYB/xlbh8JR/lOrs6A==" workbookSaltValue="fQcctfV4UEma66TBsUJNhA==" workbookSpinCount="100000" lockStructure="1"/>
  <bookViews>
    <workbookView xWindow="360" yWindow="300" windowWidth="18735" windowHeight="11700"/>
  </bookViews>
  <sheets>
    <sheet name="Absorption_packed" sheetId="1" r:id="rId1"/>
    <sheet name="Equilibrium" sheetId="4" r:id="rId2"/>
    <sheet name="Operation" sheetId="5" r:id="rId3"/>
    <sheet name="Credits" sheetId="7" r:id="rId4"/>
  </sheets>
  <definedNames>
    <definedName name="A.">Operation!$C$3</definedName>
    <definedName name="B.">Operation!$C$4</definedName>
    <definedName name="C.">Operation!$C$5</definedName>
    <definedName name="D.">Equilibrium!$R$3</definedName>
    <definedName name="E.">Equilibrium!$R$4</definedName>
    <definedName name="F.">Equilibrium!$R$5</definedName>
    <definedName name="k_x.a">Absorption_packed!#REF!</definedName>
    <definedName name="k_y.a">Absorption_packed!$E$6</definedName>
    <definedName name="L.">Absorption_packed!$B$6</definedName>
    <definedName name="m">Absorption_packed!$C$22</definedName>
    <definedName name="MM.a">Absorption_packed!#REF!</definedName>
    <definedName name="MM.b">Absorption_packed!#REF!</definedName>
    <definedName name="MM.c">Absorption_packed!#REF!</definedName>
    <definedName name="MM_a">Absorption_packed!$E$7</definedName>
    <definedName name="MM_b">Absorption_packed!$E$8</definedName>
    <definedName name="MM_c">Absorption_packed!$E$9</definedName>
    <definedName name="S">Absorption_packed!$E$2</definedName>
    <definedName name="solver_adj" localSheetId="0" hidden="1">Operation!$C$3:$C$5</definedName>
    <definedName name="solver_adj" localSheetId="1" hidden="1">Equilibrium!$R$3:$R$5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Operation!$F$9</definedName>
    <definedName name="solver_opt" localSheetId="1" hidden="1">Equilibrium!$O$19</definedName>
    <definedName name="solver_pre" localSheetId="0" hidden="1">0.000001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1" hidden="1">3</definedName>
    <definedName name="V.">Absorption_packed!$B$2</definedName>
    <definedName name="x1.">Absorption_packed!$B$9</definedName>
    <definedName name="x2.">Absorption_packed!$B$7</definedName>
    <definedName name="y1.">Absorption_packed!$B$3</definedName>
    <definedName name="y2.">Absorption_packed!$B$4</definedName>
  </definedNames>
  <calcPr calcId="171027"/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C5" i="5"/>
  <c r="B2" i="1" l="1"/>
  <c r="E23" i="1" l="1"/>
  <c r="B33" i="1"/>
  <c r="B15" i="1"/>
  <c r="B14" i="1"/>
  <c r="F23" i="1" l="1"/>
  <c r="H23" i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4" i="4"/>
  <c r="O4" i="4" s="1"/>
  <c r="O19" i="4" l="1"/>
  <c r="E24" i="1"/>
  <c r="C36" i="1" s="1"/>
  <c r="F24" i="1"/>
  <c r="H24" i="1"/>
  <c r="C33" i="1"/>
  <c r="G23" i="1"/>
  <c r="I23" i="1"/>
  <c r="B36" i="1"/>
  <c r="I24" i="1" l="1"/>
  <c r="G24" i="1"/>
  <c r="B39" i="1"/>
  <c r="F25" i="1"/>
  <c r="H25" i="1"/>
  <c r="E25" i="1"/>
  <c r="H26" i="1" l="1"/>
  <c r="B42" i="1"/>
  <c r="E26" i="1"/>
  <c r="F26" i="1"/>
  <c r="I25" i="1"/>
  <c r="C39" i="1"/>
  <c r="G25" i="1"/>
  <c r="F27" i="1" l="1"/>
  <c r="B45" i="1"/>
  <c r="E27" i="1"/>
  <c r="H27" i="1"/>
  <c r="J27" i="1" s="1"/>
  <c r="I26" i="1"/>
  <c r="K26" i="1" s="1"/>
  <c r="M26" i="1" s="1"/>
  <c r="C42" i="1"/>
  <c r="G26" i="1"/>
  <c r="K24" i="1"/>
  <c r="M24" i="1" s="1"/>
  <c r="J25" i="1"/>
  <c r="J26" i="1"/>
  <c r="K25" i="1"/>
  <c r="M25" i="1" s="1"/>
  <c r="J23" i="1"/>
  <c r="K23" i="1"/>
  <c r="M23" i="1" s="1"/>
  <c r="J24" i="1"/>
  <c r="B8" i="1"/>
  <c r="B9" i="1" s="1"/>
  <c r="B24" i="1" l="1"/>
  <c r="C24" i="1" s="1"/>
  <c r="E5" i="5" s="1"/>
  <c r="F5" i="5" s="1"/>
  <c r="B27" i="1"/>
  <c r="C27" i="1" s="1"/>
  <c r="B26" i="1"/>
  <c r="C26" i="1" s="1"/>
  <c r="E7" i="5" s="1"/>
  <c r="F7" i="5" s="1"/>
  <c r="B23" i="1"/>
  <c r="C23" i="1" s="1"/>
  <c r="E4" i="5" s="1"/>
  <c r="F4" i="5" s="1"/>
  <c r="B25" i="1"/>
  <c r="C25" i="1" s="1"/>
  <c r="E6" i="5" s="1"/>
  <c r="F6" i="5" s="1"/>
  <c r="E8" i="5"/>
  <c r="F8" i="5" s="1"/>
  <c r="B12" i="1"/>
  <c r="G27" i="1"/>
  <c r="C45" i="1"/>
  <c r="I27" i="1"/>
  <c r="K27" i="1" s="1"/>
  <c r="M27" i="1" s="1"/>
  <c r="L26" i="1"/>
  <c r="L24" i="1"/>
  <c r="L23" i="1"/>
  <c r="L25" i="1"/>
  <c r="F9" i="5" l="1"/>
  <c r="D33" i="1"/>
  <c r="E33" i="1" s="1"/>
  <c r="D36" i="1"/>
  <c r="E36" i="1" s="1"/>
  <c r="D42" i="1"/>
  <c r="E42" i="1" s="1"/>
  <c r="D39" i="1"/>
  <c r="E39" i="1" s="1"/>
  <c r="L27" i="1"/>
  <c r="F33" i="1" l="1"/>
  <c r="F36" i="1"/>
  <c r="C37" i="1" s="1"/>
  <c r="O24" i="1" s="1"/>
  <c r="F39" i="1"/>
  <c r="C40" i="1" s="1"/>
  <c r="F42" i="1"/>
  <c r="G42" i="1" s="1"/>
  <c r="B43" i="1" s="1"/>
  <c r="N26" i="1" s="1"/>
  <c r="D45" i="1"/>
  <c r="E45" i="1" s="1"/>
  <c r="G33" i="1" l="1"/>
  <c r="C34" i="1"/>
  <c r="O23" i="1" s="1"/>
  <c r="F45" i="1"/>
  <c r="C46" i="1" s="1"/>
  <c r="G36" i="1"/>
  <c r="B37" i="1" s="1"/>
  <c r="N24" i="1" s="1"/>
  <c r="G39" i="1"/>
  <c r="B40" i="1" s="1"/>
  <c r="N25" i="1" s="1"/>
  <c r="C43" i="1"/>
  <c r="O26" i="1" s="1"/>
  <c r="O25" i="1"/>
  <c r="B34" i="1" l="1"/>
  <c r="D34" i="1" s="1"/>
  <c r="E34" i="1" s="1"/>
  <c r="G45" i="1"/>
  <c r="B46" i="1" s="1"/>
  <c r="N27" i="1" s="1"/>
  <c r="D37" i="1"/>
  <c r="E37" i="1" s="1"/>
  <c r="D40" i="1"/>
  <c r="E40" i="1" s="1"/>
  <c r="D43" i="1"/>
  <c r="E43" i="1" s="1"/>
  <c r="O27" i="1"/>
  <c r="N23" i="1" l="1"/>
  <c r="F37" i="1"/>
  <c r="G37" i="1" s="1"/>
  <c r="P24" i="1" s="1"/>
  <c r="D14" i="1" s="1"/>
  <c r="D46" i="1"/>
  <c r="E46" i="1" s="1"/>
  <c r="F40" i="1"/>
  <c r="G40" i="1" s="1"/>
  <c r="P25" i="1" s="1"/>
  <c r="D15" i="1" s="1"/>
  <c r="F43" i="1"/>
  <c r="G43" i="1" s="1"/>
  <c r="P26" i="1" s="1"/>
  <c r="D16" i="1" s="1"/>
  <c r="F34" i="1"/>
  <c r="G34" i="1" s="1"/>
  <c r="Q24" i="1" l="1"/>
  <c r="G14" i="1" s="1"/>
  <c r="F46" i="1"/>
  <c r="G46" i="1" s="1"/>
  <c r="P27" i="1" s="1"/>
  <c r="D17" i="1" s="1"/>
  <c r="Q25" i="1"/>
  <c r="G15" i="1" s="1"/>
  <c r="Q26" i="1"/>
  <c r="G16" i="1" s="1"/>
  <c r="P23" i="1"/>
  <c r="D13" i="1" s="1"/>
  <c r="E14" i="1" s="1"/>
  <c r="Q23" i="1"/>
  <c r="G13" i="1" s="1"/>
  <c r="H14" i="1" l="1"/>
  <c r="H15" i="1" s="1"/>
  <c r="H16" i="1" s="1"/>
  <c r="E15" i="1"/>
  <c r="E16" i="1" s="1"/>
  <c r="E17" i="1" s="1"/>
  <c r="Q27" i="1"/>
  <c r="G17" i="1" s="1"/>
  <c r="H17" i="1" l="1"/>
</calcChain>
</file>

<file path=xl/sharedStrings.xml><?xml version="1.0" encoding="utf-8"?>
<sst xmlns="http://schemas.openxmlformats.org/spreadsheetml/2006/main" count="92" uniqueCount="75">
  <si>
    <t>Initial Data:</t>
  </si>
  <si>
    <t>V.</t>
  </si>
  <si>
    <t>S</t>
  </si>
  <si>
    <t>m²</t>
  </si>
  <si>
    <t>y1.</t>
  </si>
  <si>
    <t>P</t>
  </si>
  <si>
    <t>atm</t>
  </si>
  <si>
    <t>y2.</t>
  </si>
  <si>
    <t>T</t>
  </si>
  <si>
    <t>K</t>
  </si>
  <si>
    <t>k'y.a</t>
  </si>
  <si>
    <t>L.</t>
  </si>
  <si>
    <t>k'x.a</t>
  </si>
  <si>
    <t>x2.</t>
  </si>
  <si>
    <t>x1/(1-x1)</t>
  </si>
  <si>
    <t>x1.</t>
  </si>
  <si>
    <t>kmol/s</t>
  </si>
  <si>
    <t>d</t>
  </si>
  <si>
    <t>mm</t>
  </si>
  <si>
    <t>Gy</t>
  </si>
  <si>
    <t>Gx</t>
  </si>
  <si>
    <t>y</t>
  </si>
  <si>
    <t>L</t>
  </si>
  <si>
    <t>V</t>
  </si>
  <si>
    <t>xai</t>
  </si>
  <si>
    <t>yai</t>
  </si>
  <si>
    <t>f(y)</t>
  </si>
  <si>
    <t>kg/kmol</t>
  </si>
  <si>
    <t>MM_a</t>
  </si>
  <si>
    <t>MM_b</t>
  </si>
  <si>
    <t>MM_c</t>
  </si>
  <si>
    <t>kg/s</t>
  </si>
  <si>
    <t>my</t>
  </si>
  <si>
    <t>mx</t>
  </si>
  <si>
    <t>kg/m².s</t>
  </si>
  <si>
    <t>(1-ya)iM</t>
  </si>
  <si>
    <t>(1-xa)iM</t>
  </si>
  <si>
    <t>slope</t>
  </si>
  <si>
    <t>y(0)</t>
  </si>
  <si>
    <t>y'</t>
  </si>
  <si>
    <t>E</t>
  </si>
  <si>
    <t>SE</t>
  </si>
  <si>
    <t>A.</t>
  </si>
  <si>
    <t>B.</t>
  </si>
  <si>
    <t>C.</t>
  </si>
  <si>
    <t>Iterations (1):</t>
  </si>
  <si>
    <t>Iterations (2):</t>
  </si>
  <si>
    <t>Iterations (3):</t>
  </si>
  <si>
    <t>Iterations (4):</t>
  </si>
  <si>
    <t>Iterations (5):</t>
  </si>
  <si>
    <t>yeq</t>
  </si>
  <si>
    <t>xeq</t>
  </si>
  <si>
    <t>yeq'</t>
  </si>
  <si>
    <t>D.</t>
  </si>
  <si>
    <t>E.</t>
  </si>
  <si>
    <t>F.</t>
  </si>
  <si>
    <t>Equilibrium Curve:</t>
  </si>
  <si>
    <t>f(x)</t>
  </si>
  <si>
    <t>Absorption Packed Tower</t>
  </si>
  <si>
    <t>Concentrated mixture</t>
  </si>
  <si>
    <t>Operating Curve:</t>
  </si>
  <si>
    <t>kmol/s.m³.mf</t>
  </si>
  <si>
    <t>x1*</t>
  </si>
  <si>
    <t>x2*</t>
  </si>
  <si>
    <t>y1*</t>
  </si>
  <si>
    <t>y2*</t>
  </si>
  <si>
    <t>Coefficients:</t>
  </si>
  <si>
    <t>x/(1-x)</t>
  </si>
  <si>
    <t>xop</t>
  </si>
  <si>
    <t>z (m)</t>
  </si>
  <si>
    <t>Lucas Joshua Pires</t>
  </si>
  <si>
    <t>ChemEng Brasil</t>
  </si>
  <si>
    <t>Autor:</t>
  </si>
  <si>
    <t>Ano:</t>
  </si>
  <si>
    <t>Operation curve: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</si>
</sst>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"/>
    <numFmt numFmtId="166" formatCode="0.000000"/>
    <numFmt numFmtId="167" formatCode="0.0000000"/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2" fontId="0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168" fontId="2" fillId="7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4" fontId="2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11" fontId="0" fillId="4" borderId="2" xfId="0" applyNumberFormat="1" applyFill="1" applyBorder="1" applyAlignment="1" applyProtection="1">
      <alignment horizontal="center"/>
      <protection locked="0"/>
    </xf>
    <xf numFmtId="167" fontId="0" fillId="3" borderId="2" xfId="0" applyNumberFormat="1" applyFill="1" applyBorder="1" applyAlignment="1" applyProtection="1">
      <alignment horizontal="center"/>
      <protection locked="0"/>
    </xf>
    <xf numFmtId="167" fontId="0" fillId="3" borderId="2" xfId="0" applyNumberFormat="1" applyFont="1" applyFill="1" applyBorder="1" applyAlignment="1" applyProtection="1">
      <alignment horizontal="center"/>
      <protection locked="0"/>
    </xf>
    <xf numFmtId="11" fontId="0" fillId="0" borderId="2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 wrapText="1"/>
    </xf>
    <xf numFmtId="0" fontId="2" fillId="0" borderId="11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3" xfId="0" applyFont="1" applyBorder="1"/>
    <xf numFmtId="0" fontId="0" fillId="0" borderId="14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Absorption_packed!$C$23:$C$27</c:f>
              <c:numCache>
                <c:formatCode>0.000000</c:formatCode>
                <c:ptCount val="5"/>
                <c:pt idx="0">
                  <c:v>6.4535843600327637E-19</c:v>
                </c:pt>
                <c:pt idx="1">
                  <c:v>7.6296960701417976E-4</c:v>
                </c:pt>
                <c:pt idx="2">
                  <c:v>1.6017477774625346E-3</c:v>
                </c:pt>
                <c:pt idx="3">
                  <c:v>2.528223657238779E-3</c:v>
                </c:pt>
                <c:pt idx="4">
                  <c:v>3.5569096465060046E-3</c:v>
                </c:pt>
              </c:numCache>
            </c:numRef>
          </c:xVal>
          <c:yVal>
            <c:numRef>
              <c:f>Absorption_packed!$A$23:$A$27</c:f>
              <c:numCache>
                <c:formatCode>0.00</c:formatCode>
                <c:ptCount val="5"/>
                <c:pt idx="0">
                  <c:v>0.02</c:v>
                </c:pt>
                <c:pt idx="1">
                  <c:v>6.5000000000000002E-2</c:v>
                </c:pt>
                <c:pt idx="2">
                  <c:v>0.11000000000000001</c:v>
                </c:pt>
                <c:pt idx="3">
                  <c:v>0.15500000000000003</c:v>
                </c:pt>
                <c:pt idx="4">
                  <c:v>0.20000000000000004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3-44BE-A96B-96BFA9FF39EB}"/>
            </c:ext>
          </c:extLst>
        </c:ser>
        <c:ser>
          <c:idx val="2"/>
          <c:order val="1"/>
          <c:tx>
            <c:v>yeq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Equilibrium!$M$4:$M$16</c:f>
              <c:numCache>
                <c:formatCode>0.0000000</c:formatCode>
                <c:ptCount val="13"/>
                <c:pt idx="0">
                  <c:v>0</c:v>
                </c:pt>
                <c:pt idx="1">
                  <c:v>5.6199999999999997E-5</c:v>
                </c:pt>
                <c:pt idx="2">
                  <c:v>1.403E-4</c:v>
                </c:pt>
                <c:pt idx="3">
                  <c:v>2.7999999999999998E-4</c:v>
                </c:pt>
                <c:pt idx="4">
                  <c:v>4.2200000000000001E-4</c:v>
                </c:pt>
                <c:pt idx="5">
                  <c:v>5.6400000000000005E-4</c:v>
                </c:pt>
                <c:pt idx="6">
                  <c:v>8.4199999999999998E-4</c:v>
                </c:pt>
                <c:pt idx="7">
                  <c:v>1.403E-3</c:v>
                </c:pt>
                <c:pt idx="8">
                  <c:v>1.9650000000000002E-3</c:v>
                </c:pt>
                <c:pt idx="9">
                  <c:v>2.7899999999999999E-3</c:v>
                </c:pt>
                <c:pt idx="10">
                  <c:v>4.1999999999999997E-3</c:v>
                </c:pt>
                <c:pt idx="11">
                  <c:v>6.9800000000000001E-3</c:v>
                </c:pt>
                <c:pt idx="12">
                  <c:v>1.3849999999999999E-2</c:v>
                </c:pt>
              </c:numCache>
            </c:numRef>
          </c:xVal>
          <c:yVal>
            <c:numRef>
              <c:f>Equilibrium!$L$4:$L$16</c:f>
              <c:numCache>
                <c:formatCode>0.0000000</c:formatCode>
                <c:ptCount val="13"/>
                <c:pt idx="0">
                  <c:v>0</c:v>
                </c:pt>
                <c:pt idx="1">
                  <c:v>6.5799999999999995E-4</c:v>
                </c:pt>
                <c:pt idx="2">
                  <c:v>1.58E-3</c:v>
                </c:pt>
                <c:pt idx="3">
                  <c:v>4.2100000000000002E-3</c:v>
                </c:pt>
                <c:pt idx="4">
                  <c:v>7.6299999999999996E-3</c:v>
                </c:pt>
                <c:pt idx="5">
                  <c:v>1.12E-2</c:v>
                </c:pt>
                <c:pt idx="6">
                  <c:v>1.8550000000000001E-2</c:v>
                </c:pt>
                <c:pt idx="7">
                  <c:v>3.4200000000000001E-2</c:v>
                </c:pt>
                <c:pt idx="8">
                  <c:v>5.1299999999999998E-2</c:v>
                </c:pt>
                <c:pt idx="9">
                  <c:v>7.7499999999999999E-2</c:v>
                </c:pt>
                <c:pt idx="10">
                  <c:v>0.121</c:v>
                </c:pt>
                <c:pt idx="11">
                  <c:v>0.21199999999999999</c:v>
                </c:pt>
                <c:pt idx="12">
                  <c:v>0.443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3-44BE-A96B-96BFA9FF39EB}"/>
            </c:ext>
          </c:extLst>
        </c:ser>
        <c:ser>
          <c:idx val="3"/>
          <c:order val="2"/>
          <c:tx>
            <c:v>yeq'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Equilibrium!$M$9:$M$16</c:f>
              <c:numCache>
                <c:formatCode>0.0000000</c:formatCode>
                <c:ptCount val="8"/>
                <c:pt idx="0">
                  <c:v>5.6400000000000005E-4</c:v>
                </c:pt>
                <c:pt idx="1">
                  <c:v>8.4199999999999998E-4</c:v>
                </c:pt>
                <c:pt idx="2">
                  <c:v>1.403E-3</c:v>
                </c:pt>
                <c:pt idx="3">
                  <c:v>1.9650000000000002E-3</c:v>
                </c:pt>
                <c:pt idx="4">
                  <c:v>2.7899999999999999E-3</c:v>
                </c:pt>
                <c:pt idx="5">
                  <c:v>4.1999999999999997E-3</c:v>
                </c:pt>
                <c:pt idx="6">
                  <c:v>6.9800000000000001E-3</c:v>
                </c:pt>
                <c:pt idx="7">
                  <c:v>1.3849999999999999E-2</c:v>
                </c:pt>
              </c:numCache>
            </c:numRef>
          </c:xVal>
          <c:yVal>
            <c:numRef>
              <c:f>Equilibrium!$N$9:$N$16</c:f>
              <c:numCache>
                <c:formatCode>General</c:formatCode>
                <c:ptCount val="8"/>
                <c:pt idx="0">
                  <c:v>5.7091413234232405E-3</c:v>
                </c:pt>
                <c:pt idx="1">
                  <c:v>1.4766641493155448E-2</c:v>
                </c:pt>
                <c:pt idx="2">
                  <c:v>3.3049943956011088E-2</c:v>
                </c:pt>
                <c:pt idx="3">
                  <c:v>5.1373074322933962E-2</c:v>
                </c:pt>
                <c:pt idx="4">
                  <c:v>7.828402985643923E-2</c:v>
                </c:pt>
                <c:pt idx="5">
                  <c:v>0.12431343696887741</c:v>
                </c:pt>
                <c:pt idx="6">
                  <c:v>0.21520002647709352</c:v>
                </c:pt>
                <c:pt idx="7">
                  <c:v>0.44056129298246477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03-44BE-A96B-96BFA9FF39EB}"/>
            </c:ext>
          </c:extLst>
        </c:ser>
        <c:ser>
          <c:idx val="4"/>
          <c:order val="3"/>
          <c:tx>
            <c:v>i1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(Absorption_packed!$C$23,Absorption_packed!$Q$23)</c:f>
              <c:numCache>
                <c:formatCode>0.0000</c:formatCode>
                <c:ptCount val="2"/>
                <c:pt idx="0" formatCode="0.000000">
                  <c:v>6.4535843600327637E-19</c:v>
                </c:pt>
                <c:pt idx="1">
                  <c:v>5.7092918418113841E-4</c:v>
                </c:pt>
              </c:numCache>
            </c:numRef>
          </c:xVal>
          <c:yVal>
            <c:numRef>
              <c:f>(Absorption_packed!$A$23,Absorption_packed!$P$23)</c:f>
              <c:numCache>
                <c:formatCode>0.0000</c:formatCode>
                <c:ptCount val="2"/>
                <c:pt idx="0" formatCode="0.00">
                  <c:v>0.02</c:v>
                </c:pt>
                <c:pt idx="1">
                  <c:v>5.9348790896753094E-3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03-44BE-A96B-96BFA9FF39EB}"/>
            </c:ext>
          </c:extLst>
        </c:ser>
        <c:ser>
          <c:idx val="5"/>
          <c:order val="4"/>
          <c:tx>
            <c:v>i2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(Absorption_packed!$C$27,Absorption_packed!$Q$27)</c:f>
              <c:numCache>
                <c:formatCode>0.0000</c:formatCode>
                <c:ptCount val="2"/>
                <c:pt idx="0" formatCode="0.000000">
                  <c:v>3.5569096465060046E-3</c:v>
                </c:pt>
                <c:pt idx="1">
                  <c:v>5.5460534868126236E-3</c:v>
                </c:pt>
              </c:numCache>
            </c:numRef>
          </c:xVal>
          <c:yVal>
            <c:numRef>
              <c:f>(Absorption_packed!$A$27,Absorption_packed!$P$27)</c:f>
              <c:numCache>
                <c:formatCode>0.0000</c:formatCode>
                <c:ptCount val="2"/>
                <c:pt idx="0" formatCode="0.00">
                  <c:v>0.20000000000000004</c:v>
                </c:pt>
                <c:pt idx="1">
                  <c:v>0.16829785365130931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03-44BE-A96B-96BFA9FF39EB}"/>
            </c:ext>
          </c:extLst>
        </c:ser>
        <c:ser>
          <c:idx val="6"/>
          <c:order val="5"/>
          <c:tx>
            <c:v>y1</c:v>
          </c:tx>
          <c:spPr>
            <a:ln w="2540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(Absorption_packed!$B$9,Absorption_packed!$B$9)</c:f>
              <c:numCache>
                <c:formatCode>0.0000</c:formatCode>
                <c:ptCount val="2"/>
                <c:pt idx="0">
                  <c:v>3.5569096465060041E-3</c:v>
                </c:pt>
                <c:pt idx="1">
                  <c:v>3.5569096465060041E-3</c:v>
                </c:pt>
              </c:numCache>
            </c:numRef>
          </c:xVal>
          <c:yVal>
            <c:numRef>
              <c:f>(Absorption_packed!$B$3,Absorption_packed!$P$27)</c:f>
              <c:numCache>
                <c:formatCode>0.0000</c:formatCode>
                <c:ptCount val="2"/>
                <c:pt idx="0">
                  <c:v>0.2</c:v>
                </c:pt>
                <c:pt idx="1">
                  <c:v>0.16829785365130931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03-44BE-A96B-96BFA9FF39EB}"/>
            </c:ext>
          </c:extLst>
        </c:ser>
        <c:ser>
          <c:idx val="7"/>
          <c:order val="6"/>
          <c:tx>
            <c:v>x1</c:v>
          </c:tx>
          <c:spPr>
            <a:ln w="2540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(Absorption_packed!$B$9,Absorption_packed!$Q$27)</c:f>
              <c:numCache>
                <c:formatCode>0.0000</c:formatCode>
                <c:ptCount val="2"/>
                <c:pt idx="0">
                  <c:v>3.5569096465060041E-3</c:v>
                </c:pt>
                <c:pt idx="1">
                  <c:v>5.5460534868126236E-3</c:v>
                </c:pt>
              </c:numCache>
            </c:numRef>
          </c:xVal>
          <c:yVal>
            <c:numRef>
              <c:f>(Absorption_packed!$P$27,Absorption_packed!$P$27)</c:f>
              <c:numCache>
                <c:formatCode>0.0000</c:formatCode>
                <c:ptCount val="2"/>
                <c:pt idx="0">
                  <c:v>0.16829785365130931</c:v>
                </c:pt>
                <c:pt idx="1">
                  <c:v>0.16829785365130931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03-44BE-A96B-96BFA9FF39EB}"/>
            </c:ext>
          </c:extLst>
        </c:ser>
        <c:ser>
          <c:idx val="8"/>
          <c:order val="7"/>
          <c:tx>
            <c:v>y2</c:v>
          </c:tx>
          <c:spPr>
            <a:ln w="2540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(Absorption_packed!$B$7,Absorption_packed!$B$7)</c:f>
              <c:numCache>
                <c:formatCode>0.0000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(Absorption_packed!$B$4,Absorption_packed!$P$23)</c:f>
              <c:numCache>
                <c:formatCode>0.0000</c:formatCode>
                <c:ptCount val="2"/>
                <c:pt idx="0">
                  <c:v>0.02</c:v>
                </c:pt>
                <c:pt idx="1">
                  <c:v>5.9348790896753094E-3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03-44BE-A96B-96BFA9FF39EB}"/>
            </c:ext>
          </c:extLst>
        </c:ser>
        <c:ser>
          <c:idx val="9"/>
          <c:order val="8"/>
          <c:tx>
            <c:v>x2</c:v>
          </c:tx>
          <c:spPr>
            <a:ln w="2540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(Absorption_packed!$B$7,Absorption_packed!$Q$23)</c:f>
              <c:numCache>
                <c:formatCode>0.0000</c:formatCode>
                <c:ptCount val="2"/>
                <c:pt idx="0">
                  <c:v>0</c:v>
                </c:pt>
                <c:pt idx="1">
                  <c:v>5.7092918418113841E-4</c:v>
                </c:pt>
              </c:numCache>
            </c:numRef>
          </c:xVal>
          <c:yVal>
            <c:numRef>
              <c:f>(Absorption_packed!$P$23,Absorption_packed!$P$23)</c:f>
              <c:numCache>
                <c:formatCode>0.0000</c:formatCode>
                <c:ptCount val="2"/>
                <c:pt idx="0">
                  <c:v>5.9348790896753094E-3</c:v>
                </c:pt>
                <c:pt idx="1">
                  <c:v>5.9348790896753094E-3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03-44BE-A96B-96BFA9FF39EB}"/>
            </c:ext>
          </c:extLst>
        </c:ser>
        <c:ser>
          <c:idx val="10"/>
          <c:order val="9"/>
          <c:tx>
            <c:v>0.1</c:v>
          </c:tx>
          <c:spPr>
            <a:ln w="25400" cap="flat" cmpd="sng" algn="ctr">
              <a:solidFill>
                <a:schemeClr val="dk1"/>
              </a:solidFill>
              <a:prstDash val="sysDot"/>
            </a:ln>
            <a:effectLst/>
          </c:spPr>
          <c:marker>
            <c:symbol val="none"/>
          </c:marker>
          <c:xVal>
            <c:numRef>
              <c:f>(Absorption_packed!$B$9,Absorption_packed!$B$14)</c:f>
              <c:numCache>
                <c:formatCode>0.000000</c:formatCode>
                <c:ptCount val="2"/>
                <c:pt idx="0" formatCode="0.0000">
                  <c:v>3.5569096465060041E-3</c:v>
                </c:pt>
                <c:pt idx="1">
                  <c:v>6.5154454062843125E-3</c:v>
                </c:pt>
              </c:numCache>
            </c:numRef>
          </c:xVal>
          <c:yVal>
            <c:numRef>
              <c:f>(Absorption_packed!$B$3,Absorption_packed!$B$3)</c:f>
              <c:numCache>
                <c:formatCode>0.0000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03-44BE-A96B-96BFA9FF39EB}"/>
            </c:ext>
          </c:extLst>
        </c:ser>
        <c:ser>
          <c:idx val="11"/>
          <c:order val="10"/>
          <c:tx>
            <c:v>0.2</c:v>
          </c:tx>
          <c:spPr>
            <a:ln w="25400" cap="flat" cmpd="sng" algn="ctr">
              <a:solidFill>
                <a:schemeClr val="dk1"/>
              </a:solidFill>
              <a:prstDash val="sysDot"/>
            </a:ln>
            <a:effectLst/>
          </c:spPr>
          <c:marker>
            <c:symbol val="none"/>
          </c:marker>
          <c:xVal>
            <c:numRef>
              <c:f>(Absorption_packed!$B$7,Absorption_packed!$B$15)</c:f>
              <c:numCache>
                <c:formatCode>0.000000</c:formatCode>
                <c:ptCount val="2"/>
                <c:pt idx="0" formatCode="0.0000">
                  <c:v>0</c:v>
                </c:pt>
                <c:pt idx="1">
                  <c:v>1.0026016096930507E-3</c:v>
                </c:pt>
              </c:numCache>
            </c:numRef>
          </c:xVal>
          <c:yVal>
            <c:numRef>
              <c:f>(Absorption_packed!$B$4,Absorption_packed!$B$4)</c:f>
              <c:numCache>
                <c:formatCode>0.0000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03-44BE-A96B-96BFA9FF39EB}"/>
            </c:ext>
          </c:extLst>
        </c:ser>
        <c:ser>
          <c:idx val="1"/>
          <c:order val="11"/>
          <c:tx>
            <c:v>y'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Absorption_packed!$C$23:$C$27</c:f>
              <c:numCache>
                <c:formatCode>0.000000</c:formatCode>
                <c:ptCount val="5"/>
                <c:pt idx="0">
                  <c:v>6.4535843600327637E-19</c:v>
                </c:pt>
                <c:pt idx="1">
                  <c:v>7.6296960701417976E-4</c:v>
                </c:pt>
                <c:pt idx="2">
                  <c:v>1.6017477774625346E-3</c:v>
                </c:pt>
                <c:pt idx="3">
                  <c:v>2.528223657238779E-3</c:v>
                </c:pt>
                <c:pt idx="4">
                  <c:v>3.5569096465060046E-3</c:v>
                </c:pt>
              </c:numCache>
            </c:numRef>
          </c:xVal>
          <c:yVal>
            <c:numRef>
              <c:f>Operation!$E$4:$E$8</c:f>
              <c:numCache>
                <c:formatCode>General</c:formatCode>
                <c:ptCount val="5"/>
                <c:pt idx="0">
                  <c:v>2.0000000000000039E-2</c:v>
                </c:pt>
                <c:pt idx="1">
                  <c:v>6.4322869867782365E-2</c:v>
                </c:pt>
                <c:pt idx="2">
                  <c:v>0.10969087679123665</c:v>
                </c:pt>
                <c:pt idx="3">
                  <c:v>0.15571363228177215</c:v>
                </c:pt>
                <c:pt idx="4">
                  <c:v>0.20178556320684157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03-44BE-A96B-96BFA9FF39EB}"/>
            </c:ext>
          </c:extLst>
        </c:ser>
        <c:ser>
          <c:idx val="12"/>
          <c:order val="12"/>
          <c:tx>
            <c:v>a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(Absorption_packed!$C$24,Absorption_packed!$Q$24)</c:f>
              <c:numCache>
                <c:formatCode>0.0000</c:formatCode>
                <c:ptCount val="2"/>
                <c:pt idx="0" formatCode="0.000000">
                  <c:v>7.6296960701417976E-4</c:v>
                </c:pt>
                <c:pt idx="1">
                  <c:v>1.7337608377056583E-3</c:v>
                </c:pt>
              </c:numCache>
            </c:numRef>
          </c:xVal>
          <c:yVal>
            <c:numRef>
              <c:f>(Absorption_packed!$A$24,Absorption_packed!$P$24)</c:f>
              <c:numCache>
                <c:formatCode>0.0000</c:formatCode>
                <c:ptCount val="2"/>
                <c:pt idx="0" formatCode="0.00">
                  <c:v>6.5000000000000002E-2</c:v>
                </c:pt>
                <c:pt idx="1">
                  <c:v>4.3833006288851659E-2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03-44BE-A96B-96BFA9FF39EB}"/>
            </c:ext>
          </c:extLst>
        </c:ser>
        <c:ser>
          <c:idx val="13"/>
          <c:order val="13"/>
          <c:tx>
            <c:v>b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(Absorption_packed!$C$25,Absorption_packed!$Q$25)</c:f>
              <c:numCache>
                <c:formatCode>0.0000</c:formatCode>
                <c:ptCount val="2"/>
                <c:pt idx="0" formatCode="0.000000">
                  <c:v>1.6017477774625346E-3</c:v>
                </c:pt>
                <c:pt idx="1">
                  <c:v>2.9500894980585813E-3</c:v>
                </c:pt>
              </c:numCache>
            </c:numRef>
          </c:xVal>
          <c:yVal>
            <c:numRef>
              <c:f>(Absorption_packed!$A$25,Absorption_packed!$P$25)</c:f>
              <c:numCache>
                <c:formatCode>0.0000</c:formatCode>
                <c:ptCount val="2"/>
                <c:pt idx="0" formatCode="0.00">
                  <c:v>0.11000000000000001</c:v>
                </c:pt>
                <c:pt idx="1">
                  <c:v>8.3507852061203314E-2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03-44BE-A96B-96BFA9FF39EB}"/>
            </c:ext>
          </c:extLst>
        </c:ser>
        <c:ser>
          <c:idx val="14"/>
          <c:order val="14"/>
          <c:tx>
            <c:v>c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(Absorption_packed!$C$26,Absorption_packed!$Q$26)</c:f>
              <c:numCache>
                <c:formatCode>0.0000</c:formatCode>
                <c:ptCount val="2"/>
                <c:pt idx="0" formatCode="0.000000">
                  <c:v>2.528223657238779E-3</c:v>
                </c:pt>
                <c:pt idx="1">
                  <c:v>4.2204053963244377E-3</c:v>
                </c:pt>
              </c:numCache>
            </c:numRef>
          </c:xVal>
          <c:yVal>
            <c:numRef>
              <c:f>(Absorption_packed!$A$26,Absorption_packed!$P$26)</c:f>
              <c:numCache>
                <c:formatCode>0.0000</c:formatCode>
                <c:ptCount val="2"/>
                <c:pt idx="0" formatCode="0.00">
                  <c:v>0.15500000000000003</c:v>
                </c:pt>
                <c:pt idx="1">
                  <c:v>0.12497990522031095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03-44BE-A96B-96BFA9FF3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3024"/>
        <c:axId val="164674944"/>
      </c:scatterChart>
      <c:valAx>
        <c:axId val="164673024"/>
        <c:scaling>
          <c:orientation val="minMax"/>
          <c:max val="1.0000000000000005E-2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674944"/>
        <c:crosses val="autoZero"/>
        <c:crossBetween val="midCat"/>
      </c:valAx>
      <c:valAx>
        <c:axId val="164674944"/>
        <c:scaling>
          <c:orientation val="minMax"/>
          <c:max val="0.4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67302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0</xdr:row>
      <xdr:rowOff>142874</xdr:rowOff>
    </xdr:from>
    <xdr:to>
      <xdr:col>17</xdr:col>
      <xdr:colOff>571500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598219</xdr:colOff>
      <xdr:row>1</xdr:row>
      <xdr:rowOff>28575</xdr:rowOff>
    </xdr:from>
    <xdr:to>
      <xdr:col>8</xdr:col>
      <xdr:colOff>533400</xdr:colOff>
      <xdr:row>22</xdr:row>
      <xdr:rowOff>6656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/>
        <a:stretch>
          <a:fillRect/>
        </a:stretch>
      </xdr:blipFill>
      <xdr:spPr bwMode="auto">
        <a:xfrm>
          <a:off x="598219" y="219075"/>
          <a:ext cx="4811981" cy="3978581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showGridLines="0" tabSelected="1" workbookViewId="0">
      <selection activeCell="J7" sqref="J7"/>
    </sheetView>
  </sheetViews>
  <sheetFormatPr defaultRowHeight="15" x14ac:dyDescent="0.25"/>
  <cols>
    <col min="5" max="6" width="9.140625" customWidth="1"/>
    <col min="7" max="7" width="9.28515625" bestFit="1" customWidth="1"/>
    <col min="9" max="9" width="9.28515625" customWidth="1"/>
    <col min="10" max="10" width="9" customWidth="1"/>
    <col min="12" max="12" width="9.28515625" customWidth="1"/>
    <col min="13" max="13" width="9" customWidth="1"/>
    <col min="14" max="14" width="13.5703125" customWidth="1"/>
    <col min="15" max="15" width="13.7109375" customWidth="1"/>
  </cols>
  <sheetData>
    <row r="1" spans="1:10" x14ac:dyDescent="0.25">
      <c r="A1" s="53" t="s">
        <v>0</v>
      </c>
      <c r="B1" s="53"/>
      <c r="C1" s="1"/>
      <c r="D1" s="1"/>
      <c r="E1" s="1"/>
      <c r="F1" s="1"/>
    </row>
    <row r="2" spans="1:10" x14ac:dyDescent="0.25">
      <c r="A2" s="2" t="s">
        <v>1</v>
      </c>
      <c r="B2" s="30">
        <f>6.53*10^-4</f>
        <v>6.5300000000000004E-4</v>
      </c>
      <c r="C2" t="s">
        <v>16</v>
      </c>
      <c r="D2" s="2" t="s">
        <v>2</v>
      </c>
      <c r="E2" s="30">
        <v>9.2899999999999996E-2</v>
      </c>
      <c r="F2" t="s">
        <v>3</v>
      </c>
      <c r="H2" s="55" t="s">
        <v>58</v>
      </c>
      <c r="I2" s="56"/>
      <c r="J2" s="57"/>
    </row>
    <row r="3" spans="1:10" x14ac:dyDescent="0.25">
      <c r="A3" s="2" t="s">
        <v>4</v>
      </c>
      <c r="B3" s="31">
        <v>0.2</v>
      </c>
      <c r="C3" s="1"/>
      <c r="D3" s="2" t="s">
        <v>5</v>
      </c>
      <c r="E3" s="32">
        <v>1</v>
      </c>
      <c r="F3" t="s">
        <v>6</v>
      </c>
      <c r="H3" s="58" t="s">
        <v>59</v>
      </c>
      <c r="I3" s="58"/>
      <c r="J3" s="58"/>
    </row>
    <row r="4" spans="1:10" x14ac:dyDescent="0.25">
      <c r="A4" s="3" t="s">
        <v>7</v>
      </c>
      <c r="B4" s="31">
        <v>0.02</v>
      </c>
      <c r="D4" s="4" t="s">
        <v>8</v>
      </c>
      <c r="E4" s="32">
        <v>293</v>
      </c>
      <c r="F4" t="s">
        <v>9</v>
      </c>
      <c r="H4" s="59"/>
      <c r="I4" s="59"/>
      <c r="J4" s="59"/>
    </row>
    <row r="5" spans="1:10" x14ac:dyDescent="0.25">
      <c r="D5" s="4" t="s">
        <v>17</v>
      </c>
      <c r="E5" s="32">
        <v>25.4</v>
      </c>
      <c r="F5" t="s">
        <v>18</v>
      </c>
    </row>
    <row r="6" spans="1:10" x14ac:dyDescent="0.25">
      <c r="A6" s="2" t="s">
        <v>11</v>
      </c>
      <c r="B6" s="30">
        <v>4.2000000000000003E-2</v>
      </c>
      <c r="C6" t="s">
        <v>16</v>
      </c>
    </row>
    <row r="7" spans="1:10" x14ac:dyDescent="0.25">
      <c r="A7" s="2" t="s">
        <v>13</v>
      </c>
      <c r="B7" s="31">
        <v>0</v>
      </c>
      <c r="D7" s="4" t="s">
        <v>28</v>
      </c>
      <c r="E7" s="32">
        <v>64.099999999999994</v>
      </c>
      <c r="F7" s="5" t="s">
        <v>27</v>
      </c>
    </row>
    <row r="8" spans="1:10" ht="15" customHeight="1" x14ac:dyDescent="0.25">
      <c r="A8" s="6" t="s">
        <v>14</v>
      </c>
      <c r="B8" s="7">
        <f>(L.*(x2./(1-x2.))+V.*(y1./(1-y1.))-V.*(y2./(1-y2.)))/L.</f>
        <v>3.5696064139941691E-3</v>
      </c>
      <c r="D8" s="4" t="s">
        <v>29</v>
      </c>
      <c r="E8" s="32">
        <v>29</v>
      </c>
      <c r="F8" s="5" t="s">
        <v>27</v>
      </c>
    </row>
    <row r="9" spans="1:10" x14ac:dyDescent="0.25">
      <c r="A9" s="6" t="s">
        <v>15</v>
      </c>
      <c r="B9" s="8">
        <f>B8/(1+B8)</f>
        <v>3.5569096465060041E-3</v>
      </c>
      <c r="D9" s="4" t="s">
        <v>30</v>
      </c>
      <c r="E9" s="32">
        <v>18</v>
      </c>
      <c r="F9" s="5" t="s">
        <v>27</v>
      </c>
      <c r="H9" s="46"/>
    </row>
    <row r="12" spans="1:10" x14ac:dyDescent="0.25">
      <c r="A12" s="23" t="s">
        <v>64</v>
      </c>
      <c r="B12" s="24">
        <f>D.*x1.^2+E.*x1.+F.</f>
        <v>0.10331411632882977</v>
      </c>
      <c r="D12" s="14" t="s">
        <v>26</v>
      </c>
      <c r="E12" s="14" t="s">
        <v>69</v>
      </c>
      <c r="G12" s="14" t="s">
        <v>57</v>
      </c>
      <c r="H12" s="14" t="s">
        <v>69</v>
      </c>
    </row>
    <row r="13" spans="1:10" x14ac:dyDescent="0.25">
      <c r="A13" s="23" t="s">
        <v>65</v>
      </c>
      <c r="B13" s="24">
        <v>0</v>
      </c>
      <c r="D13" s="10">
        <f>F23/(((L23*S)/N23)*(1-Absorption_packed!A23)*(Absorption_packed!A23-P23))</f>
        <v>15.110543937972263</v>
      </c>
      <c r="E13" s="12">
        <v>0</v>
      </c>
      <c r="G13" s="10">
        <f>G23/(((M23*S)/O23)*(1-E23)*(Q23-E23))</f>
        <v>933.40120783681277</v>
      </c>
      <c r="H13" s="12">
        <v>0</v>
      </c>
    </row>
    <row r="14" spans="1:10" x14ac:dyDescent="0.25">
      <c r="A14" s="23" t="s">
        <v>62</v>
      </c>
      <c r="B14" s="24">
        <f>(-(E.)+SQRT((E.)^2-4*D.*(F.-y1.)))/(2*D.)</f>
        <v>6.5154454062843125E-3</v>
      </c>
      <c r="D14" s="10">
        <f>F24/(((L24*S)/N24)*(1-Absorption_packed!A24)*(Absorption_packed!A24-P24))</f>
        <v>9.8534786284971272</v>
      </c>
      <c r="E14" s="12">
        <f>E13+(D14+D13)*(Absorption_packed!A24-Absorption_packed!A23)/2</f>
        <v>0.56169050774556117</v>
      </c>
      <c r="G14" s="10">
        <f>G24/(((M24*S)/O24)*(1-E24)*(Q24-E24))</f>
        <v>554.90974469510763</v>
      </c>
      <c r="H14" s="12">
        <f>H13+(G14+G13)*(Absorption_packed!C24-Absorption_packed!C23)/2</f>
        <v>0.56776801128408894</v>
      </c>
    </row>
    <row r="15" spans="1:10" x14ac:dyDescent="0.25">
      <c r="A15" s="23" t="s">
        <v>63</v>
      </c>
      <c r="B15" s="24">
        <f>(-(E.)+SQRT((E.)^2-4*D.*(F.-y2.)))/(2*D.)</f>
        <v>1.0026016096930507E-3</v>
      </c>
      <c r="D15" s="10">
        <f>F25/(((L25*S)/N25)*(1-Absorption_packed!A25)*(Absorption_packed!A25-P25))</f>
        <v>7.740158866587219</v>
      </c>
      <c r="E15" s="28">
        <f>E14+(D15+D14)*(Absorption_packed!A25-Absorption_packed!A24)/2</f>
        <v>0.95754735138495906</v>
      </c>
      <c r="G15" s="10">
        <f>G25/(((M25*S)/O25)*(1-E25)*(Q25-E25))</f>
        <v>395.60661697354232</v>
      </c>
      <c r="H15" s="28">
        <f>H14+(G15+G14)*(Absorption_packed!C25-Absorption_packed!C24)/2</f>
        <v>0.96640419869491745</v>
      </c>
    </row>
    <row r="16" spans="1:10" x14ac:dyDescent="0.25">
      <c r="D16" s="10">
        <f>F26/(((L26*S)/N26)*(1-Absorption_packed!A26)*(Absorption_packed!A26-P26))</f>
        <v>6.7264086859962582</v>
      </c>
      <c r="E16" s="28">
        <f>E15+(D16+D15)*(Absorption_packed!A26-Absorption_packed!A25)/2</f>
        <v>1.2830451213180873</v>
      </c>
      <c r="G16" s="10">
        <f>G26/(((M26*S)/O26)*(1-E26)*(Q26-E26))</f>
        <v>310.46913708996334</v>
      </c>
      <c r="H16" s="28">
        <f>H15+(G16+G15)*(Absorption_packed!C26-Absorption_packed!C25)/2</f>
        <v>1.2934852764122482</v>
      </c>
    </row>
    <row r="17" spans="1:17" x14ac:dyDescent="0.25">
      <c r="D17" s="10">
        <f>F27/(((L27*S)/N27)*(1-Absorption_packed!A27)*(Absorption_packed!A27-P27))</f>
        <v>6.2814104772405406</v>
      </c>
      <c r="E17" s="27">
        <f>E16+(D17+D16)*(Absorption_packed!A27-Absorption_packed!A26)/2</f>
        <v>1.5757210524909153</v>
      </c>
      <c r="G17" s="10">
        <f>G27/(((M27*S)/O27)*(1-E27)*(Q27-E27))</f>
        <v>260.39430461822309</v>
      </c>
      <c r="H17" s="27">
        <f>H16+(G17+G16)*(Absorption_packed!C27-Absorption_packed!C26)/2</f>
        <v>1.5871048885472876</v>
      </c>
    </row>
    <row r="18" spans="1:17" x14ac:dyDescent="0.25">
      <c r="D18" s="41"/>
      <c r="E18" s="42"/>
      <c r="F18" s="43"/>
      <c r="G18" s="44"/>
      <c r="H18" s="42"/>
    </row>
    <row r="19" spans="1:17" x14ac:dyDescent="0.25">
      <c r="D19" s="41"/>
      <c r="E19" s="42"/>
      <c r="F19" s="43"/>
      <c r="G19" s="44"/>
      <c r="H19" s="42"/>
    </row>
    <row r="20" spans="1:17" x14ac:dyDescent="0.25">
      <c r="A20" s="38"/>
      <c r="B20" s="39"/>
      <c r="C20" s="40"/>
      <c r="E20" s="43"/>
      <c r="F20" s="43"/>
      <c r="G20" s="44"/>
      <c r="H20" s="45"/>
      <c r="I20" s="1"/>
      <c r="J20" s="1"/>
      <c r="K20" s="1"/>
    </row>
    <row r="21" spans="1:17" x14ac:dyDescent="0.25">
      <c r="A21" s="53" t="s">
        <v>60</v>
      </c>
      <c r="B21" s="53"/>
      <c r="C21" s="53"/>
      <c r="G21" s="1"/>
      <c r="L21" s="1"/>
    </row>
    <row r="22" spans="1:17" x14ac:dyDescent="0.25">
      <c r="A22" s="14" t="s">
        <v>21</v>
      </c>
      <c r="B22" s="14" t="s">
        <v>67</v>
      </c>
      <c r="C22" s="14" t="s">
        <v>68</v>
      </c>
      <c r="E22" s="14" t="s">
        <v>51</v>
      </c>
      <c r="F22" s="13" t="s">
        <v>23</v>
      </c>
      <c r="G22" s="13" t="s">
        <v>22</v>
      </c>
      <c r="H22" s="14" t="s">
        <v>32</v>
      </c>
      <c r="I22" s="14" t="s">
        <v>33</v>
      </c>
      <c r="J22" s="14" t="s">
        <v>19</v>
      </c>
      <c r="K22" s="14" t="s">
        <v>20</v>
      </c>
      <c r="L22" s="15" t="s">
        <v>10</v>
      </c>
      <c r="M22" s="14" t="s">
        <v>12</v>
      </c>
      <c r="N22" s="14" t="s">
        <v>35</v>
      </c>
      <c r="O22" s="14" t="s">
        <v>36</v>
      </c>
      <c r="P22" s="14" t="s">
        <v>25</v>
      </c>
      <c r="Q22" s="14" t="s">
        <v>24</v>
      </c>
    </row>
    <row r="23" spans="1:17" x14ac:dyDescent="0.25">
      <c r="A23" s="25">
        <f>y2.</f>
        <v>0.02</v>
      </c>
      <c r="B23" s="29">
        <f>(L.*(x1./(1-x1.))+V.*(A23/(1-A23))-V.*(y1./(1-y1.)))/L.</f>
        <v>6.4535843600327637E-19</v>
      </c>
      <c r="C23" s="26">
        <f>B23/(1+B23)</f>
        <v>6.4535843600327637E-19</v>
      </c>
      <c r="E23" s="26">
        <f>x2.</f>
        <v>0</v>
      </c>
      <c r="F23" s="10">
        <f>V./(1-Absorption_packed!A23)</f>
        <v>6.6632653061224497E-4</v>
      </c>
      <c r="G23" s="10">
        <f>L./(1-E23)</f>
        <v>4.2000000000000003E-2</v>
      </c>
      <c r="H23" s="10">
        <f>V.*MM_b+V.*MM_a*(Absorption_packed!A23/(1-Absorption_packed!A23))</f>
        <v>1.9791230612244901E-2</v>
      </c>
      <c r="I23" s="10">
        <f>L.*MM_c+L.*MM_a*(E23/(1-E23))</f>
        <v>0.75600000000000001</v>
      </c>
      <c r="J23" s="10">
        <f t="shared" ref="J23:K27" si="0">H23/S</f>
        <v>0.21303800443751239</v>
      </c>
      <c r="K23" s="10">
        <f t="shared" si="0"/>
        <v>8.137782561894511</v>
      </c>
      <c r="L23" s="10">
        <f>0.0594*(J23^0.7)*(K23^0.25)</f>
        <v>3.3988572519011308E-2</v>
      </c>
      <c r="M23" s="10">
        <f>0.152*K23^0.82</f>
        <v>0.84812248035339277</v>
      </c>
      <c r="N23" s="10">
        <f>B34</f>
        <v>0.98698641979948476</v>
      </c>
      <c r="O23" s="10">
        <f>C34</f>
        <v>0.9997136001511403</v>
      </c>
      <c r="P23" s="21">
        <f>G34</f>
        <v>5.9348790896753094E-3</v>
      </c>
      <c r="Q23" s="21">
        <f>F34</f>
        <v>5.7092918418113841E-4</v>
      </c>
    </row>
    <row r="24" spans="1:17" x14ac:dyDescent="0.25">
      <c r="A24" s="25">
        <f>A23+(y1.-y2.)/4</f>
        <v>6.5000000000000002E-2</v>
      </c>
      <c r="B24" s="29">
        <f>(L.*(x1./(1-x1.))+V.*(A24/(1-A24))-V.*(y1./(1-y1.)))/L.</f>
        <v>7.6355217411640025E-4</v>
      </c>
      <c r="C24" s="26">
        <f>B24/(1+B24)</f>
        <v>7.6296960701417976E-4</v>
      </c>
      <c r="E24" s="26">
        <f>(-(B.)+SQRT((B.)^2-4*A.*(C.-Absorption_packed!A24)))/(2*A.)</f>
        <v>7.7502783967817526E-4</v>
      </c>
      <c r="F24" s="10">
        <f>V./(1-Absorption_packed!A24)</f>
        <v>6.983957219251337E-4</v>
      </c>
      <c r="G24" s="10">
        <f>L./(1-E24)</f>
        <v>4.2032576416896499E-2</v>
      </c>
      <c r="H24" s="10">
        <f>V.*MM_b+V.*MM_a*(Absorption_packed!A24/(1-Absorption_packed!A24))</f>
        <v>2.1846865775401073E-2</v>
      </c>
      <c r="I24" s="10">
        <f>L.*MM_c+L.*MM_a*(E24/(1-E24))</f>
        <v>0.75808814832306537</v>
      </c>
      <c r="J24" s="10">
        <f t="shared" si="0"/>
        <v>0.23516540124220747</v>
      </c>
      <c r="K24" s="10">
        <f t="shared" si="0"/>
        <v>8.1602599388919845</v>
      </c>
      <c r="L24" s="10">
        <f t="shared" ref="L24:L27" si="1">0.0594*(J24^0.7)*(K24^0.25)</f>
        <v>3.6448011696046022E-2</v>
      </c>
      <c r="M24" s="10">
        <f t="shared" ref="M24:M27" si="2">0.152*K24^0.82</f>
        <v>0.85004293527830377</v>
      </c>
      <c r="N24" s="10">
        <f>B37</f>
        <v>0.94547131239770088</v>
      </c>
      <c r="O24" s="10">
        <f>C37</f>
        <v>0.99874328196185114</v>
      </c>
      <c r="P24" s="21">
        <f>G37</f>
        <v>4.3833006288851659E-2</v>
      </c>
      <c r="Q24" s="21">
        <f>F37</f>
        <v>1.7337608377056583E-3</v>
      </c>
    </row>
    <row r="25" spans="1:17" x14ac:dyDescent="0.25">
      <c r="A25" s="25">
        <f>A24+(y1.-y2.)/4</f>
        <v>0.11000000000000001</v>
      </c>
      <c r="B25" s="29">
        <f>(L.*(x1./(1-x1.))+V.*(A25/(1-A25))-V.*(y1./(1-y1.)))/L.</f>
        <v>1.6043174894355824E-3</v>
      </c>
      <c r="C25" s="26">
        <f>B25/(1+B25)</f>
        <v>1.6017477774625346E-3</v>
      </c>
      <c r="E25" s="26">
        <f>(-(B.)+SQRT((B.)^2-4*A.*(C.-Absorption_packed!A25)))/(2*A.)</f>
        <v>1.6076951545867359E-3</v>
      </c>
      <c r="F25" s="10">
        <f>V./(1-Absorption_packed!A25)</f>
        <v>7.3370786516853935E-4</v>
      </c>
      <c r="G25" s="10">
        <f>L./(1-E25)</f>
        <v>4.206763192801561E-2</v>
      </c>
      <c r="H25" s="10">
        <f>V.*MM_b+V.*MM_a*(Absorption_packed!A25/(1-Absorption_packed!A25))</f>
        <v>2.4110374157303376E-2</v>
      </c>
      <c r="I25" s="10">
        <f>L.*MM_c+L.*MM_a*(E25/(1-E25))</f>
        <v>0.76033520658580056</v>
      </c>
      <c r="J25" s="10">
        <f t="shared" si="0"/>
        <v>0.25953039997097282</v>
      </c>
      <c r="K25" s="10">
        <f t="shared" si="0"/>
        <v>8.1844478642174447</v>
      </c>
      <c r="L25" s="10">
        <f t="shared" si="1"/>
        <v>3.9080990009871933E-2</v>
      </c>
      <c r="M25" s="10">
        <f t="shared" si="2"/>
        <v>0.85210847524836753</v>
      </c>
      <c r="N25" s="10">
        <f>B40</f>
        <v>0.90305697030682264</v>
      </c>
      <c r="O25" s="10">
        <f>C40</f>
        <v>0.9977171076810849</v>
      </c>
      <c r="P25" s="21">
        <f>G40</f>
        <v>8.3507852061203314E-2</v>
      </c>
      <c r="Q25" s="21">
        <f>F40</f>
        <v>2.9500894980585813E-3</v>
      </c>
    </row>
    <row r="26" spans="1:17" x14ac:dyDescent="0.25">
      <c r="A26" s="25">
        <f>A25+(y1.-y2.)/4</f>
        <v>0.15500000000000003</v>
      </c>
      <c r="B26" s="29">
        <f>(L.*(x1./(1-x1.))+V.*(A26/(1-A26))-V.*(y1./(1-y1.)))/L.</f>
        <v>2.5346317732502992E-3</v>
      </c>
      <c r="C26" s="26">
        <f>B26/(1+B26)</f>
        <v>2.528223657238779E-3</v>
      </c>
      <c r="E26" s="26">
        <f>(-(B.)+SQRT((B.)^2-4*A.*(C.-Absorption_packed!A26)))/(2*A.)</f>
        <v>2.5131670194948625E-3</v>
      </c>
      <c r="F26" s="10">
        <f>V./(1-Absorption_packed!A26)</f>
        <v>7.7278106508875746E-4</v>
      </c>
      <c r="G26" s="10">
        <f>L./(1-E26)</f>
        <v>4.2105818955527854E-2</v>
      </c>
      <c r="H26" s="10">
        <f>V.*MM_b+V.*MM_a*(Absorption_packed!A26/(1-Absorption_packed!A26))</f>
        <v>2.6614966272189355E-2</v>
      </c>
      <c r="I26" s="10">
        <f>L.*MM_c+L.*MM_a*(E26/(1-E26))</f>
        <v>0.76278299504933544</v>
      </c>
      <c r="J26" s="10">
        <f t="shared" si="0"/>
        <v>0.28649048732173688</v>
      </c>
      <c r="K26" s="10">
        <f t="shared" si="0"/>
        <v>8.2107965021456994</v>
      </c>
      <c r="L26" s="10">
        <f t="shared" si="1"/>
        <v>4.1914077439270184E-2</v>
      </c>
      <c r="M26" s="10">
        <f t="shared" si="2"/>
        <v>0.85435728040231429</v>
      </c>
      <c r="N26" s="10">
        <f>B43</f>
        <v>0.85974799554645842</v>
      </c>
      <c r="O26" s="10">
        <f>C43</f>
        <v>0.99662755554686155</v>
      </c>
      <c r="P26" s="21">
        <f>G43</f>
        <v>0.12497990522031095</v>
      </c>
      <c r="Q26" s="21">
        <f>F43</f>
        <v>4.2204053963244377E-3</v>
      </c>
    </row>
    <row r="27" spans="1:17" x14ac:dyDescent="0.25">
      <c r="A27" s="25">
        <f>A26+(y1.-y2.)/4</f>
        <v>0.20000000000000004</v>
      </c>
      <c r="B27" s="29">
        <f>(L.*(x1./(1-x1.))+V.*(A27/(1-A27))-V.*(y1./(1-y1.)))/L.</f>
        <v>3.5696064139941696E-3</v>
      </c>
      <c r="C27" s="26">
        <f>B27/(1+B27)</f>
        <v>3.5569096465060046E-3</v>
      </c>
      <c r="E27" s="26">
        <f>(-(B.)+SQRT((B.)^2-4*A.*(C.-Absorption_packed!A27)))/(2*A.)</f>
        <v>3.514718625761431E-3</v>
      </c>
      <c r="F27" s="10">
        <f>V./(1-Absorption_packed!A27)</f>
        <v>8.1625000000000014E-4</v>
      </c>
      <c r="G27" s="10">
        <f>L./(1-E27)</f>
        <v>4.2148138848652546E-2</v>
      </c>
      <c r="H27" s="10">
        <f>V.*MM_b+V.*MM_a*(Absorption_packed!A27/(1-Absorption_packed!A27))</f>
        <v>2.9401325000000006E-2</v>
      </c>
      <c r="I27" s="10">
        <f>L.*MM_c+L.*MM_a*(E27/(1-E27))</f>
        <v>0.76549570019862767</v>
      </c>
      <c r="J27" s="10">
        <f t="shared" si="0"/>
        <v>0.31648358449946185</v>
      </c>
      <c r="K27" s="10">
        <f t="shared" si="0"/>
        <v>8.2399967728592856</v>
      </c>
      <c r="L27" s="10">
        <f t="shared" si="1"/>
        <v>4.4979439318011273E-2</v>
      </c>
      <c r="M27" s="10">
        <f t="shared" si="2"/>
        <v>0.85684795008084325</v>
      </c>
      <c r="N27" s="10">
        <f>B46</f>
        <v>0.8155345889163983</v>
      </c>
      <c r="O27" s="10">
        <f>C46</f>
        <v>0.99546263923239209</v>
      </c>
      <c r="P27" s="21">
        <f>G46</f>
        <v>0.16829785365130931</v>
      </c>
      <c r="Q27" s="21">
        <f>F46</f>
        <v>5.5460534868126236E-3</v>
      </c>
    </row>
    <row r="28" spans="1:17" x14ac:dyDescent="0.25">
      <c r="F28" s="9" t="s">
        <v>16</v>
      </c>
      <c r="G28" s="9" t="s">
        <v>16</v>
      </c>
      <c r="H28" s="9" t="s">
        <v>31</v>
      </c>
      <c r="I28" s="9" t="s">
        <v>31</v>
      </c>
      <c r="J28" s="9" t="s">
        <v>34</v>
      </c>
      <c r="K28" s="9" t="s">
        <v>34</v>
      </c>
      <c r="L28" s="9" t="s">
        <v>61</v>
      </c>
      <c r="M28" s="9" t="s">
        <v>61</v>
      </c>
      <c r="N28" s="9"/>
      <c r="O28" s="9"/>
      <c r="P28" s="9"/>
      <c r="Q28" s="9"/>
    </row>
    <row r="31" spans="1:17" x14ac:dyDescent="0.25">
      <c r="B31" s="13" t="s">
        <v>35</v>
      </c>
      <c r="C31" s="13" t="s">
        <v>36</v>
      </c>
      <c r="D31" s="13" t="s">
        <v>37</v>
      </c>
      <c r="E31" s="13" t="s">
        <v>38</v>
      </c>
      <c r="F31" s="13" t="s">
        <v>24</v>
      </c>
      <c r="G31" s="13" t="s">
        <v>25</v>
      </c>
    </row>
    <row r="32" spans="1:17" x14ac:dyDescent="0.25">
      <c r="B32" s="54" t="s">
        <v>45</v>
      </c>
      <c r="C32" s="54"/>
      <c r="D32" s="18"/>
      <c r="E32" s="18"/>
      <c r="F32" s="18"/>
      <c r="G32" s="19"/>
    </row>
    <row r="33" spans="1:7" x14ac:dyDescent="0.25">
      <c r="A33" s="9"/>
      <c r="B33" s="20">
        <f>1-Absorption_packed!A23</f>
        <v>0.98</v>
      </c>
      <c r="C33" s="16">
        <f>1-E23</f>
        <v>1</v>
      </c>
      <c r="D33" s="11">
        <f>-((M$23/C33)/(L$23/B33))</f>
        <v>-24.454102339291257</v>
      </c>
      <c r="E33" s="11">
        <f>Absorption_packed!A$23-D33*E$23</f>
        <v>0.02</v>
      </c>
      <c r="F33" s="16">
        <f>(-(E.-D33)+SQRT((E.-D33)^2-4*D.*(F.-E33)))/(2*D.)</f>
        <v>5.7274500963639915E-4</v>
      </c>
      <c r="G33" s="16">
        <f>D.*F33^2+E.*F33+F.</f>
        <v>5.9940349200339367E-3</v>
      </c>
    </row>
    <row r="34" spans="1:7" x14ac:dyDescent="0.25">
      <c r="A34" s="9"/>
      <c r="B34" s="11">
        <f>((1-G33)-(1-Absorption_packed!A$23))/LN((1-G33)/(1-Absorption_packed!A$23))</f>
        <v>0.98698641979948476</v>
      </c>
      <c r="C34" s="16">
        <f>((1-E$23)-(1-F33))/LN((1-E$23)/(1-F33))</f>
        <v>0.9997136001511403</v>
      </c>
      <c r="D34" s="11">
        <f>-((M$23/C34)/(L$23/B34))</f>
        <v>-24.635491230829665</v>
      </c>
      <c r="E34" s="11">
        <f>Absorption_packed!A$23-D34*E$23</f>
        <v>0.02</v>
      </c>
      <c r="F34" s="16">
        <f>(-(E.-D34)+SQRT((E.-D34)^2-4*D.*(F.-E34)))/(2*D.)</f>
        <v>5.7092918418113841E-4</v>
      </c>
      <c r="G34" s="16">
        <f>D.*F34^2+E.*F34+F.</f>
        <v>5.9348790896753094E-3</v>
      </c>
    </row>
    <row r="35" spans="1:7" x14ac:dyDescent="0.25">
      <c r="A35" s="9"/>
      <c r="B35" s="54" t="s">
        <v>46</v>
      </c>
      <c r="C35" s="54"/>
      <c r="D35" s="18"/>
      <c r="E35" s="18"/>
      <c r="F35" s="18"/>
      <c r="G35" s="19"/>
    </row>
    <row r="36" spans="1:7" x14ac:dyDescent="0.25">
      <c r="B36" s="20">
        <f>1-Absorption_packed!A24</f>
        <v>0.93500000000000005</v>
      </c>
      <c r="C36" s="16">
        <f>1-E24</f>
        <v>0.9992249721603218</v>
      </c>
      <c r="D36" s="11">
        <f>-((M$24/C36)/(L$24/B36))</f>
        <v>-21.823045201546527</v>
      </c>
      <c r="E36" s="11">
        <f>Absorption_packed!A$24-D36*E$24</f>
        <v>8.1913467577753779E-2</v>
      </c>
      <c r="F36" s="16">
        <f>(-(E.-D36)+SQRT((E.-D36)^2-4*D.*(F.-E36)))/(2*D.)</f>
        <v>1.7382534082392128E-3</v>
      </c>
      <c r="G36" s="16">
        <f>D.*F36^2+E.*F36+F.</f>
        <v>4.3979484877997868E-2</v>
      </c>
    </row>
    <row r="37" spans="1:7" x14ac:dyDescent="0.25">
      <c r="B37" s="11">
        <f>((1-G36)-(1-Absorption_packed!A$24))/LN((1-G36)/(1-Absorption_packed!A$24))</f>
        <v>0.94547131239770088</v>
      </c>
      <c r="C37" s="16">
        <f>((1-E$24)-(1-F36))/LN((1-E$24)/(1-F36))</f>
        <v>0.99874328196185114</v>
      </c>
      <c r="D37" s="11">
        <f>-((M$24/C37)/(L$24/B37))</f>
        <v>-22.078090307420215</v>
      </c>
      <c r="E37" s="11">
        <f>Absorption_packed!A$24-D37*E$24</f>
        <v>8.211113463517955E-2</v>
      </c>
      <c r="F37" s="16">
        <f>(-(E.-D37)+SQRT((E.-D37)^2-4*D.*(F.-E37)))/(2*D.)</f>
        <v>1.7337608377056583E-3</v>
      </c>
      <c r="G37" s="16">
        <f>D.*F37^2+E.*F37+F.</f>
        <v>4.3833006288851659E-2</v>
      </c>
    </row>
    <row r="38" spans="1:7" x14ac:dyDescent="0.25">
      <c r="B38" s="54" t="s">
        <v>47</v>
      </c>
      <c r="C38" s="54"/>
      <c r="D38" s="18"/>
      <c r="E38" s="18"/>
      <c r="F38" s="18"/>
      <c r="G38" s="19"/>
    </row>
    <row r="39" spans="1:7" x14ac:dyDescent="0.25">
      <c r="B39" s="20">
        <f>1-Absorption_packed!A25</f>
        <v>0.89</v>
      </c>
      <c r="C39" s="16">
        <f>1-E25</f>
        <v>0.9983923048454133</v>
      </c>
      <c r="D39" s="11">
        <f>-((M$25/C39)/(L$25/B39))</f>
        <v>-19.436502104797619</v>
      </c>
      <c r="E39" s="11">
        <f>Absorption_packed!A$25-D39*E$25</f>
        <v>0.14124797025599803</v>
      </c>
      <c r="F39" s="16">
        <f>(-(E.-D39)+SQRT((E.-D39)^2-4*D.*(F.-E39)))/(2*D.)</f>
        <v>2.9577849977790523E-3</v>
      </c>
      <c r="G39" s="16">
        <f>D.*F39^2+E.*F39+F.</f>
        <v>8.375897592113167E-2</v>
      </c>
    </row>
    <row r="40" spans="1:7" x14ac:dyDescent="0.25">
      <c r="B40" s="11">
        <f>((1-G39)-(1-Absorption_packed!A$25))/LN((1-G39)/(1-Absorption_packed!A$25))</f>
        <v>0.90305697030682264</v>
      </c>
      <c r="C40" s="16">
        <f>((1-E$25)-(1-F39))/LN((1-E$25)/(1-F39))</f>
        <v>0.9977171076810849</v>
      </c>
      <c r="D40" s="11">
        <f>-((M$25/C40)/(L$25/B40))</f>
        <v>-19.734996700215682</v>
      </c>
      <c r="E40" s="11">
        <f>Absorption_packed!A$25-D40*E$25</f>
        <v>0.14172785857072198</v>
      </c>
      <c r="F40" s="16">
        <f>(-(E.-D40)+SQRT((E.-D40)^2-4*D.*(F.-E40)))/(2*D.)</f>
        <v>2.9500894980585813E-3</v>
      </c>
      <c r="G40" s="16">
        <f>D.*F40^2+E.*F40+F.</f>
        <v>8.3507852061203314E-2</v>
      </c>
    </row>
    <row r="41" spans="1:7" x14ac:dyDescent="0.25">
      <c r="B41" s="54" t="s">
        <v>48</v>
      </c>
      <c r="C41" s="54"/>
      <c r="D41" s="18"/>
      <c r="E41" s="18"/>
      <c r="F41" s="18"/>
      <c r="G41" s="19"/>
    </row>
    <row r="42" spans="1:7" x14ac:dyDescent="0.25">
      <c r="B42" s="20">
        <f>1-Absorption_packed!A26</f>
        <v>0.84499999999999997</v>
      </c>
      <c r="C42" s="16">
        <f>1-E26</f>
        <v>0.99748683298050511</v>
      </c>
      <c r="D42" s="11">
        <f>-((M$26/C42)/(L$26/B42))</f>
        <v>-17.267487508251122</v>
      </c>
      <c r="E42" s="11">
        <f>Absorption_packed!A$26-D42*E$26</f>
        <v>0.19839608011527626</v>
      </c>
      <c r="F42" s="16">
        <f>(-(E.-D42)+SQRT((E.-D42)^2-4*D.*(F.-E42)))/(2*D.)</f>
        <v>4.2312282662593844E-3</v>
      </c>
      <c r="G42" s="16">
        <f>D.*F42^2+E.*F42+F.</f>
        <v>0.12533339888307443</v>
      </c>
    </row>
    <row r="43" spans="1:7" x14ac:dyDescent="0.25">
      <c r="B43" s="11">
        <f>((1-G42)-(1-Absorption_packed!A$26))/LN((1-G42)/(1-Absorption_packed!A$26))</f>
        <v>0.85974799554645842</v>
      </c>
      <c r="C43" s="16">
        <f>((1-E$26)-(1-F42))/LN((1-E$26)/(1-F42))</f>
        <v>0.99662755554686155</v>
      </c>
      <c r="D43" s="11">
        <f>-((M$26/C43)/(L$26/B43))</f>
        <v>-17.584008880727033</v>
      </c>
      <c r="E43" s="11">
        <f>Absorption_packed!A$26-D43*E$26</f>
        <v>0.19919155118954798</v>
      </c>
      <c r="F43" s="16">
        <f>(-(E.-D43)+SQRT((E.-D43)^2-4*D.*(F.-E43)))/(2*D.)</f>
        <v>4.2204053963244377E-3</v>
      </c>
      <c r="G43" s="16">
        <f>D.*F43^2+E.*F43+F.</f>
        <v>0.12497990522031095</v>
      </c>
    </row>
    <row r="44" spans="1:7" x14ac:dyDescent="0.25">
      <c r="B44" s="54" t="s">
        <v>49</v>
      </c>
      <c r="C44" s="54"/>
      <c r="D44" s="18"/>
      <c r="E44" s="18"/>
      <c r="F44" s="18"/>
      <c r="G44" s="19"/>
    </row>
    <row r="45" spans="1:7" x14ac:dyDescent="0.25">
      <c r="B45" s="20">
        <f>1-Absorption_packed!A27</f>
        <v>0.79999999999999993</v>
      </c>
      <c r="C45" s="16">
        <f>1-E27</f>
        <v>0.99648528137423853</v>
      </c>
      <c r="D45" s="11">
        <f>-((M$27/C45)/(L$27/B45))</f>
        <v>-15.293568168147527</v>
      </c>
      <c r="E45" s="11">
        <f>Absorption_packed!A$27-D45*E$27</f>
        <v>0.25375258889494029</v>
      </c>
      <c r="F45" s="16">
        <f>(-(E.-D45)+SQRT((E.-D45)^2-4*D.*(F.-E45)))/(2*D.)</f>
        <v>5.5593030128426408E-3</v>
      </c>
      <c r="G45" s="16">
        <f>D.*F45^2+E.*F45+F.</f>
        <v>0.16873100930065282</v>
      </c>
    </row>
    <row r="46" spans="1:7" x14ac:dyDescent="0.25">
      <c r="B46" s="11">
        <f>((1-G45)-(1-Absorption_packed!A$27))/LN((1-G45)/(1-Absorption_packed!A$27))</f>
        <v>0.8155345889163983</v>
      </c>
      <c r="C46" s="16">
        <f>((1-E$27)-(1-F45))/LN((1-E$27)/(1-F45))</f>
        <v>0.99546263923239209</v>
      </c>
      <c r="D46" s="11">
        <f>-((M$27/C46)/(L$27/B46))</f>
        <v>-15.606558503254394</v>
      </c>
      <c r="E46" s="11">
        <f>Absorption_packed!A$27-D46*E$27</f>
        <v>0.25485266185542371</v>
      </c>
      <c r="F46" s="16">
        <f>(-(E.-D46)+SQRT((E.-D46)^2-4*D.*(F.-E46)))/(2*D.)</f>
        <v>5.5460534868126236E-3</v>
      </c>
      <c r="G46" s="16">
        <f>D.*F46^2+E.*F46+F.</f>
        <v>0.16829785365130931</v>
      </c>
    </row>
  </sheetData>
  <sheetProtection algorithmName="SHA-512" hashValue="bAkIfw/V52r73+uZ8idR0zwH4fkcJr1YU8p5pjRWq3O7UVf8cuhBv+N8DNriADcSooU+HXEFhBM30H56nG0g5Q==" saltValue="ZNG/MON3gXDa5Q5Ps+LGNA==" spinCount="100000" sheet="1" objects="1" scenarios="1"/>
  <mergeCells count="10">
    <mergeCell ref="A1:B1"/>
    <mergeCell ref="B38:C38"/>
    <mergeCell ref="B41:C41"/>
    <mergeCell ref="B44:C44"/>
    <mergeCell ref="H2:J2"/>
    <mergeCell ref="H3:J3"/>
    <mergeCell ref="B32:C32"/>
    <mergeCell ref="B35:C35"/>
    <mergeCell ref="A21:C21"/>
    <mergeCell ref="H4:J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R19"/>
  <sheetViews>
    <sheetView showGridLines="0" workbookViewId="0">
      <selection activeCell="R12" sqref="R12"/>
    </sheetView>
  </sheetViews>
  <sheetFormatPr defaultRowHeight="15" x14ac:dyDescent="0.25"/>
  <cols>
    <col min="12" max="13" width="9.5703125" bestFit="1" customWidth="1"/>
  </cols>
  <sheetData>
    <row r="2" spans="12:18" x14ac:dyDescent="0.25">
      <c r="L2" s="53" t="s">
        <v>56</v>
      </c>
      <c r="M2" s="53"/>
      <c r="Q2" s="53" t="s">
        <v>66</v>
      </c>
      <c r="R2" s="53"/>
    </row>
    <row r="3" spans="12:18" x14ac:dyDescent="0.25">
      <c r="L3" s="2" t="s">
        <v>50</v>
      </c>
      <c r="M3" s="17" t="s">
        <v>51</v>
      </c>
      <c r="N3" s="10" t="s">
        <v>52</v>
      </c>
      <c r="O3" s="10" t="s">
        <v>40</v>
      </c>
      <c r="Q3" s="10" t="s">
        <v>53</v>
      </c>
      <c r="R3" s="33">
        <v>11.467356902472577</v>
      </c>
    </row>
    <row r="4" spans="12:18" x14ac:dyDescent="0.25">
      <c r="L4" s="35">
        <v>0</v>
      </c>
      <c r="M4" s="35">
        <v>0</v>
      </c>
      <c r="N4" s="10">
        <f t="shared" ref="N4:N18" si="0">D.*M4^2+E.*M4+F.</f>
        <v>-1.2661060792755242E-2</v>
      </c>
      <c r="O4" s="22">
        <f>(N4-L4)^2</f>
        <v>1.6030246039784398E-4</v>
      </c>
      <c r="Q4" s="10" t="s">
        <v>54</v>
      </c>
      <c r="R4" s="33">
        <v>32.564812758541194</v>
      </c>
    </row>
    <row r="5" spans="12:18" x14ac:dyDescent="0.25">
      <c r="L5" s="35">
        <v>6.5799999999999995E-4</v>
      </c>
      <c r="M5" s="35">
        <v>5.6199999999999997E-5</v>
      </c>
      <c r="N5" s="10">
        <f t="shared" si="0"/>
        <v>-1.0830882096766492E-2</v>
      </c>
      <c r="O5" s="22">
        <f t="shared" ref="O5:O18" si="1">(N5-L5)^2</f>
        <v>1.3199441183340166E-4</v>
      </c>
      <c r="Q5" s="10" t="s">
        <v>55</v>
      </c>
      <c r="R5" s="33">
        <v>-1.2661060792755242E-2</v>
      </c>
    </row>
    <row r="6" spans="12:18" x14ac:dyDescent="0.25">
      <c r="L6" s="35">
        <v>1.58E-3</v>
      </c>
      <c r="M6" s="35">
        <v>1.403E-4</v>
      </c>
      <c r="N6" s="10">
        <f t="shared" si="0"/>
        <v>-8.0919918382465813E-3</v>
      </c>
      <c r="O6" s="22">
        <f t="shared" si="1"/>
        <v>9.3547426119108481E-5</v>
      </c>
    </row>
    <row r="7" spans="12:18" x14ac:dyDescent="0.25">
      <c r="L7" s="35">
        <v>4.2100000000000002E-3</v>
      </c>
      <c r="M7" s="35">
        <v>2.7999999999999998E-4</v>
      </c>
      <c r="N7" s="10">
        <f t="shared" si="0"/>
        <v>-3.542014179582555E-3</v>
      </c>
      <c r="O7" s="22">
        <f t="shared" si="1"/>
        <v>6.0093723840448994E-5</v>
      </c>
    </row>
    <row r="8" spans="12:18" x14ac:dyDescent="0.25">
      <c r="L8" s="35">
        <v>7.6299999999999996E-3</v>
      </c>
      <c r="M8" s="35">
        <v>4.2200000000000001E-4</v>
      </c>
      <c r="N8" s="10">
        <f t="shared" si="0"/>
        <v>1.0833323441357626E-3</v>
      </c>
      <c r="O8" s="22">
        <f t="shared" si="1"/>
        <v>4.2858857396338947E-5</v>
      </c>
    </row>
    <row r="9" spans="12:18" x14ac:dyDescent="0.25">
      <c r="L9" s="35">
        <v>1.12E-2</v>
      </c>
      <c r="M9" s="35">
        <v>5.6400000000000005E-4</v>
      </c>
      <c r="N9" s="10">
        <f t="shared" si="0"/>
        <v>5.7091413234232405E-3</v>
      </c>
      <c r="O9" s="22">
        <f t="shared" si="1"/>
        <v>3.0149529006138281E-5</v>
      </c>
    </row>
    <row r="10" spans="12:18" x14ac:dyDescent="0.25">
      <c r="L10" s="36">
        <v>1.8550000000000001E-2</v>
      </c>
      <c r="M10" s="36">
        <v>8.4199999999999998E-4</v>
      </c>
      <c r="N10" s="11">
        <f t="shared" si="0"/>
        <v>1.4766641493155448E-2</v>
      </c>
      <c r="O10" s="37">
        <f t="shared" si="1"/>
        <v>1.4313801591313046E-5</v>
      </c>
    </row>
    <row r="11" spans="12:18" x14ac:dyDescent="0.25">
      <c r="L11" s="36">
        <v>3.4200000000000001E-2</v>
      </c>
      <c r="M11" s="36">
        <v>1.403E-3</v>
      </c>
      <c r="N11" s="11">
        <f t="shared" si="0"/>
        <v>3.3049943956011088E-2</v>
      </c>
      <c r="O11" s="37">
        <f t="shared" si="1"/>
        <v>1.322628904315429E-6</v>
      </c>
    </row>
    <row r="12" spans="12:18" x14ac:dyDescent="0.25">
      <c r="L12" s="36">
        <v>5.1299999999999998E-2</v>
      </c>
      <c r="M12" s="36">
        <v>1.9650000000000002E-3</v>
      </c>
      <c r="N12" s="11">
        <f t="shared" si="0"/>
        <v>5.1373074322933962E-2</v>
      </c>
      <c r="O12" s="37">
        <f t="shared" si="1"/>
        <v>5.3398566722572068E-9</v>
      </c>
    </row>
    <row r="13" spans="12:18" x14ac:dyDescent="0.25">
      <c r="L13" s="36">
        <v>7.7499999999999999E-2</v>
      </c>
      <c r="M13" s="36">
        <v>2.7899999999999999E-3</v>
      </c>
      <c r="N13" s="11">
        <f t="shared" si="0"/>
        <v>7.828402985643923E-2</v>
      </c>
      <c r="O13" s="37">
        <f t="shared" si="1"/>
        <v>6.147028157881206E-7</v>
      </c>
    </row>
    <row r="14" spans="12:18" x14ac:dyDescent="0.25">
      <c r="L14" s="36">
        <v>0.121</v>
      </c>
      <c r="M14" s="36">
        <v>4.1999999999999997E-3</v>
      </c>
      <c r="N14" s="11">
        <f t="shared" si="0"/>
        <v>0.12431343696887741</v>
      </c>
      <c r="O14" s="37">
        <f t="shared" si="1"/>
        <v>1.097886454672353E-5</v>
      </c>
    </row>
    <row r="15" spans="12:18" x14ac:dyDescent="0.25">
      <c r="L15" s="36">
        <v>0.21199999999999999</v>
      </c>
      <c r="M15" s="36">
        <v>6.9800000000000001E-3</v>
      </c>
      <c r="N15" s="11">
        <f t="shared" si="0"/>
        <v>0.21520002647709352</v>
      </c>
      <c r="O15" s="37">
        <f t="shared" si="1"/>
        <v>1.0240169454099604E-5</v>
      </c>
    </row>
    <row r="16" spans="12:18" x14ac:dyDescent="0.25">
      <c r="L16" s="35">
        <v>0.443</v>
      </c>
      <c r="M16" s="35">
        <v>1.3849999999999999E-2</v>
      </c>
      <c r="N16" s="10">
        <f t="shared" si="0"/>
        <v>0.44056129298246477</v>
      </c>
      <c r="O16" s="22">
        <f t="shared" si="1"/>
        <v>5.9472919173756032E-6</v>
      </c>
    </row>
    <row r="17" spans="12:15" x14ac:dyDescent="0.25">
      <c r="L17" s="35">
        <v>0.68200000000000005</v>
      </c>
      <c r="M17" s="35">
        <v>2.06E-2</v>
      </c>
      <c r="N17" s="10">
        <f t="shared" si="0"/>
        <v>0.66304036960832669</v>
      </c>
      <c r="O17" s="22">
        <f t="shared" si="1"/>
        <v>3.5946758458886433E-4</v>
      </c>
    </row>
    <row r="18" spans="12:15" x14ac:dyDescent="0.25">
      <c r="L18" s="35">
        <v>0.91700000000000004</v>
      </c>
      <c r="M18" s="35">
        <v>2.7300000000000001E-2</v>
      </c>
      <c r="N18" s="10">
        <f t="shared" si="0"/>
        <v>0.88490483394126318</v>
      </c>
      <c r="O18" s="22">
        <f t="shared" si="1"/>
        <v>1.0300996843378943E-3</v>
      </c>
    </row>
    <row r="19" spans="12:15" x14ac:dyDescent="0.25">
      <c r="N19" s="10" t="s">
        <v>41</v>
      </c>
      <c r="O19" s="34">
        <f>SUM(O10:O16)</f>
        <v>4.342279908628759E-5</v>
      </c>
    </row>
  </sheetData>
  <mergeCells count="2">
    <mergeCell ref="L2:M2"/>
    <mergeCell ref="Q2:R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showGridLines="0" workbookViewId="0">
      <selection activeCell="I5" sqref="I5"/>
    </sheetView>
  </sheetViews>
  <sheetFormatPr defaultRowHeight="15" x14ac:dyDescent="0.25"/>
  <sheetData>
    <row r="2" spans="2:6" x14ac:dyDescent="0.25">
      <c r="B2" s="53" t="s">
        <v>66</v>
      </c>
      <c r="C2" s="53"/>
      <c r="E2" s="53" t="s">
        <v>74</v>
      </c>
      <c r="F2" s="53"/>
    </row>
    <row r="3" spans="2:6" x14ac:dyDescent="0.25">
      <c r="B3" s="10" t="s">
        <v>42</v>
      </c>
      <c r="C3" s="33">
        <v>-2500</v>
      </c>
      <c r="E3" s="10" t="s">
        <v>39</v>
      </c>
      <c r="F3" s="10" t="s">
        <v>40</v>
      </c>
    </row>
    <row r="4" spans="2:6" x14ac:dyDescent="0.25">
      <c r="B4" s="10" t="s">
        <v>43</v>
      </c>
      <c r="C4" s="33">
        <v>60</v>
      </c>
      <c r="E4" s="10">
        <f>A.*Absorption_packed!C23^2+B.*Absorption_packed!C23+C.</f>
        <v>2.0000000000000039E-2</v>
      </c>
      <c r="F4" s="10">
        <f>(E4-Absorption_packed!A23)^2</f>
        <v>1.4564845204428471E-33</v>
      </c>
    </row>
    <row r="5" spans="2:6" x14ac:dyDescent="0.25">
      <c r="B5" s="10" t="s">
        <v>44</v>
      </c>
      <c r="C5" s="33">
        <f>y2.</f>
        <v>0.02</v>
      </c>
      <c r="E5" s="10">
        <f>A.*Absorption_packed!C24^2+B.*Absorption_packed!C24+C.</f>
        <v>6.4322869867782365E-2</v>
      </c>
      <c r="F5" s="10">
        <f>(E5-Absorption_packed!A24)^2</f>
        <v>4.5850521595707539E-7</v>
      </c>
    </row>
    <row r="6" spans="2:6" x14ac:dyDescent="0.25">
      <c r="E6" s="10">
        <f>A.*Absorption_packed!C25^2+B.*Absorption_packed!C25+C.</f>
        <v>0.10969087679123665</v>
      </c>
      <c r="F6" s="10">
        <f>(E6-Absorption_packed!A25)^2</f>
        <v>9.5557158196157204E-8</v>
      </c>
    </row>
    <row r="7" spans="2:6" x14ac:dyDescent="0.25">
      <c r="E7" s="10">
        <f>A.*Absorption_packed!C26^2+B.*Absorption_packed!C26+C.</f>
        <v>0.15571363228177215</v>
      </c>
      <c r="F7" s="10">
        <f>(E7-Absorption_packed!A26)^2</f>
        <v>5.0927103358728997E-7</v>
      </c>
    </row>
    <row r="8" spans="2:6" x14ac:dyDescent="0.25">
      <c r="E8" s="10">
        <f>A.*Absorption_packed!C27^2+B.*Absorption_packed!C27+C.</f>
        <v>0.20178556320684157</v>
      </c>
      <c r="F8" s="10">
        <f>(E8-Absorption_packed!A27)^2</f>
        <v>3.1882359656262226E-6</v>
      </c>
    </row>
    <row r="9" spans="2:6" x14ac:dyDescent="0.25">
      <c r="E9" s="10" t="s">
        <v>41</v>
      </c>
      <c r="F9" s="33">
        <f>SUM(F4:F8)</f>
        <v>4.2515693733667448E-6</v>
      </c>
    </row>
  </sheetData>
  <mergeCells count="2">
    <mergeCell ref="B2:C2"/>
    <mergeCell ref="E2:F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60" t="s">
        <v>71</v>
      </c>
      <c r="C3" s="61"/>
      <c r="D3" s="61"/>
      <c r="E3" s="62"/>
    </row>
    <row r="4" spans="2:5" x14ac:dyDescent="0.25">
      <c r="B4" s="47" t="s">
        <v>72</v>
      </c>
      <c r="C4" s="18" t="s">
        <v>70</v>
      </c>
      <c r="D4" s="18"/>
      <c r="E4" s="48"/>
    </row>
    <row r="5" spans="2:5" ht="15.75" thickBot="1" x14ac:dyDescent="0.3">
      <c r="B5" s="51" t="s">
        <v>73</v>
      </c>
      <c r="C5" s="52">
        <v>2017</v>
      </c>
      <c r="D5" s="49"/>
      <c r="E5" s="50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18</vt:i4>
      </vt:variant>
    </vt:vector>
  </HeadingPairs>
  <TitlesOfParts>
    <vt:vector size="22" baseType="lpstr">
      <vt:lpstr>Absorption_packed</vt:lpstr>
      <vt:lpstr>Equilibrium</vt:lpstr>
      <vt:lpstr>Operation</vt:lpstr>
      <vt:lpstr>Credits</vt:lpstr>
      <vt:lpstr>A.</vt:lpstr>
      <vt:lpstr>B.</vt:lpstr>
      <vt:lpstr>C.</vt:lpstr>
      <vt:lpstr>D.</vt:lpstr>
      <vt:lpstr>E.</vt:lpstr>
      <vt:lpstr>F.</vt:lpstr>
      <vt:lpstr>k_y.a</vt:lpstr>
      <vt:lpstr>L.</vt:lpstr>
      <vt:lpstr>m</vt:lpstr>
      <vt:lpstr>MM_a</vt:lpstr>
      <vt:lpstr>MM_b</vt:lpstr>
      <vt:lpstr>MM_c</vt:lpstr>
      <vt:lpstr>S</vt:lpstr>
      <vt:lpstr>V.</vt:lpstr>
      <vt:lpstr>x1.</vt:lpstr>
      <vt:lpstr>x2.</vt:lpstr>
      <vt:lpstr>y1.</vt:lpstr>
      <vt:lpstr>y2.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2017-03-27T03:05:53Z</dcterms:modified>
</cp:coreProperties>
</file>