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4GRrGHaIg3wz9vlilqgy+/XIbrbdhRWb3GvAzrI2384QjuRCuvvQzMBmq4rkwytnU87Tpe5kSlWbGtpJdrWw+Q==" workbookSaltValue="34arIXdmh4QRzvJ/Sn8p+A==" workbookSpinCount="100000" lockStructure="1"/>
  <bookViews>
    <workbookView xWindow="360" yWindow="300" windowWidth="18735" windowHeight="11700"/>
  </bookViews>
  <sheets>
    <sheet name="Absorption_packed" sheetId="1" r:id="rId1"/>
    <sheet name="Credits" sheetId="2" r:id="rId2"/>
  </sheets>
  <definedNames>
    <definedName name="A">Absorption_packed!#REF!</definedName>
    <definedName name="A.">Absorption_packed!#REF!</definedName>
    <definedName name="A..">#REF!</definedName>
    <definedName name="B">#REF!</definedName>
    <definedName name="B.">Absorption_packed!#REF!</definedName>
    <definedName name="B..">#REF!</definedName>
    <definedName name="C.">Absorption_packed!#REF!</definedName>
    <definedName name="C_">#REF!</definedName>
    <definedName name="const1">#REF!</definedName>
    <definedName name="const10">#REF!</definedName>
    <definedName name="const11">#REF!</definedName>
    <definedName name="const12">#REF!</definedName>
    <definedName name="const13">#REF!</definedName>
    <definedName name="const14">#REF!</definedName>
    <definedName name="const15">#REF!</definedName>
    <definedName name="const16">#REF!</definedName>
    <definedName name="const17">#REF!</definedName>
    <definedName name="const18">#REF!</definedName>
    <definedName name="const19">#REF!</definedName>
    <definedName name="const2">#REF!</definedName>
    <definedName name="const20">#REF!</definedName>
    <definedName name="const3">#REF!</definedName>
    <definedName name="const4">#REF!</definedName>
    <definedName name="const5">#REF!</definedName>
    <definedName name="const6">#REF!</definedName>
    <definedName name="const7">#REF!</definedName>
    <definedName name="const8">#REF!</definedName>
    <definedName name="const9">#REF!</definedName>
    <definedName name="D.">Absorption_packed!#REF!</definedName>
    <definedName name="HG">Absorption_packed!$F$38</definedName>
    <definedName name="HL">Absorption_packed!$F$40</definedName>
    <definedName name="HOG">Absorption_packed!$F$39</definedName>
    <definedName name="HOL">Absorption_packed!$F$41</definedName>
    <definedName name="k_x">Absorption_packed!#REF!</definedName>
    <definedName name="k_x.a">Absorption_packed!$E$7</definedName>
    <definedName name="K_x.a.">Absorption_packed!$M$35</definedName>
    <definedName name="k_y">Absorption_packed!#REF!</definedName>
    <definedName name="K_y.">Absorption_packed!#REF!</definedName>
    <definedName name="k_y.a">Absorption_packed!$E$6</definedName>
    <definedName name="K_y.a.">Absorption_packed!$I$35</definedName>
    <definedName name="kx">Absorption_packed!$L$24</definedName>
    <definedName name="ky">Absorption_packed!#REF!</definedName>
    <definedName name="Ky.">Absorption_packed!#REF!</definedName>
    <definedName name="L.">Absorption_packed!$B$6</definedName>
    <definedName name="L_">Absorption_packed!#REF!</definedName>
    <definedName name="L_V">Absorption_packed!#REF!</definedName>
    <definedName name="LA">#REF!</definedName>
    <definedName name="Lm">Absorption_packed!$I$17</definedName>
    <definedName name="Ln">Absorption_packed!#REF!</definedName>
    <definedName name="Ln.">#REF!</definedName>
    <definedName name="Lo">Absorption_packed!#REF!</definedName>
    <definedName name="Lo.">#REF!</definedName>
    <definedName name="m">Absorption_packed!$B$12</definedName>
    <definedName name="m.">Absorption_packed!$H$24</definedName>
    <definedName name="Nd">#REF!</definedName>
    <definedName name="NG">Absorption_packed!$I$38</definedName>
    <definedName name="NL">Absorption_packed!$I$40</definedName>
    <definedName name="NM">#REF!</definedName>
    <definedName name="Nn">#REF!</definedName>
    <definedName name="Nn_1">#REF!</definedName>
    <definedName name="No">#REF!</definedName>
    <definedName name="NOG">Absorption_packed!$I$39</definedName>
    <definedName name="NOL">Absorption_packed!$I$41</definedName>
    <definedName name="S">Absorption_packed!$E$2</definedName>
    <definedName name="slope_n">#REF!</definedName>
    <definedName name="slope1">Absorption_packed!$E$12</definedName>
    <definedName name="slope2">Absorption_packed!$E$15</definedName>
    <definedName name="solver_adj" localSheetId="0" hidden="1">Absorption_packed!#REF!,Absorption_packed!#REF!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Absorption_packed!#REF!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V">Absorption_packed!#REF!</definedName>
    <definedName name="V.">Absorption_packed!$B$2</definedName>
    <definedName name="V1.">#REF!</definedName>
    <definedName name="V1_">#REF!</definedName>
    <definedName name="Vm">Absorption_packed!$I$14</definedName>
    <definedName name="Vn_1">Absorption_packed!#REF!</definedName>
    <definedName name="Vn_1.">#REF!</definedName>
    <definedName name="x1.">Absorption_packed!$B$9</definedName>
    <definedName name="x1_.">Absorption_packed!$I$8</definedName>
    <definedName name="x2.">Absorption_packed!$B$7</definedName>
    <definedName name="x2_.">Absorption_packed!$I$9</definedName>
    <definedName name="xai1.">Absorption_packed!$E$13</definedName>
    <definedName name="xai2.">Absorption_packed!$E$16</definedName>
    <definedName name="xaL">Absorption_packed!#REF!</definedName>
    <definedName name="xaM">#REF!</definedName>
    <definedName name="xan">#REF!</definedName>
    <definedName name="xao">#REF!</definedName>
    <definedName name="xco">#REF!</definedName>
    <definedName name="xn">Absorption_packed!#REF!</definedName>
    <definedName name="xo">Absorption_packed!#REF!</definedName>
    <definedName name="y1.">Absorption_packed!$B$3</definedName>
    <definedName name="y1_">Absorption_packed!#REF!</definedName>
    <definedName name="y1_.">Absorption_packed!$I$6</definedName>
    <definedName name="y2.">Absorption_packed!$B$4</definedName>
    <definedName name="y2_.">Absorption_packed!$I$7</definedName>
    <definedName name="ya1.">#REF!</definedName>
    <definedName name="ya1_">#REF!</definedName>
    <definedName name="ya10.">#REF!</definedName>
    <definedName name="ya2.">#REF!</definedName>
    <definedName name="ya3.">#REF!</definedName>
    <definedName name="ya4.">#REF!</definedName>
    <definedName name="ya5.">#REF!</definedName>
    <definedName name="ya6.">#REF!</definedName>
    <definedName name="ya7.">#REF!</definedName>
    <definedName name="ya8.">#REF!</definedName>
    <definedName name="ya9.">#REF!</definedName>
    <definedName name="yad">#REF!</definedName>
    <definedName name="yaG">Absorption_packed!$B$4</definedName>
    <definedName name="yai1.">Absorption_packed!$E$14</definedName>
    <definedName name="yai2.">Absorption_packed!$E$17</definedName>
    <definedName name="yaM">#REF!</definedName>
    <definedName name="yan">#REF!</definedName>
    <definedName name="yan_1">#REF!</definedName>
    <definedName name="yao">#REF!</definedName>
    <definedName name="ycn_1">#REF!</definedName>
    <definedName name="yco">#REF!</definedName>
    <definedName name="yn_1">Absorption_packed!#REF!</definedName>
  </definedNames>
  <calcPr calcId="171027"/>
</workbook>
</file>

<file path=xl/calcChain.xml><?xml version="1.0" encoding="utf-8"?>
<calcChain xmlns="http://schemas.openxmlformats.org/spreadsheetml/2006/main">
  <c r="B17" i="1" l="1"/>
  <c r="E6" i="1" l="1"/>
  <c r="I9" i="1"/>
  <c r="M29" i="1" s="1"/>
  <c r="I8" i="1"/>
  <c r="B16" i="1" l="1"/>
  <c r="A16" i="1"/>
  <c r="E7" i="1"/>
  <c r="I16" i="1" l="1"/>
  <c r="I13" i="1"/>
  <c r="I12" i="1"/>
  <c r="I7" i="1"/>
  <c r="I29" i="1" s="1"/>
  <c r="I14" i="1" l="1"/>
  <c r="B33" i="1"/>
  <c r="A33" i="1"/>
  <c r="A26" i="1"/>
  <c r="B8" i="1"/>
  <c r="B9" i="1" s="1"/>
  <c r="F38" i="1" l="1"/>
  <c r="M28" i="1"/>
  <c r="M30" i="1"/>
  <c r="I15" i="1"/>
  <c r="I17" i="1" s="1"/>
  <c r="B26" i="1"/>
  <c r="I6" i="1"/>
  <c r="A21" i="1"/>
  <c r="I41" i="1" l="1"/>
  <c r="F40" i="1"/>
  <c r="I28" i="1"/>
  <c r="I30" i="1"/>
  <c r="I39" i="1" l="1"/>
  <c r="B22" i="1"/>
  <c r="B21" i="1"/>
  <c r="A22" i="1"/>
  <c r="A17" i="1"/>
  <c r="C26" i="1" l="1"/>
  <c r="D26" i="1" s="1"/>
  <c r="E26" i="1" s="1"/>
  <c r="C33" i="1"/>
  <c r="D33" i="1" s="1"/>
  <c r="E33" i="1" s="1"/>
  <c r="F33" i="1" l="1"/>
  <c r="A34" i="1" s="1"/>
  <c r="B34" i="1"/>
  <c r="F26" i="1"/>
  <c r="A27" i="1" s="1"/>
  <c r="B27" i="1"/>
  <c r="M32" i="1" l="1"/>
  <c r="I32" i="1"/>
  <c r="M33" i="1"/>
  <c r="I33" i="1"/>
  <c r="C34" i="1"/>
  <c r="C27" i="1"/>
  <c r="D34" i="1" l="1"/>
  <c r="E34" i="1" s="1"/>
  <c r="E16" i="1" s="1"/>
  <c r="E15" i="1"/>
  <c r="D27" i="1"/>
  <c r="E27" i="1" s="1"/>
  <c r="E13" i="1" s="1"/>
  <c r="E12" i="1"/>
  <c r="F34" i="1"/>
  <c r="E17" i="1" s="1"/>
  <c r="F27" i="1" l="1"/>
  <c r="E14" i="1" s="1"/>
  <c r="I34" i="1"/>
  <c r="I35" i="1" s="1"/>
  <c r="F39" i="1" s="1"/>
  <c r="L39" i="1" s="1"/>
  <c r="M34" i="1"/>
  <c r="M35" i="1" l="1"/>
  <c r="R41" i="1" s="1"/>
  <c r="R39" i="1"/>
  <c r="M25" i="1"/>
  <c r="I40" i="1" s="1"/>
  <c r="R40" i="1" l="1"/>
  <c r="L40" i="1"/>
  <c r="F41" i="1"/>
  <c r="L41" i="1" s="1"/>
  <c r="I25" i="1"/>
  <c r="I38" i="1" s="1"/>
  <c r="R38" i="1" l="1"/>
  <c r="L38" i="1"/>
</calcChain>
</file>

<file path=xl/sharedStrings.xml><?xml version="1.0" encoding="utf-8"?>
<sst xmlns="http://schemas.openxmlformats.org/spreadsheetml/2006/main" count="123" uniqueCount="90">
  <si>
    <t>xeq</t>
  </si>
  <si>
    <t>yeq</t>
  </si>
  <si>
    <t>xN</t>
  </si>
  <si>
    <t>yN+1</t>
  </si>
  <si>
    <t>Operating Line:</t>
  </si>
  <si>
    <t>Equilibrium Line:</t>
  </si>
  <si>
    <t>Initial Data:</t>
  </si>
  <si>
    <t>kmol/h</t>
  </si>
  <si>
    <t>V1</t>
  </si>
  <si>
    <t>m</t>
  </si>
  <si>
    <t>P</t>
  </si>
  <si>
    <t>T</t>
  </si>
  <si>
    <t>K</t>
  </si>
  <si>
    <t>atm</t>
  </si>
  <si>
    <t>k'y.a</t>
  </si>
  <si>
    <t>k'x.a</t>
  </si>
  <si>
    <t>L1</t>
  </si>
  <si>
    <t>L.</t>
  </si>
  <si>
    <t>V.</t>
  </si>
  <si>
    <t>y1.</t>
  </si>
  <si>
    <t>y2.</t>
  </si>
  <si>
    <t>x2.</t>
  </si>
  <si>
    <t>x1.</t>
  </si>
  <si>
    <t>x1/(1-x1)</t>
  </si>
  <si>
    <t>m²</t>
  </si>
  <si>
    <t>(1-ya)iM</t>
  </si>
  <si>
    <t>(1-xa)iM</t>
  </si>
  <si>
    <t>slope</t>
  </si>
  <si>
    <t>y(0)</t>
  </si>
  <si>
    <t>xai</t>
  </si>
  <si>
    <t>yai</t>
  </si>
  <si>
    <t>slope1</t>
  </si>
  <si>
    <t>slope2</t>
  </si>
  <si>
    <t>Iterations (x1,y1):</t>
  </si>
  <si>
    <t>Iterations (x2,y2):</t>
  </si>
  <si>
    <t>xai2.</t>
  </si>
  <si>
    <t>yai2.</t>
  </si>
  <si>
    <t>xai1.</t>
  </si>
  <si>
    <t>yai1.</t>
  </si>
  <si>
    <t>y1*.</t>
  </si>
  <si>
    <t>y2*.</t>
  </si>
  <si>
    <t>Equilibrium Slope:</t>
  </si>
  <si>
    <t>Operating Slopes:</t>
  </si>
  <si>
    <t>V2</t>
  </si>
  <si>
    <t>Vm</t>
  </si>
  <si>
    <t>L2</t>
  </si>
  <si>
    <t>Lm</t>
  </si>
  <si>
    <t>S</t>
  </si>
  <si>
    <t>(y-yi)M</t>
  </si>
  <si>
    <t>(xi-x)M</t>
  </si>
  <si>
    <t>Absorption Packed Tower</t>
  </si>
  <si>
    <t>k'y.a:</t>
  </si>
  <si>
    <t>K'y.a:</t>
  </si>
  <si>
    <t>k'x.a:</t>
  </si>
  <si>
    <t>(y-y*)M</t>
  </si>
  <si>
    <t>1/m.ky.a</t>
  </si>
  <si>
    <t>1/kx.a</t>
  </si>
  <si>
    <t>K'y.a.</t>
  </si>
  <si>
    <t>1/Ky.a.</t>
  </si>
  <si>
    <t>1/ky.a</t>
  </si>
  <si>
    <t>m/kx.a</t>
  </si>
  <si>
    <t>K'x.a:</t>
  </si>
  <si>
    <t>x1*.</t>
  </si>
  <si>
    <t>x2*.</t>
  </si>
  <si>
    <t>(x-x*)M</t>
  </si>
  <si>
    <t>K'x.a.</t>
  </si>
  <si>
    <t>Transfer Units Method:</t>
  </si>
  <si>
    <t>HG</t>
  </si>
  <si>
    <t>HOG</t>
  </si>
  <si>
    <t>HL</t>
  </si>
  <si>
    <t>HOL</t>
  </si>
  <si>
    <t>NG</t>
  </si>
  <si>
    <t>NOG</t>
  </si>
  <si>
    <t>NL</t>
  </si>
  <si>
    <t>NOL</t>
  </si>
  <si>
    <t>(1-y1)*M</t>
  </si>
  <si>
    <t>(1-x1)*M</t>
  </si>
  <si>
    <t>(1-y2)*M</t>
  </si>
  <si>
    <t>(1-x2)*M</t>
  </si>
  <si>
    <t>z (ky)</t>
  </si>
  <si>
    <t>z(Ky)</t>
  </si>
  <si>
    <t>z(kx)</t>
  </si>
  <si>
    <t>z(Kx)</t>
  </si>
  <si>
    <t>Simplified Design Method:</t>
  </si>
  <si>
    <t>Dilute mixture</t>
  </si>
  <si>
    <t>kmol/s.m³.mf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</si>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</sst>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5" borderId="0" xfId="0" applyFont="1" applyFill="1" applyBorder="1" applyAlignment="1">
      <alignment horizontal="center"/>
    </xf>
    <xf numFmtId="0" fontId="1" fillId="0" borderId="0" xfId="0" applyFont="1"/>
    <xf numFmtId="165" fontId="0" fillId="0" borderId="1" xfId="0" applyNumberFormat="1" applyFont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8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166" fontId="1" fillId="6" borderId="12" xfId="0" applyNumberFormat="1" applyFont="1" applyFill="1" applyBorder="1" applyAlignment="1">
      <alignment horizontal="center"/>
    </xf>
    <xf numFmtId="166" fontId="1" fillId="6" borderId="14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166" fontId="1" fillId="6" borderId="20" xfId="0" applyNumberFormat="1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0" xfId="0" applyFont="1" applyFill="1" applyBorder="1"/>
    <xf numFmtId="0" fontId="0" fillId="7" borderId="6" xfId="0" applyFill="1" applyBorder="1"/>
    <xf numFmtId="0" fontId="0" fillId="7" borderId="15" xfId="0" applyFont="1" applyFill="1" applyBorder="1"/>
    <xf numFmtId="0" fontId="0" fillId="7" borderId="16" xfId="0" applyFont="1" applyFill="1" applyBorder="1"/>
    <xf numFmtId="0" fontId="0" fillId="7" borderId="17" xfId="0" applyFill="1" applyBorder="1"/>
    <xf numFmtId="0" fontId="0" fillId="7" borderId="13" xfId="0" applyFill="1" applyBorder="1"/>
    <xf numFmtId="0" fontId="0" fillId="7" borderId="0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0" xfId="0" applyFill="1" applyBorder="1"/>
    <xf numFmtId="0" fontId="0" fillId="7" borderId="7" xfId="0" applyFill="1" applyBorder="1"/>
    <xf numFmtId="0" fontId="0" fillId="7" borderId="19" xfId="0" applyFill="1" applyBorder="1"/>
    <xf numFmtId="0" fontId="0" fillId="7" borderId="11" xfId="0" applyFill="1" applyBorder="1"/>
    <xf numFmtId="166" fontId="1" fillId="9" borderId="9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1" fillId="9" borderId="18" xfId="0" applyNumberFormat="1" applyFont="1" applyFill="1" applyBorder="1" applyAlignment="1">
      <alignment horizontal="center"/>
    </xf>
    <xf numFmtId="165" fontId="1" fillId="9" borderId="1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5" fontId="0" fillId="7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  <protection locked="0"/>
    </xf>
    <xf numFmtId="165" fontId="1" fillId="4" borderId="1" xfId="0" applyNumberFormat="1" applyFont="1" applyFill="1" applyBorder="1" applyAlignment="1" applyProtection="1">
      <alignment horizontal="center"/>
      <protection locked="0"/>
    </xf>
    <xf numFmtId="166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NumberFormat="1" applyFont="1" applyFill="1" applyBorder="1" applyAlignment="1" applyProtection="1">
      <alignment horizontal="center"/>
      <protection locked="0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/>
    <xf numFmtId="0" fontId="0" fillId="0" borderId="0" xfId="0" applyBorder="1"/>
    <xf numFmtId="0" fontId="0" fillId="0" borderId="24" xfId="0" applyBorder="1"/>
    <xf numFmtId="0" fontId="1" fillId="0" borderId="15" xfId="0" applyFont="1" applyBorder="1"/>
    <xf numFmtId="0" fontId="0" fillId="0" borderId="16" xfId="0" applyBorder="1" applyAlignment="1">
      <alignment horizontal="left"/>
    </xf>
    <xf numFmtId="0" fontId="0" fillId="0" borderId="16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Equilibrium</c:v>
          </c:tx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Absorption_packed!$A$16:$A$17</c:f>
              <c:numCache>
                <c:formatCode>0.0000</c:formatCode>
                <c:ptCount val="2"/>
                <c:pt idx="0">
                  <c:v>2.1922428330522766E-2</c:v>
                </c:pt>
                <c:pt idx="1">
                  <c:v>0</c:v>
                </c:pt>
              </c:numCache>
            </c:numRef>
          </c:xVal>
          <c:yVal>
            <c:numRef>
              <c:f>Absorption_packed!$B$16:$B$17</c:f>
              <c:numCache>
                <c:formatCode>0.0000</c:formatCode>
                <c:ptCount val="2"/>
                <c:pt idx="0">
                  <c:v>2.5999999999999999E-2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A-4B1F-AA8C-EC81FFFB82AF}"/>
            </c:ext>
          </c:extLst>
        </c:ser>
        <c:ser>
          <c:idx val="1"/>
          <c:order val="1"/>
          <c:tx>
            <c:v>Operation</c:v>
          </c:tx>
          <c:spPr>
            <a:ln w="28575" cap="flat" cmpd="sng" algn="ctr">
              <a:solidFill>
                <a:srgbClr val="7030A0"/>
              </a:solidFill>
              <a:prstDash val="sysDash"/>
              <a:headEnd type="oval" w="med" len="med"/>
              <a:tailEnd type="oval" w="med" len="med"/>
            </a:ln>
            <a:effectLst/>
          </c:spPr>
          <c:marker>
            <c:symbol val="none"/>
          </c:marker>
          <c:xVal>
            <c:numRef>
              <c:f>Absorption_packed!$A$21:$A$22</c:f>
              <c:numCache>
                <c:formatCode>0.0000</c:formatCode>
                <c:ptCount val="2"/>
                <c:pt idx="0">
                  <c:v>6.4784950982709408E-3</c:v>
                </c:pt>
                <c:pt idx="1">
                  <c:v>0</c:v>
                </c:pt>
              </c:numCache>
            </c:numRef>
          </c:xVal>
          <c:yVal>
            <c:numRef>
              <c:f>Absorption_packed!$B$21:$B$22</c:f>
              <c:numCache>
                <c:formatCode>0.0000</c:formatCode>
                <c:ptCount val="2"/>
                <c:pt idx="0">
                  <c:v>2.5999999999999999E-2</c:v>
                </c:pt>
                <c:pt idx="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A-4B1F-AA8C-EC81FFFB82AF}"/>
            </c:ext>
          </c:extLst>
        </c:ser>
        <c:ser>
          <c:idx val="2"/>
          <c:order val="2"/>
          <c:tx>
            <c:v>i1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(Absorption_packed!$B$9,Absorption_packed!$E$13)</c:f>
              <c:numCache>
                <c:formatCode>0.0000</c:formatCode>
                <c:ptCount val="2"/>
                <c:pt idx="0">
                  <c:v>6.4784950982709408E-3</c:v>
                </c:pt>
                <c:pt idx="1">
                  <c:v>1.3025813864830092E-2</c:v>
                </c:pt>
              </c:numCache>
            </c:numRef>
          </c:xVal>
          <c:yVal>
            <c:numRef>
              <c:f>(Absorption_packed!$B$3,Absorption_packed!$E$14)</c:f>
              <c:numCache>
                <c:formatCode>0.0000</c:formatCode>
                <c:ptCount val="2"/>
                <c:pt idx="0">
                  <c:v>2.5999999999999999E-2</c:v>
                </c:pt>
                <c:pt idx="1">
                  <c:v>1.5448615243688488E-2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A-4B1F-AA8C-EC81FFFB82AF}"/>
            </c:ext>
          </c:extLst>
        </c:ser>
        <c:ser>
          <c:idx val="3"/>
          <c:order val="3"/>
          <c:tx>
            <c:v>i2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(Absorption_packed!$B$7,Absorption_packed!$E$16)</c:f>
              <c:numCache>
                <c:formatCode>0.0000</c:formatCode>
                <c:ptCount val="2"/>
                <c:pt idx="0">
                  <c:v>0</c:v>
                </c:pt>
                <c:pt idx="1">
                  <c:v>1.7785486004492799E-3</c:v>
                </c:pt>
              </c:numCache>
            </c:numRef>
          </c:xVal>
          <c:yVal>
            <c:numRef>
              <c:f>(Absorption_packed!$B$4,Absorption_packed!$E$17)</c:f>
              <c:numCache>
                <c:formatCode>0.0000</c:formatCode>
                <c:ptCount val="2"/>
                <c:pt idx="0">
                  <c:v>5.0000000000000001E-3</c:v>
                </c:pt>
                <c:pt idx="1">
                  <c:v>2.109358640132846E-3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EA-4B1F-AA8C-EC81FFFB82AF}"/>
            </c:ext>
          </c:extLst>
        </c:ser>
        <c:ser>
          <c:idx val="4"/>
          <c:order val="4"/>
          <c:tx>
            <c:v>y1</c:v>
          </c:tx>
          <c:spPr>
            <a:ln w="2540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(Absorption_packed!$B$9,Absorption_packed!$B$9)</c:f>
              <c:numCache>
                <c:formatCode>0.0000</c:formatCode>
                <c:ptCount val="2"/>
                <c:pt idx="0">
                  <c:v>6.4784950982709408E-3</c:v>
                </c:pt>
                <c:pt idx="1">
                  <c:v>6.4784950982709408E-3</c:v>
                </c:pt>
              </c:numCache>
            </c:numRef>
          </c:xVal>
          <c:yVal>
            <c:numRef>
              <c:f>(Absorption_packed!$B$3,Absorption_packed!$E$14)</c:f>
              <c:numCache>
                <c:formatCode>0.0000</c:formatCode>
                <c:ptCount val="2"/>
                <c:pt idx="0">
                  <c:v>2.5999999999999999E-2</c:v>
                </c:pt>
                <c:pt idx="1">
                  <c:v>1.5448615243688488E-2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EA-4B1F-AA8C-EC81FFFB82AF}"/>
            </c:ext>
          </c:extLst>
        </c:ser>
        <c:ser>
          <c:idx val="5"/>
          <c:order val="5"/>
          <c:tx>
            <c:v>x1</c:v>
          </c:tx>
          <c:spPr>
            <a:ln w="2540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(Absorption_packed!$B$9,Absorption_packed!$E$13)</c:f>
              <c:numCache>
                <c:formatCode>0.0000</c:formatCode>
                <c:ptCount val="2"/>
                <c:pt idx="0">
                  <c:v>6.4784950982709408E-3</c:v>
                </c:pt>
                <c:pt idx="1">
                  <c:v>1.3025813864830092E-2</c:v>
                </c:pt>
              </c:numCache>
            </c:numRef>
          </c:xVal>
          <c:yVal>
            <c:numRef>
              <c:f>(Absorption_packed!$E$14,Absorption_packed!$E$14)</c:f>
              <c:numCache>
                <c:formatCode>0.0000</c:formatCode>
                <c:ptCount val="2"/>
                <c:pt idx="0">
                  <c:v>1.5448615243688488E-2</c:v>
                </c:pt>
                <c:pt idx="1">
                  <c:v>1.5448615243688488E-2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EA-4B1F-AA8C-EC81FFFB82AF}"/>
            </c:ext>
          </c:extLst>
        </c:ser>
        <c:ser>
          <c:idx val="6"/>
          <c:order val="6"/>
          <c:tx>
            <c:v>y2</c:v>
          </c:tx>
          <c:spPr>
            <a:ln w="2540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(Absorption_packed!$B$7,Absorption_packed!$B$7)</c:f>
              <c:numCache>
                <c:formatCode>0.0000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(Absorption_packed!$B$4,Absorption_packed!$E$17)</c:f>
              <c:numCache>
                <c:formatCode>0.0000</c:formatCode>
                <c:ptCount val="2"/>
                <c:pt idx="0">
                  <c:v>5.0000000000000001E-3</c:v>
                </c:pt>
                <c:pt idx="1">
                  <c:v>2.109358640132846E-3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EA-4B1F-AA8C-EC81FFFB82AF}"/>
            </c:ext>
          </c:extLst>
        </c:ser>
        <c:ser>
          <c:idx val="7"/>
          <c:order val="7"/>
          <c:tx>
            <c:v>x2</c:v>
          </c:tx>
          <c:spPr>
            <a:ln w="2540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(Absorption_packed!$B$7,Absorption_packed!$E$16)</c:f>
              <c:numCache>
                <c:formatCode>0.0000</c:formatCode>
                <c:ptCount val="2"/>
                <c:pt idx="0">
                  <c:v>0</c:v>
                </c:pt>
                <c:pt idx="1">
                  <c:v>1.7785486004492799E-3</c:v>
                </c:pt>
              </c:numCache>
            </c:numRef>
          </c:xVal>
          <c:yVal>
            <c:numRef>
              <c:f>(Absorption_packed!$E$17,Absorption_packed!$E$17)</c:f>
              <c:numCache>
                <c:formatCode>0.0000</c:formatCode>
                <c:ptCount val="2"/>
                <c:pt idx="0">
                  <c:v>2.109358640132846E-3</c:v>
                </c:pt>
                <c:pt idx="1">
                  <c:v>2.109358640132846E-3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EA-4B1F-AA8C-EC81FFFB82AF}"/>
            </c:ext>
          </c:extLst>
        </c:ser>
        <c:ser>
          <c:idx val="8"/>
          <c:order val="8"/>
          <c:tx>
            <c:v>0.1</c:v>
          </c:tx>
          <c:spPr>
            <a:ln w="25400" cap="flat" cmpd="sng" algn="ctr">
              <a:solidFill>
                <a:schemeClr val="dk1"/>
              </a:solidFill>
              <a:prstDash val="sysDot"/>
            </a:ln>
            <a:effectLst/>
          </c:spPr>
          <c:marker>
            <c:symbol val="none"/>
          </c:marker>
          <c:xVal>
            <c:numRef>
              <c:f>(Absorption_packed!$B$9,Absorption_packed!$I$8)</c:f>
              <c:numCache>
                <c:formatCode>0.0000</c:formatCode>
                <c:ptCount val="2"/>
                <c:pt idx="0">
                  <c:v>6.4784950982709408E-3</c:v>
                </c:pt>
                <c:pt idx="1">
                  <c:v>2.1922428330522766E-2</c:v>
                </c:pt>
              </c:numCache>
            </c:numRef>
          </c:xVal>
          <c:yVal>
            <c:numRef>
              <c:f>(Absorption_packed!$B$3,Absorption_packed!$B$3)</c:f>
              <c:numCache>
                <c:formatCode>0.0000</c:formatCode>
                <c:ptCount val="2"/>
                <c:pt idx="0">
                  <c:v>2.5999999999999999E-2</c:v>
                </c:pt>
                <c:pt idx="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EA-4B1F-AA8C-EC81FFFB82AF}"/>
            </c:ext>
          </c:extLst>
        </c:ser>
        <c:ser>
          <c:idx val="9"/>
          <c:order val="9"/>
          <c:tx>
            <c:v>0.2</c:v>
          </c:tx>
          <c:spPr>
            <a:ln w="25400" cap="flat" cmpd="sng" algn="ctr">
              <a:solidFill>
                <a:schemeClr val="dk1"/>
              </a:solidFill>
              <a:prstDash val="sysDot"/>
            </a:ln>
            <a:effectLst/>
          </c:spPr>
          <c:marker>
            <c:symbol val="none"/>
          </c:marker>
          <c:xVal>
            <c:numRef>
              <c:f>(Absorption_packed!$B$7,Absorption_packed!$I$9)</c:f>
              <c:numCache>
                <c:formatCode>0.0000</c:formatCode>
                <c:ptCount val="2"/>
                <c:pt idx="0">
                  <c:v>0</c:v>
                </c:pt>
                <c:pt idx="1">
                  <c:v>4.2158516020236094E-3</c:v>
                </c:pt>
              </c:numCache>
            </c:numRef>
          </c:xVal>
          <c:yVal>
            <c:numRef>
              <c:f>(Absorption_packed!$B$4,Absorption_packed!$B$4)</c:f>
              <c:numCache>
                <c:formatCode>0.0000</c:formatCode>
                <c:ptCount val="2"/>
                <c:pt idx="0">
                  <c:v>5.0000000000000001E-3</c:v>
                </c:pt>
                <c:pt idx="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EA-4B1F-AA8C-EC81FFFB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19936"/>
        <c:axId val="164521856"/>
      </c:scatterChart>
      <c:valAx>
        <c:axId val="164519936"/>
        <c:scaling>
          <c:orientation val="minMax"/>
          <c:max val="2.5000000000000012E-2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4521856"/>
        <c:crosses val="autoZero"/>
        <c:crossBetween val="midCat"/>
      </c:valAx>
      <c:valAx>
        <c:axId val="164521856"/>
        <c:scaling>
          <c:orientation val="minMax"/>
          <c:max val="3.0000000000000002E-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451993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0</xdr:rowOff>
    </xdr:from>
    <xdr:to>
      <xdr:col>19</xdr:col>
      <xdr:colOff>342111</xdr:colOff>
      <xdr:row>20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GridLines="0" tabSelected="1" workbookViewId="0">
      <selection activeCell="F18" sqref="F18"/>
    </sheetView>
  </sheetViews>
  <sheetFormatPr defaultRowHeight="15" x14ac:dyDescent="0.25"/>
  <cols>
    <col min="1" max="1" width="9" customWidth="1"/>
    <col min="2" max="2" width="9.140625" customWidth="1"/>
    <col min="3" max="3" width="8.85546875" customWidth="1"/>
    <col min="5" max="5" width="9.140625" customWidth="1"/>
    <col min="7" max="7" width="8.85546875" customWidth="1"/>
    <col min="8" max="8" width="9" customWidth="1"/>
  </cols>
  <sheetData>
    <row r="1" spans="1:18" x14ac:dyDescent="0.25">
      <c r="A1" s="56" t="s">
        <v>6</v>
      </c>
      <c r="B1" s="5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4" t="s">
        <v>18</v>
      </c>
      <c r="B2" s="50">
        <v>13.65</v>
      </c>
      <c r="C2" t="s">
        <v>7</v>
      </c>
      <c r="D2" s="4" t="s">
        <v>47</v>
      </c>
      <c r="E2" s="50">
        <v>0.186</v>
      </c>
      <c r="F2" t="s">
        <v>24</v>
      </c>
      <c r="G2" s="1"/>
      <c r="H2" s="57" t="s">
        <v>50</v>
      </c>
      <c r="I2" s="58"/>
      <c r="J2" s="59"/>
      <c r="M2" s="1"/>
      <c r="N2" s="1"/>
      <c r="O2" s="1"/>
      <c r="P2" s="1"/>
      <c r="Q2" s="1"/>
      <c r="R2" s="1"/>
    </row>
    <row r="3" spans="1:18" x14ac:dyDescent="0.25">
      <c r="A3" s="4" t="s">
        <v>19</v>
      </c>
      <c r="B3" s="51">
        <v>2.5999999999999999E-2</v>
      </c>
      <c r="C3" s="1"/>
      <c r="D3" s="4" t="s">
        <v>10</v>
      </c>
      <c r="E3" s="53">
        <v>1</v>
      </c>
      <c r="F3" t="s">
        <v>13</v>
      </c>
      <c r="H3" s="62" t="s">
        <v>84</v>
      </c>
      <c r="I3" s="62"/>
      <c r="J3" s="62"/>
      <c r="M3" s="1"/>
      <c r="N3" s="1"/>
      <c r="O3" s="1"/>
      <c r="P3" s="1"/>
      <c r="Q3" s="1"/>
      <c r="R3" s="1"/>
    </row>
    <row r="4" spans="1:18" x14ac:dyDescent="0.25">
      <c r="A4" s="15" t="s">
        <v>20</v>
      </c>
      <c r="B4" s="51">
        <v>5.0000000000000001E-3</v>
      </c>
      <c r="D4" s="13" t="s">
        <v>11</v>
      </c>
      <c r="E4" s="53">
        <v>293</v>
      </c>
      <c r="F4" t="s">
        <v>12</v>
      </c>
      <c r="N4" s="1"/>
      <c r="O4" s="1"/>
      <c r="P4" s="1"/>
      <c r="Q4" s="1"/>
      <c r="R4" s="1"/>
    </row>
    <row r="5" spans="1:18" x14ac:dyDescent="0.25">
      <c r="N5" s="1"/>
      <c r="O5" s="1"/>
      <c r="P5" s="1"/>
      <c r="Q5" s="1"/>
      <c r="R5" s="1"/>
    </row>
    <row r="6" spans="1:18" x14ac:dyDescent="0.25">
      <c r="A6" s="4" t="s">
        <v>17</v>
      </c>
      <c r="B6" s="50">
        <v>45.36</v>
      </c>
      <c r="C6" t="s">
        <v>7</v>
      </c>
      <c r="D6" s="13" t="s">
        <v>14</v>
      </c>
      <c r="E6" s="51">
        <f>37.8*10^-3</f>
        <v>3.78E-2</v>
      </c>
      <c r="F6" s="14" t="s">
        <v>85</v>
      </c>
      <c r="H6" s="2" t="s">
        <v>39</v>
      </c>
      <c r="I6" s="9">
        <f>m*x1.</f>
        <v>7.6834951865493353E-3</v>
      </c>
      <c r="N6" s="1"/>
      <c r="O6" s="1"/>
      <c r="P6" s="1"/>
      <c r="Q6" s="1"/>
      <c r="R6" s="1"/>
    </row>
    <row r="7" spans="1:18" x14ac:dyDescent="0.25">
      <c r="A7" s="4" t="s">
        <v>21</v>
      </c>
      <c r="B7" s="51">
        <v>0</v>
      </c>
      <c r="D7" s="4" t="s">
        <v>15</v>
      </c>
      <c r="E7" s="51">
        <f>61.6*10^-3</f>
        <v>6.1600000000000002E-2</v>
      </c>
      <c r="F7" s="14" t="s">
        <v>85</v>
      </c>
      <c r="H7" s="2" t="s">
        <v>40</v>
      </c>
      <c r="I7" s="9">
        <f>m*x2.</f>
        <v>0</v>
      </c>
      <c r="N7" s="1"/>
      <c r="O7" s="1"/>
      <c r="P7" s="1"/>
      <c r="Q7" s="1"/>
      <c r="R7" s="1"/>
    </row>
    <row r="8" spans="1:18" x14ac:dyDescent="0.25">
      <c r="A8" s="10" t="s">
        <v>23</v>
      </c>
      <c r="B8" s="9">
        <f>(L.*(x2./(1-x2.))+V.*(y1./(1-y1.))-V.*(y2./(1-y2.)))/L.</f>
        <v>6.5207396783139989E-3</v>
      </c>
      <c r="F8" s="1"/>
      <c r="H8" s="2" t="s">
        <v>62</v>
      </c>
      <c r="I8" s="9">
        <f>y1./m</f>
        <v>2.1922428330522766E-2</v>
      </c>
      <c r="N8" s="1"/>
      <c r="O8" s="1"/>
      <c r="P8" s="1"/>
      <c r="Q8" s="1"/>
      <c r="R8" s="1"/>
    </row>
    <row r="9" spans="1:18" x14ac:dyDescent="0.25">
      <c r="A9" s="10" t="s">
        <v>22</v>
      </c>
      <c r="B9" s="11">
        <f>B8/(1+B8)</f>
        <v>6.4784950982709408E-3</v>
      </c>
      <c r="F9" s="6"/>
      <c r="H9" s="2" t="s">
        <v>63</v>
      </c>
      <c r="I9" s="9">
        <f>y2./m</f>
        <v>4.2158516020236094E-3</v>
      </c>
      <c r="N9" s="1"/>
      <c r="O9" s="1"/>
      <c r="P9" s="1"/>
      <c r="Q9" s="1"/>
      <c r="R9" s="1"/>
    </row>
    <row r="10" spans="1:18" x14ac:dyDescent="0.25">
      <c r="N10" s="1"/>
      <c r="O10" s="1"/>
      <c r="P10" s="1"/>
      <c r="Q10" s="1"/>
      <c r="R10" s="1"/>
    </row>
    <row r="11" spans="1:18" x14ac:dyDescent="0.25">
      <c r="A11" s="56" t="s">
        <v>41</v>
      </c>
      <c r="B11" s="56"/>
      <c r="D11" s="56" t="s">
        <v>42</v>
      </c>
      <c r="E11" s="56"/>
      <c r="N11" s="1"/>
      <c r="O11" s="1"/>
      <c r="P11" s="1"/>
      <c r="Q11" s="1"/>
      <c r="R11" s="1"/>
    </row>
    <row r="12" spans="1:18" x14ac:dyDescent="0.25">
      <c r="A12" s="4" t="s">
        <v>9</v>
      </c>
      <c r="B12" s="52">
        <v>1.1859999999999999</v>
      </c>
      <c r="D12" s="10" t="s">
        <v>31</v>
      </c>
      <c r="E12" s="48">
        <f>C27</f>
        <v>-1.6115581251677229</v>
      </c>
      <c r="F12" s="6"/>
      <c r="H12" s="5" t="s">
        <v>8</v>
      </c>
      <c r="I12" s="21">
        <f>V./(1-y1.)</f>
        <v>14.014373716632445</v>
      </c>
      <c r="J12" t="s">
        <v>7</v>
      </c>
      <c r="N12" s="1"/>
      <c r="O12" s="1"/>
      <c r="P12" s="1"/>
      <c r="Q12" s="1"/>
      <c r="R12" s="1"/>
    </row>
    <row r="13" spans="1:18" x14ac:dyDescent="0.25">
      <c r="D13" s="2" t="s">
        <v>37</v>
      </c>
      <c r="E13" s="46">
        <f>E27</f>
        <v>1.3025813864830092E-2</v>
      </c>
      <c r="F13" s="7"/>
      <c r="H13" s="12" t="s">
        <v>43</v>
      </c>
      <c r="I13" s="21">
        <f>V./(1-y2.)</f>
        <v>13.71859296482412</v>
      </c>
      <c r="J13" t="s">
        <v>7</v>
      </c>
      <c r="N13" s="1"/>
      <c r="O13" s="1"/>
      <c r="P13" s="1"/>
      <c r="Q13" s="1"/>
      <c r="R13" s="1"/>
    </row>
    <row r="14" spans="1:18" x14ac:dyDescent="0.25">
      <c r="A14" s="60" t="s">
        <v>5</v>
      </c>
      <c r="B14" s="60"/>
      <c r="C14" s="1"/>
      <c r="D14" s="2" t="s">
        <v>38</v>
      </c>
      <c r="E14" s="46">
        <f>F27</f>
        <v>1.5448615243688488E-2</v>
      </c>
      <c r="F14" s="7"/>
      <c r="H14" s="2" t="s">
        <v>44</v>
      </c>
      <c r="I14" s="47">
        <f>AVERAGE(I12:I13)</f>
        <v>13.866483340728283</v>
      </c>
      <c r="J14" t="s">
        <v>7</v>
      </c>
      <c r="M14" s="1"/>
      <c r="N14" s="1"/>
      <c r="O14" s="1"/>
      <c r="P14" s="1"/>
      <c r="Q14" s="1"/>
      <c r="R14" s="1"/>
    </row>
    <row r="15" spans="1:18" x14ac:dyDescent="0.25">
      <c r="A15" s="5" t="s">
        <v>0</v>
      </c>
      <c r="B15" s="5" t="s">
        <v>1</v>
      </c>
      <c r="C15" s="1"/>
      <c r="D15" s="10" t="s">
        <v>32</v>
      </c>
      <c r="E15" s="48">
        <f>C34</f>
        <v>-1.6252810629616463</v>
      </c>
      <c r="F15" s="6"/>
      <c r="H15" s="12" t="s">
        <v>16</v>
      </c>
      <c r="I15" s="21">
        <f>L./(1-x1.)</f>
        <v>45.655780751808322</v>
      </c>
      <c r="J15" t="s">
        <v>7</v>
      </c>
      <c r="M15" s="1"/>
      <c r="N15" s="1"/>
      <c r="O15" s="1"/>
      <c r="P15" s="1"/>
      <c r="Q15" s="1"/>
      <c r="R15" s="1"/>
    </row>
    <row r="16" spans="1:18" x14ac:dyDescent="0.25">
      <c r="A16" s="49">
        <f>x1_.</f>
        <v>2.1922428330522766E-2</v>
      </c>
      <c r="B16" s="49">
        <f>m*x1_.</f>
        <v>2.5999999999999999E-2</v>
      </c>
      <c r="C16" s="1"/>
      <c r="D16" s="2" t="s">
        <v>35</v>
      </c>
      <c r="E16" s="46">
        <f>E34</f>
        <v>1.7785486004492799E-3</v>
      </c>
      <c r="F16" s="1"/>
      <c r="H16" s="12" t="s">
        <v>45</v>
      </c>
      <c r="I16" s="21">
        <f>L./(1-x2.)</f>
        <v>45.36</v>
      </c>
      <c r="J16" t="s">
        <v>7</v>
      </c>
      <c r="M16" s="1"/>
      <c r="N16" s="1"/>
      <c r="O16" s="1"/>
      <c r="P16" s="1"/>
      <c r="Q16" s="1"/>
      <c r="R16" s="1"/>
    </row>
    <row r="17" spans="1:13" x14ac:dyDescent="0.25">
      <c r="A17" s="49">
        <f>x2.</f>
        <v>0</v>
      </c>
      <c r="B17" s="49">
        <f>m*x2.</f>
        <v>0</v>
      </c>
      <c r="C17" s="1"/>
      <c r="D17" s="2" t="s">
        <v>36</v>
      </c>
      <c r="E17" s="46">
        <f>F34</f>
        <v>2.109358640132846E-3</v>
      </c>
      <c r="F17" s="1"/>
      <c r="H17" s="2" t="s">
        <v>46</v>
      </c>
      <c r="I17" s="47">
        <f>AVERAGE(I15:I16)</f>
        <v>45.507890375904161</v>
      </c>
      <c r="J17" t="s">
        <v>7</v>
      </c>
    </row>
    <row r="18" spans="1:13" x14ac:dyDescent="0.25">
      <c r="C18" s="1"/>
      <c r="D18" s="1"/>
      <c r="E18" s="1"/>
      <c r="F18" s="1"/>
      <c r="G18" s="1"/>
      <c r="H18" s="1"/>
    </row>
    <row r="19" spans="1:13" x14ac:dyDescent="0.25">
      <c r="A19" s="61" t="s">
        <v>4</v>
      </c>
      <c r="B19" s="61"/>
      <c r="C19" s="1"/>
      <c r="D19" s="1"/>
      <c r="E19" s="1"/>
      <c r="F19" s="1"/>
      <c r="G19" s="1"/>
      <c r="H19" s="1"/>
    </row>
    <row r="20" spans="1:13" x14ac:dyDescent="0.25">
      <c r="A20" s="2" t="s">
        <v>2</v>
      </c>
      <c r="B20" s="2" t="s">
        <v>3</v>
      </c>
      <c r="C20" s="1"/>
      <c r="D20" s="1"/>
      <c r="E20" s="1"/>
      <c r="F20" s="1"/>
      <c r="G20" s="1"/>
      <c r="H20" s="1"/>
    </row>
    <row r="21" spans="1:13" x14ac:dyDescent="0.25">
      <c r="A21" s="18">
        <f>x1.</f>
        <v>6.4784950982709408E-3</v>
      </c>
      <c r="B21" s="18">
        <f>y1.</f>
        <v>2.5999999999999999E-2</v>
      </c>
      <c r="C21" s="1"/>
      <c r="D21" s="1"/>
      <c r="E21" s="1"/>
      <c r="F21" s="1"/>
      <c r="G21" s="1"/>
      <c r="H21" s="1"/>
    </row>
    <row r="22" spans="1:13" x14ac:dyDescent="0.25">
      <c r="A22" s="18">
        <f>x2.</f>
        <v>0</v>
      </c>
      <c r="B22" s="18">
        <f>y2.</f>
        <v>5.0000000000000001E-3</v>
      </c>
      <c r="C22" s="1"/>
      <c r="D22" s="1"/>
      <c r="E22" s="1"/>
      <c r="F22" s="1"/>
      <c r="G22" s="1"/>
      <c r="H22" s="1"/>
    </row>
    <row r="23" spans="1:13" x14ac:dyDescent="0.25">
      <c r="A23" s="1"/>
      <c r="B23" s="1"/>
      <c r="C23" s="1"/>
      <c r="F23" s="1"/>
      <c r="G23" s="1"/>
      <c r="H23" s="1"/>
    </row>
    <row r="24" spans="1:13" x14ac:dyDescent="0.25">
      <c r="A24" s="16" t="s">
        <v>33</v>
      </c>
      <c r="G24" s="1"/>
      <c r="H24" s="22" t="s">
        <v>51</v>
      </c>
      <c r="I24" s="22"/>
      <c r="J24" s="1"/>
      <c r="L24" s="22" t="s">
        <v>53</v>
      </c>
      <c r="M24" s="22"/>
    </row>
    <row r="25" spans="1:13" x14ac:dyDescent="0.25">
      <c r="A25" s="23" t="s">
        <v>25</v>
      </c>
      <c r="B25" s="23" t="s">
        <v>26</v>
      </c>
      <c r="C25" s="23" t="s">
        <v>27</v>
      </c>
      <c r="D25" s="23" t="s">
        <v>28</v>
      </c>
      <c r="E25" s="23" t="s">
        <v>29</v>
      </c>
      <c r="F25" s="23" t="s">
        <v>30</v>
      </c>
      <c r="G25" s="1"/>
      <c r="H25" s="8" t="s">
        <v>48</v>
      </c>
      <c r="I25" s="12">
        <f>((y1.-yai1.)-(y2.-yai2.))/LN((y1.-yai1.)/(y2.-yai2.))</f>
        <v>5.9166430201497335E-3</v>
      </c>
      <c r="J25" s="1"/>
      <c r="L25" s="8" t="s">
        <v>49</v>
      </c>
      <c r="M25" s="12">
        <f>((xai1.-x1.)-(xai2.-x2.))/LN((xai1.-x1.)/(xai2.-x2.))</f>
        <v>3.6591144996882164E-3</v>
      </c>
    </row>
    <row r="26" spans="1:13" x14ac:dyDescent="0.25">
      <c r="A26" s="12">
        <f>1-y1.</f>
        <v>0.97399999999999998</v>
      </c>
      <c r="B26" s="12">
        <f>1-x1.</f>
        <v>0.99352150490172908</v>
      </c>
      <c r="C26" s="12">
        <f>-((k_x.a/B26)/(k_y.a/A26))</f>
        <v>-1.5976093636908824</v>
      </c>
      <c r="D26" s="12">
        <f>y1.-C26*x1.</f>
        <v>3.6350104431623134E-2</v>
      </c>
      <c r="E26" s="17">
        <f>D26/(m-C26)</f>
        <v>1.3058622702513581E-2</v>
      </c>
      <c r="F26" s="17">
        <f>m*E26</f>
        <v>1.5487526525181107E-2</v>
      </c>
      <c r="G26" s="1"/>
    </row>
    <row r="27" spans="1:13" x14ac:dyDescent="0.25">
      <c r="A27" s="20">
        <f>((1-F26)-(1-y1.))/LN((1-F26)/(1-y1.))</f>
        <v>0.97924683224044684</v>
      </c>
      <c r="B27" s="20">
        <f>((1-x1.)-(1-E26))/LN((1-x1.)/(1-E26))</f>
        <v>0.99022779732124366</v>
      </c>
      <c r="C27" s="20">
        <f>-((k_x.a/B27)/(k_y.a/A27))</f>
        <v>-1.6115581251677229</v>
      </c>
      <c r="D27" s="20">
        <f>y1.-C27*x1.</f>
        <v>3.6440471414477801E-2</v>
      </c>
      <c r="E27" s="18">
        <f>D27/(m-C27)</f>
        <v>1.3025813864830092E-2</v>
      </c>
      <c r="F27" s="18">
        <f>m*E27</f>
        <v>1.5448615243688488E-2</v>
      </c>
      <c r="G27" s="1"/>
      <c r="H27" s="22" t="s">
        <v>52</v>
      </c>
      <c r="I27" s="22"/>
      <c r="L27" s="22" t="s">
        <v>61</v>
      </c>
      <c r="M27" s="22"/>
    </row>
    <row r="28" spans="1:13" x14ac:dyDescent="0.25">
      <c r="G28" s="1"/>
      <c r="H28" s="8" t="s">
        <v>75</v>
      </c>
      <c r="I28" s="5">
        <f>((1-y1_.)-(1-y1.))/LN((1-y1_.)/(1-y1.))</f>
        <v>0.98312981496111129</v>
      </c>
      <c r="L28" s="8" t="s">
        <v>76</v>
      </c>
      <c r="M28" s="5">
        <f>((1-x1_.)-(1-x1.))/LN((1-x1_.)/(1-x1.))</f>
        <v>0.98577937538168525</v>
      </c>
    </row>
    <row r="29" spans="1:13" x14ac:dyDescent="0.25">
      <c r="G29" s="1"/>
      <c r="H29" s="8" t="s">
        <v>77</v>
      </c>
      <c r="I29" s="5">
        <f>((1-y2_.)-(1-y2.))/LN((1-y2_.)/(1-y2.))</f>
        <v>0.9974979114418</v>
      </c>
      <c r="L29" s="8" t="s">
        <v>78</v>
      </c>
      <c r="M29" s="5">
        <f>((1-x2_.)-(1-x2.))/LN((1-x2_.)/(1-x2.))</f>
        <v>0.99789058995148128</v>
      </c>
    </row>
    <row r="30" spans="1:13" x14ac:dyDescent="0.25">
      <c r="G30" s="1"/>
      <c r="H30" s="8" t="s">
        <v>54</v>
      </c>
      <c r="I30" s="12">
        <f>((y1.-y1_.)-(y2.-y2_.))/LN((y1.-y1_.)/(y2.-y2_.))</f>
        <v>1.02563674095587E-2</v>
      </c>
      <c r="L30" s="8" t="s">
        <v>64</v>
      </c>
      <c r="M30" s="12">
        <f>((x1_.-x1.)-(x2_.-x2.))/LN((x1_.-x1.)/(x2_.-x2.))</f>
        <v>8.6478645949061572E-3</v>
      </c>
    </row>
    <row r="31" spans="1:13" x14ac:dyDescent="0.25">
      <c r="A31" s="16" t="s">
        <v>34</v>
      </c>
      <c r="G31" s="1"/>
    </row>
    <row r="32" spans="1:13" x14ac:dyDescent="0.25">
      <c r="A32" s="23" t="s">
        <v>25</v>
      </c>
      <c r="B32" s="23" t="s">
        <v>26</v>
      </c>
      <c r="C32" s="23" t="s">
        <v>27</v>
      </c>
      <c r="D32" s="23" t="s">
        <v>28</v>
      </c>
      <c r="E32" s="23" t="s">
        <v>29</v>
      </c>
      <c r="F32" s="23" t="s">
        <v>30</v>
      </c>
      <c r="G32" s="1"/>
      <c r="H32" s="12" t="s">
        <v>59</v>
      </c>
      <c r="I32" s="5">
        <f>1/(k_y.a/A27)</f>
        <v>25.906000852921874</v>
      </c>
      <c r="L32" s="12" t="s">
        <v>55</v>
      </c>
      <c r="M32" s="5">
        <f>1/(m*k_y.a/A27)</f>
        <v>21.843171039563135</v>
      </c>
    </row>
    <row r="33" spans="1:19" x14ac:dyDescent="0.25">
      <c r="A33" s="12">
        <f>1-y2.</f>
        <v>0.995</v>
      </c>
      <c r="B33" s="12">
        <f>1-x2.</f>
        <v>1</v>
      </c>
      <c r="C33" s="12">
        <f>-((k_x.a/B33)/(k_y.a/A33))</f>
        <v>-1.6214814814814813</v>
      </c>
      <c r="D33" s="12">
        <f>y2.-C33*x2.</f>
        <v>5.0000000000000001E-3</v>
      </c>
      <c r="E33" s="19">
        <f>D33/(m-C33)</f>
        <v>1.7809556476082425E-3</v>
      </c>
      <c r="F33" s="19">
        <f>m*E33</f>
        <v>2.1122133980633756E-3</v>
      </c>
      <c r="G33" s="1"/>
      <c r="H33" s="12" t="s">
        <v>60</v>
      </c>
      <c r="I33" s="5">
        <f>m/(k_x.a/B27)</f>
        <v>19.065100123749918</v>
      </c>
      <c r="L33" s="12" t="s">
        <v>56</v>
      </c>
      <c r="M33" s="5">
        <f>1/(k_x.a/B27)</f>
        <v>16.07512657989032</v>
      </c>
    </row>
    <row r="34" spans="1:19" x14ac:dyDescent="0.25">
      <c r="A34" s="20">
        <f>((1-F33)-(1-y2.))/LN((1-F33)/(1-y2.))</f>
        <v>0.99644319587782559</v>
      </c>
      <c r="B34" s="20">
        <f>((1-x2.)-(1-E33))/LN((1-x2.)/(1-E33))</f>
        <v>0.99910925762362435</v>
      </c>
      <c r="C34" s="20">
        <f>-((k_x.a/B34)/(k_y.a/A34))</f>
        <v>-1.6252810629616463</v>
      </c>
      <c r="D34" s="20">
        <f>y2.-C34*x2.</f>
        <v>5.0000000000000001E-3</v>
      </c>
      <c r="E34" s="18">
        <f>D34/(m-C34)</f>
        <v>1.7785486004492799E-3</v>
      </c>
      <c r="F34" s="18">
        <f>m*E34</f>
        <v>2.109358640132846E-3</v>
      </c>
      <c r="G34" s="1"/>
      <c r="H34" s="12" t="s">
        <v>58</v>
      </c>
      <c r="I34" s="5">
        <f>I32+I33</f>
        <v>44.971100976671792</v>
      </c>
      <c r="L34" s="12" t="s">
        <v>58</v>
      </c>
      <c r="M34" s="5">
        <f>M32+M33</f>
        <v>37.918297619453455</v>
      </c>
    </row>
    <row r="35" spans="1:19" x14ac:dyDescent="0.25">
      <c r="G35" s="1"/>
      <c r="H35" s="3" t="s">
        <v>57</v>
      </c>
      <c r="I35" s="46">
        <f>1/(I34/I28)</f>
        <v>2.1861368603608301E-2</v>
      </c>
      <c r="J35" t="s">
        <v>85</v>
      </c>
      <c r="L35" s="3" t="s">
        <v>65</v>
      </c>
      <c r="M35" s="46">
        <f>1/(M34/M28)</f>
        <v>2.5997458674831039E-2</v>
      </c>
      <c r="N35" t="s">
        <v>85</v>
      </c>
    </row>
    <row r="36" spans="1:19" x14ac:dyDescent="0.25">
      <c r="A36" s="1"/>
      <c r="H36" s="1"/>
    </row>
    <row r="37" spans="1:19" ht="15.75" thickBot="1" x14ac:dyDescent="0.3">
      <c r="A37" s="1"/>
      <c r="B37" s="1"/>
      <c r="C37" s="1"/>
      <c r="D37" s="1"/>
      <c r="E37" s="1"/>
      <c r="F37" s="1"/>
      <c r="G37" s="1"/>
      <c r="H37" s="1"/>
    </row>
    <row r="38" spans="1:19" x14ac:dyDescent="0.25">
      <c r="A38" s="1"/>
      <c r="B38" s="54" t="s">
        <v>66</v>
      </c>
      <c r="C38" s="55"/>
      <c r="D38" s="55"/>
      <c r="E38" s="24" t="s">
        <v>67</v>
      </c>
      <c r="F38" s="43">
        <f>Vm/3600/(k_y.a*S)</f>
        <v>0.54784674972692704</v>
      </c>
      <c r="G38" s="39" t="s">
        <v>9</v>
      </c>
      <c r="H38" s="24" t="s">
        <v>71</v>
      </c>
      <c r="I38" s="43">
        <f>(((A27/(1-y1.))+(A34/(1-y2.)))/2)*(y1.-y2.)/I25</f>
        <v>3.5614438784565592</v>
      </c>
      <c r="J38" s="42"/>
      <c r="K38" s="24" t="s">
        <v>79</v>
      </c>
      <c r="L38" s="25">
        <f>HG*NG</f>
        <v>1.951125453147287</v>
      </c>
      <c r="M38" t="s">
        <v>9</v>
      </c>
      <c r="N38" s="54" t="s">
        <v>83</v>
      </c>
      <c r="O38" s="55"/>
      <c r="P38" s="55"/>
      <c r="Q38" s="24" t="s">
        <v>79</v>
      </c>
      <c r="R38" s="25">
        <f>(Vm/(S*3600))*(y1.-y2.)/(k_y.a*I25)</f>
        <v>1.9444779252499695</v>
      </c>
      <c r="S38" t="s">
        <v>9</v>
      </c>
    </row>
    <row r="39" spans="1:19" x14ac:dyDescent="0.25">
      <c r="A39" s="1"/>
      <c r="B39" s="29"/>
      <c r="C39" s="30"/>
      <c r="D39" s="31"/>
      <c r="E39" s="2" t="s">
        <v>68</v>
      </c>
      <c r="F39" s="44">
        <f>Vm/3600/(K_y.a.*S)</f>
        <v>0.94726947407399786</v>
      </c>
      <c r="G39" s="40" t="s">
        <v>9</v>
      </c>
      <c r="H39" s="2" t="s">
        <v>72</v>
      </c>
      <c r="I39" s="44">
        <f>(((I28/(1-y1_.))+(I29/(1-y2_.)))/2)*(y1.-y2.)/I30</f>
        <v>2.0354692945854045</v>
      </c>
      <c r="J39" s="31"/>
      <c r="K39" s="2" t="s">
        <v>80</v>
      </c>
      <c r="L39" s="26">
        <f>HOG*NOG</f>
        <v>1.9281379281756876</v>
      </c>
      <c r="M39" t="s">
        <v>9</v>
      </c>
      <c r="N39" s="35"/>
      <c r="O39" s="36"/>
      <c r="P39" s="31"/>
      <c r="Q39" s="2" t="s">
        <v>80</v>
      </c>
      <c r="R39" s="26">
        <f>(Vm/(S*3600))*(y1.-y2.)/(K_y.a.*I30)</f>
        <v>1.9395423507366212</v>
      </c>
      <c r="S39" t="s">
        <v>9</v>
      </c>
    </row>
    <row r="40" spans="1:19" x14ac:dyDescent="0.25">
      <c r="A40" s="1"/>
      <c r="B40" s="29"/>
      <c r="C40" s="30"/>
      <c r="D40" s="31"/>
      <c r="E40" s="2" t="s">
        <v>69</v>
      </c>
      <c r="F40" s="44">
        <f>Lm/3600/(k_x.a*S)</f>
        <v>1.1032921955709205</v>
      </c>
      <c r="G40" s="40" t="s">
        <v>9</v>
      </c>
      <c r="H40" s="2" t="s">
        <v>73</v>
      </c>
      <c r="I40" s="44">
        <f>(((B27/(1-x1.))+(B34/(1-x2.)))/2)*(x1.-x2.)/M25</f>
        <v>1.7667856687479422</v>
      </c>
      <c r="J40" s="31"/>
      <c r="K40" s="2" t="s">
        <v>81</v>
      </c>
      <c r="L40" s="26">
        <f>HL*NL</f>
        <v>1.9492808395761543</v>
      </c>
      <c r="M40" t="s">
        <v>9</v>
      </c>
      <c r="N40" s="35"/>
      <c r="O40" s="36"/>
      <c r="P40" s="31"/>
      <c r="Q40" s="2" t="s">
        <v>81</v>
      </c>
      <c r="R40" s="26">
        <f>(Lm/(S*3600))*(x1.-x2.)/(k_x.a*M25)</f>
        <v>1.9533887451665768</v>
      </c>
      <c r="S40" t="s">
        <v>9</v>
      </c>
    </row>
    <row r="41" spans="1:19" ht="15.75" thickBot="1" x14ac:dyDescent="0.3">
      <c r="A41" s="1"/>
      <c r="B41" s="32"/>
      <c r="C41" s="33"/>
      <c r="D41" s="34"/>
      <c r="E41" s="27" t="s">
        <v>70</v>
      </c>
      <c r="F41" s="45">
        <f>Lm/3600/(K_x.a.*S)</f>
        <v>2.6142093385829916</v>
      </c>
      <c r="G41" s="41" t="s">
        <v>9</v>
      </c>
      <c r="H41" s="27" t="s">
        <v>74</v>
      </c>
      <c r="I41" s="45">
        <f>(((M28/(1-x1_.))+(M29/(1-x2_.)))/2)*(x1.-x2.)/M30</f>
        <v>0.75288580543855388</v>
      </c>
      <c r="J41" s="34"/>
      <c r="K41" s="27" t="s">
        <v>82</v>
      </c>
      <c r="L41" s="28">
        <f>HOL*NOL</f>
        <v>1.968201103464045</v>
      </c>
      <c r="M41" t="s">
        <v>9</v>
      </c>
      <c r="N41" s="37"/>
      <c r="O41" s="38"/>
      <c r="P41" s="34"/>
      <c r="Q41" s="27" t="s">
        <v>82</v>
      </c>
      <c r="R41" s="28">
        <f>(Lm/(S*3600))*(x1.-x2.)/(K_x.a.*M30)</f>
        <v>1.9584190062180094</v>
      </c>
      <c r="S41" t="s">
        <v>9</v>
      </c>
    </row>
    <row r="42" spans="1:19" x14ac:dyDescent="0.25">
      <c r="A42" s="1"/>
      <c r="B42" s="1"/>
      <c r="C42" s="1"/>
      <c r="F42" s="1"/>
      <c r="G42" s="1"/>
      <c r="H42" s="1"/>
    </row>
    <row r="43" spans="1:19" x14ac:dyDescent="0.25">
      <c r="A43" s="1"/>
      <c r="B43" s="1"/>
      <c r="C43" s="1"/>
      <c r="F43" s="1"/>
      <c r="G43" s="1"/>
      <c r="H43" s="1"/>
    </row>
    <row r="44" spans="1:19" x14ac:dyDescent="0.25">
      <c r="A44" s="1"/>
      <c r="B44" s="1"/>
      <c r="C44" s="1"/>
      <c r="F44" s="1"/>
      <c r="G44" s="1"/>
      <c r="H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</row>
    <row r="52" spans="17:17" x14ac:dyDescent="0.25">
      <c r="Q52" s="6"/>
    </row>
  </sheetData>
  <sheetProtection algorithmName="SHA-512" hashValue="iyDr2lWbB5InV9fbHuy0BnIkH3zx2d/93FwvKa8Jom2nE4Y763peMpxio+eEO8XRfHJjVnX7hWvLBQj00HVXNg==" saltValue="XDHLg++bvjToJTkFZZEgZg==" spinCount="100000" sheet="1" objects="1" scenarios="1"/>
  <mergeCells count="9">
    <mergeCell ref="N38:P38"/>
    <mergeCell ref="B38:D38"/>
    <mergeCell ref="A1:B1"/>
    <mergeCell ref="H2:J2"/>
    <mergeCell ref="D11:E11"/>
    <mergeCell ref="A11:B11"/>
    <mergeCell ref="A14:B14"/>
    <mergeCell ref="A19:B19"/>
    <mergeCell ref="H3:J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E9" sqref="E9"/>
    </sheetView>
  </sheetViews>
  <sheetFormatPr defaultRowHeight="15" x14ac:dyDescent="0.25"/>
  <sheetData>
    <row r="2" spans="2:5" ht="15.75" thickBot="1" x14ac:dyDescent="0.3"/>
    <row r="3" spans="2:5" x14ac:dyDescent="0.25">
      <c r="B3" s="63" t="s">
        <v>86</v>
      </c>
      <c r="C3" s="64"/>
      <c r="D3" s="64"/>
      <c r="E3" s="65"/>
    </row>
    <row r="4" spans="2:5" x14ac:dyDescent="0.25">
      <c r="B4" s="66" t="s">
        <v>87</v>
      </c>
      <c r="C4" s="67" t="s">
        <v>88</v>
      </c>
      <c r="D4" s="67"/>
      <c r="E4" s="68"/>
    </row>
    <row r="5" spans="2:5" ht="15.75" thickBot="1" x14ac:dyDescent="0.3">
      <c r="B5" s="69" t="s">
        <v>89</v>
      </c>
      <c r="C5" s="70">
        <v>2017</v>
      </c>
      <c r="D5" s="71"/>
      <c r="E5" s="72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35</vt:i4>
      </vt:variant>
    </vt:vector>
  </HeadingPairs>
  <TitlesOfParts>
    <vt:vector size="37" baseType="lpstr">
      <vt:lpstr>Absorption_packed</vt:lpstr>
      <vt:lpstr>Credits</vt:lpstr>
      <vt:lpstr>HG</vt:lpstr>
      <vt:lpstr>HL</vt:lpstr>
      <vt:lpstr>HOG</vt:lpstr>
      <vt:lpstr>HOL</vt:lpstr>
      <vt:lpstr>k_x.a</vt:lpstr>
      <vt:lpstr>K_x.a.</vt:lpstr>
      <vt:lpstr>k_y.a</vt:lpstr>
      <vt:lpstr>K_y.a.</vt:lpstr>
      <vt:lpstr>kx</vt:lpstr>
      <vt:lpstr>L.</vt:lpstr>
      <vt:lpstr>Lm</vt:lpstr>
      <vt:lpstr>m</vt:lpstr>
      <vt:lpstr>m.</vt:lpstr>
      <vt:lpstr>NG</vt:lpstr>
      <vt:lpstr>NL</vt:lpstr>
      <vt:lpstr>NOG</vt:lpstr>
      <vt:lpstr>NOL</vt:lpstr>
      <vt:lpstr>S</vt:lpstr>
      <vt:lpstr>slope1</vt:lpstr>
      <vt:lpstr>slope2</vt:lpstr>
      <vt:lpstr>V.</vt:lpstr>
      <vt:lpstr>Vm</vt:lpstr>
      <vt:lpstr>x1.</vt:lpstr>
      <vt:lpstr>x1_.</vt:lpstr>
      <vt:lpstr>x2.</vt:lpstr>
      <vt:lpstr>x2_.</vt:lpstr>
      <vt:lpstr>xai1.</vt:lpstr>
      <vt:lpstr>xai2.</vt:lpstr>
      <vt:lpstr>y1.</vt:lpstr>
      <vt:lpstr>y1_.</vt:lpstr>
      <vt:lpstr>y2.</vt:lpstr>
      <vt:lpstr>y2_.</vt:lpstr>
      <vt:lpstr>yaG</vt:lpstr>
      <vt:lpstr>yai1.</vt:lpstr>
      <vt:lpstr>yai2.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2017-03-27T02:38:03Z</dcterms:modified>
</cp:coreProperties>
</file>