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766"/>
  <workbookPr/>
  <mc:AlternateContent xmlns:mc="http://schemas.openxmlformats.org/markup-compatibility/2006">
    <mc:Choice Requires="x15">
      <x15ac:absPath xmlns:x15ac="http://schemas.microsoft.com/office/spreadsheetml/2010/11/ac" url="C:\Users\Pires\Dropbox\.PROJETOS pessoais\planilhas\chemeng\unit operations\"/>
    </mc:Choice>
  </mc:AlternateContent>
  <workbookProtection workbookAlgorithmName="SHA-512" workbookHashValue="pRpllYnSjfIys/68qbsRbpcrnrmtiZmTE6oNQovlQarAZPUCNwds3iWTBjK3VikSzfLeJo3KO19MYodn8rMZ8w==" workbookSaltValue="EcZCHAo9j2TYJ0Bs906Peg==" workbookSpinCount="100000" lockStructure="1"/>
  <bookViews>
    <workbookView xWindow="0" yWindow="0" windowWidth="7500" windowHeight="13335"/>
  </bookViews>
  <sheets>
    <sheet name="Rectification" sheetId="5" r:id="rId1"/>
    <sheet name="Equilibrium" sheetId="10" r:id="rId2"/>
    <sheet name="Figures" sheetId="11" r:id="rId3"/>
    <sheet name="Credits" sheetId="12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</externalReferences>
  <definedNames>
    <definedName name="A" localSheetId="3">[1]Absorption_packed!#REF!</definedName>
    <definedName name="A">Equilibrium!#REF!</definedName>
    <definedName name="A." localSheetId="3">[1]Absorption_packed!#REF!</definedName>
    <definedName name="A.">Equilibrium!$B$13</definedName>
    <definedName name="A.." localSheetId="3">#REF!</definedName>
    <definedName name="A..">#REF!</definedName>
    <definedName name="AA">[3]Equilibrium!$B$23</definedName>
    <definedName name="alfa">Rectification!$E$9</definedName>
    <definedName name="alpha_v" localSheetId="3">[4]Predominant_size!$B$2</definedName>
    <definedName name="alpha_v">[5]Size_distribution!$B$2</definedName>
    <definedName name="B" localSheetId="3">#REF!</definedName>
    <definedName name="B">Equilibrium!#REF!</definedName>
    <definedName name="B." localSheetId="3">[1]Absorption_packed!#REF!</definedName>
    <definedName name="B.">Equilibrium!$B$14</definedName>
    <definedName name="B.." localSheetId="3">#REF!</definedName>
    <definedName name="B..">#REF!</definedName>
    <definedName name="BB">[3]Equilibrium!$B$24</definedName>
    <definedName name="Bo" localSheetId="3">[4]Predominant_size!$B$11</definedName>
    <definedName name="Bo">#REF!</definedName>
    <definedName name="C." localSheetId="3">[1]Absorption_packed!#REF!</definedName>
    <definedName name="C.">Equilibrium!#REF!</definedName>
    <definedName name="C_" localSheetId="3">#REF!</definedName>
    <definedName name="C_">Equilibrium!#REF!</definedName>
    <definedName name="CC">[3]Equilibrium!$B$25</definedName>
    <definedName name="cL">'[7]Water-Cooling Tower'!$B$13</definedName>
    <definedName name="const1" localSheetId="3">#REF!</definedName>
    <definedName name="const1">#REF!</definedName>
    <definedName name="const10" localSheetId="3">#REF!</definedName>
    <definedName name="const10">#REF!</definedName>
    <definedName name="const11" localSheetId="3">#REF!</definedName>
    <definedName name="const11">#REF!</definedName>
    <definedName name="const12" localSheetId="3">#REF!</definedName>
    <definedName name="const12">#REF!</definedName>
    <definedName name="const13" localSheetId="3">#REF!</definedName>
    <definedName name="const13">#REF!</definedName>
    <definedName name="const14" localSheetId="3">#REF!</definedName>
    <definedName name="const14">#REF!</definedName>
    <definedName name="const15" localSheetId="3">#REF!</definedName>
    <definedName name="const15">#REF!</definedName>
    <definedName name="const16" localSheetId="3">#REF!</definedName>
    <definedName name="const16">#REF!</definedName>
    <definedName name="const17" localSheetId="3">#REF!</definedName>
    <definedName name="const17">#REF!</definedName>
    <definedName name="const18" localSheetId="3">#REF!</definedName>
    <definedName name="const18">#REF!</definedName>
    <definedName name="const19" localSheetId="3">#REF!</definedName>
    <definedName name="const19">#REF!</definedName>
    <definedName name="const2" localSheetId="3">#REF!</definedName>
    <definedName name="const2">#REF!</definedName>
    <definedName name="const20" localSheetId="3">#REF!</definedName>
    <definedName name="const20">#REF!</definedName>
    <definedName name="const3" localSheetId="3">#REF!</definedName>
    <definedName name="const3">#REF!</definedName>
    <definedName name="const4" localSheetId="3">#REF!</definedName>
    <definedName name="const4">#REF!</definedName>
    <definedName name="const5" localSheetId="3">#REF!</definedName>
    <definedName name="const5">#REF!</definedName>
    <definedName name="const6" localSheetId="3">#REF!</definedName>
    <definedName name="const6">#REF!</definedName>
    <definedName name="const7" localSheetId="3">#REF!</definedName>
    <definedName name="const7">#REF!</definedName>
    <definedName name="const8" localSheetId="3">#REF!</definedName>
    <definedName name="const8">#REF!</definedName>
    <definedName name="const9" localSheetId="3">#REF!</definedName>
    <definedName name="const9">#REF!</definedName>
    <definedName name="Cpl1." localSheetId="3">[3]Rectification!#REF!</definedName>
    <definedName name="Cpl1.">Rectification!$E$2</definedName>
    <definedName name="Cpl2." localSheetId="3">[3]Rectification!#REF!</definedName>
    <definedName name="Cpl2.">Rectification!$E$3</definedName>
    <definedName name="Cplm" localSheetId="3">[3]Rectification!#REF!</definedName>
    <definedName name="Cplm">Rectification!$E$4</definedName>
    <definedName name="D." localSheetId="3">[1]Absorption_packed!#REF!</definedName>
    <definedName name="D.">Rectification!$E$13</definedName>
    <definedName name="DD">[3]Equilibrium!$B$26</definedName>
    <definedName name="dm">#REF!</definedName>
    <definedName name="dV">#REF!</definedName>
    <definedName name="E." localSheetId="3">'[7]Water-Cooling Tower'!#REF!</definedName>
    <definedName name="E.">#REF!</definedName>
    <definedName name="F">Rectification!$B$2</definedName>
    <definedName name="F." localSheetId="3">[9]Equilibrium!$B$20</definedName>
    <definedName name="F.">#REF!</definedName>
    <definedName name="fv" localSheetId="3">[3]Rectification!#REF!</definedName>
    <definedName name="fv">Rectification!$B$15</definedName>
    <definedName name="G" localSheetId="3">'[7]Water-Cooling Tower'!#REF!</definedName>
    <definedName name="G">[5]Size_distribution!$E$2</definedName>
    <definedName name="G.">'[7]Water-Cooling Tower'!$B$3</definedName>
    <definedName name="H1.">'[7]Water-Cooling Tower'!$B$8</definedName>
    <definedName name="HG">[1]Absorption_packed!$F$38</definedName>
    <definedName name="HL">[1]Absorption_packed!$F$40</definedName>
    <definedName name="hlv1." localSheetId="3">[3]Rectification!#REF!</definedName>
    <definedName name="hlv1.">Rectification!$E$5</definedName>
    <definedName name="hlv2." localSheetId="3">[3]Rectification!#REF!</definedName>
    <definedName name="hlv2.">Rectification!$E$6</definedName>
    <definedName name="hlvm" localSheetId="3">[3]Rectification!#REF!</definedName>
    <definedName name="hlvm">Rectification!$E$7</definedName>
    <definedName name="HOG">[1]Absorption_packed!$F$39</definedName>
    <definedName name="HOL">[1]Absorption_packed!$F$41</definedName>
    <definedName name="Hy1.">'[7]Water-Cooling Tower'!$F$6</definedName>
    <definedName name="interc_o">'[7]Water-Cooling Tower'!$F$8</definedName>
    <definedName name="K">#REF!</definedName>
    <definedName name="k_x" localSheetId="3">[1]Absorption_packed!#REF!</definedName>
    <definedName name="k_x">'[11]Mass-transfer_coefficients'!$B$7</definedName>
    <definedName name="K_x.">'[11]Mass-transfer_coefficients'!$H$31</definedName>
    <definedName name="k_x.a">[1]Absorption_packed!$E$7</definedName>
    <definedName name="K_x.a.">[1]Absorption_packed!$M$35</definedName>
    <definedName name="k_y" localSheetId="3">[1]Absorption_packed!#REF!</definedName>
    <definedName name="k_y">'[11]Mass-transfer_coefficients'!$B$6</definedName>
    <definedName name="K_y." localSheetId="3">[1]Absorption_packed!#REF!</definedName>
    <definedName name="K_y.">'[11]Mass-transfer_coefficients'!$B$31</definedName>
    <definedName name="k_y.a">[1]Absorption_packed!$E$6</definedName>
    <definedName name="K_y.a.">[1]Absorption_packed!$I$35</definedName>
    <definedName name="kG.a">'[7]Water-Cooling Tower'!$B$11</definedName>
    <definedName name="kx">'[11]Mass-transfer_coefficients'!$H$18</definedName>
    <definedName name="Kx.">'[11]Mass-transfer_coefficients'!$H$30</definedName>
    <definedName name="ky" localSheetId="3">[1]Absorption_packed!#REF!</definedName>
    <definedName name="ky">'[11]Mass-transfer_coefficients'!$B$18</definedName>
    <definedName name="Ky." localSheetId="3">[1]Absorption_packed!#REF!</definedName>
    <definedName name="Ky.">'[11]Mass-transfer_coefficients'!$B$30</definedName>
    <definedName name="L." localSheetId="3">[1]Absorption_packed!$B$6</definedName>
    <definedName name="L.">'[7]Water-Cooling Tower'!$B$4</definedName>
    <definedName name="L_" localSheetId="3">[1]Absorption_packed!#REF!</definedName>
    <definedName name="L_">'[7]Water-Cooling Tower'!#REF!</definedName>
    <definedName name="L_V" localSheetId="3">[1]Absorption_packed!#REF!</definedName>
    <definedName name="L_V">[2]Absorption_plate!#REF!</definedName>
    <definedName name="LA" localSheetId="3">#REF!</definedName>
    <definedName name="LA">#REF!</definedName>
    <definedName name="Lm">[1]Absorption_packed!$I$17</definedName>
    <definedName name="Ln" localSheetId="3">[1]Absorption_packed!#REF!</definedName>
    <definedName name="Ln">[2]Absorption_plate!$B$11</definedName>
    <definedName name="Ln." localSheetId="3">#REF!</definedName>
    <definedName name="Ln.">Rectification!$E$14</definedName>
    <definedName name="Lo" localSheetId="3">[1]Absorption_packed!#REF!</definedName>
    <definedName name="Lo">[2]Absorption_plate!$B$2</definedName>
    <definedName name="Lo." localSheetId="3">#REF!</definedName>
    <definedName name="Lo.">Rectification!$E$12</definedName>
    <definedName name="Lpr">[4]Predominant_size!$B$3</definedName>
    <definedName name="m" localSheetId="3">[1]Absorption_packed!$B$12</definedName>
    <definedName name="m">'[11]Mass-transfer_coefficients'!#REF!</definedName>
    <definedName name="m.">'[11]Mass-transfer_coefficients'!$B$23</definedName>
    <definedName name="m..">'[11]Mass-transfer_coefficients'!$H$23</definedName>
    <definedName name="m_.">'[11]Mass-transfer_coefficients'!#REF!</definedName>
    <definedName name="m_cal">#REF!</definedName>
    <definedName name="m_empty">[12]Dados!#REF!</definedName>
    <definedName name="m_pic">#REF!</definedName>
    <definedName name="m_prov">#REF!</definedName>
    <definedName name="m1_">#REF!</definedName>
    <definedName name="MM_b">'[7]Water-Cooling Tower'!$B$10</definedName>
    <definedName name="MM1.">#REF!</definedName>
    <definedName name="MM2.">#REF!</definedName>
    <definedName name="Mma">#REF!</definedName>
    <definedName name="MMb">#REF!</definedName>
    <definedName name="mo" localSheetId="3">[12]Dados!#REF!</definedName>
    <definedName name="Mo">#REF!</definedName>
    <definedName name="n">#REF!</definedName>
    <definedName name="Nd" localSheetId="3">#REF!</definedName>
    <definedName name="Nd">#REF!</definedName>
    <definedName name="NG">[1]Absorption_packed!$I$38</definedName>
    <definedName name="NL">[1]Absorption_packed!$I$40</definedName>
    <definedName name="NM" localSheetId="3">#REF!</definedName>
    <definedName name="NM">#REF!</definedName>
    <definedName name="Nn" localSheetId="3">#REF!</definedName>
    <definedName name="Nn">#REF!</definedName>
    <definedName name="Nn_1" localSheetId="3">#REF!</definedName>
    <definedName name="Nn_1">#REF!</definedName>
    <definedName name="No" localSheetId="3">#REF!</definedName>
    <definedName name="no">[5]Size_distribution!$E$3</definedName>
    <definedName name="NOG">[1]Absorption_packed!$I$39</definedName>
    <definedName name="NOL">[1]Absorption_packed!$I$41</definedName>
    <definedName name="P" localSheetId="3">'[7]Water-Cooling Tower'!$B$12</definedName>
    <definedName name="P">Rectification!$B$3</definedName>
    <definedName name="q" localSheetId="3">[3]Rectification!$B$4</definedName>
    <definedName name="q">Rectification!$E$8</definedName>
    <definedName name="R." localSheetId="3">[3]Rectification!$B$11</definedName>
    <definedName name="R.">Rectification!$B$11</definedName>
    <definedName name="R_">Rectification!$B$11</definedName>
    <definedName name="rho" localSheetId="3">[4]Predominant_size!$B$4</definedName>
    <definedName name="rho">[5]Size_distribution!$B$3</definedName>
    <definedName name="rho_1">#REF!</definedName>
    <definedName name="rho_2">#REF!</definedName>
    <definedName name="roa">#REF!</definedName>
    <definedName name="rob">#REF!</definedName>
    <definedName name="S">[1]Absorption_packed!$E$2</definedName>
    <definedName name="slope">'[7]Water-Cooling Tower'!#REF!</definedName>
    <definedName name="slope_eq">'[7]Water-Cooling Tower'!$B$14</definedName>
    <definedName name="slope_n" localSheetId="3">#REF!</definedName>
    <definedName name="slope_n">#REF!</definedName>
    <definedName name="slope_o">'[7]Water-Cooling Tower'!$F$7</definedName>
    <definedName name="So">#REF!</definedName>
    <definedName name="So_mass">#REF!</definedName>
    <definedName name="So_vol">#REF!</definedName>
    <definedName name="solver_adj" localSheetId="1" hidden="1">Equilibrium!$B$13:$B$14</definedName>
    <definedName name="solver_cvg" localSheetId="1" hidden="1">0.0001</definedName>
    <definedName name="solver_drv" localSheetId="1" hidden="1">1</definedName>
    <definedName name="solver_est" localSheetId="1" hidden="1">1</definedName>
    <definedName name="solver_itr" localSheetId="1" hidden="1">100</definedName>
    <definedName name="solver_lin" localSheetId="1" hidden="1">2</definedName>
    <definedName name="solver_neg" localSheetId="1" hidden="1">2</definedName>
    <definedName name="solver_num" localSheetId="1" hidden="1">0</definedName>
    <definedName name="solver_nwt" localSheetId="1" hidden="1">1</definedName>
    <definedName name="solver_opt" localSheetId="1" hidden="1">Equilibrium!$G$11</definedName>
    <definedName name="solver_pre" localSheetId="1" hidden="1">0.000001</definedName>
    <definedName name="solver_scl" localSheetId="1" hidden="1">2</definedName>
    <definedName name="solver_sho" localSheetId="1" hidden="1">2</definedName>
    <definedName name="solver_tim" localSheetId="1" hidden="1">100</definedName>
    <definedName name="solver_tol" localSheetId="1" hidden="1">0.05</definedName>
    <definedName name="solver_typ" localSheetId="1" hidden="1">3</definedName>
    <definedName name="solver_val" localSheetId="1" hidden="1">0</definedName>
    <definedName name="t">[4]Predominant_size!$B$10</definedName>
    <definedName name="tau" localSheetId="3">[4]Predominant_size!#REF!</definedName>
    <definedName name="tau">[5]Size_distribution!$B$4</definedName>
    <definedName name="tau1.">[4]Predominant_size!#REF!</definedName>
    <definedName name="tau1_">[4]Predominant_size!#REF!</definedName>
    <definedName name="Td" localSheetId="3">[3]Rectification!#REF!</definedName>
    <definedName name="Td">Rectification!$B$5</definedName>
    <definedName name="Tf" localSheetId="3">[3]Rectification!#REF!</definedName>
    <definedName name="Tf">Rectification!$B$4</definedName>
    <definedName name="TL1.">'[7]Water-Cooling Tower'!$B$6</definedName>
    <definedName name="TL2.">'[7]Water-Cooling Tower'!$B$5</definedName>
    <definedName name="Tn" localSheetId="3">[3]Rectification!#REF!</definedName>
    <definedName name="Tn">Rectification!$B$6</definedName>
    <definedName name="Tw" localSheetId="3">[3]Rectification!#REF!</definedName>
    <definedName name="Tw">Rectification!$B$7</definedName>
    <definedName name="V" localSheetId="3">[1]Absorption_packed!#REF!</definedName>
    <definedName name="V">'[6]Batch Distillation'!$B$4</definedName>
    <definedName name="V." localSheetId="3">[1]Absorption_packed!$B$2</definedName>
    <definedName name="V.">#REF!</definedName>
    <definedName name="V1." localSheetId="3">#REF!</definedName>
    <definedName name="V1.">Rectification!$E$11</definedName>
    <definedName name="V1_" localSheetId="3">#REF!</definedName>
    <definedName name="V1_">#REF!</definedName>
    <definedName name="Vm">[1]Absorption_packed!$I$14</definedName>
    <definedName name="Vn_1" localSheetId="3">[1]Absorption_packed!#REF!</definedName>
    <definedName name="Vn_1">[2]Absorption_plate!$B$4</definedName>
    <definedName name="Vn_1." localSheetId="3">#REF!</definedName>
    <definedName name="Vn_1.">Rectification!$E$15</definedName>
    <definedName name="W.">Rectification!$E$16</definedName>
    <definedName name="Wo">'[6]Batch Distillation'!$B$3</definedName>
    <definedName name="x1.">[1]Absorption_packed!$B$9</definedName>
    <definedName name="x1_.">[1]Absorption_packed!$I$8</definedName>
    <definedName name="x2.">[1]Absorption_packed!$B$7</definedName>
    <definedName name="x2_.">[1]Absorption_packed!$I$9</definedName>
    <definedName name="xa">'[11]Mass-transfer_coefficients'!#REF!</definedName>
    <definedName name="xa.">'[11]Mass-transfer_coefficients'!$H$22</definedName>
    <definedName name="xai">'[11]Mass-transfer_coefficients'!$F$7</definedName>
    <definedName name="xai1.">[1]Absorption_packed!$E$13</definedName>
    <definedName name="xai2.">[1]Absorption_packed!$E$16</definedName>
    <definedName name="xaL" localSheetId="3">[1]Absorption_packed!#REF!</definedName>
    <definedName name="xaL">'[11]Mass-transfer_coefficients'!$B$5</definedName>
    <definedName name="xaM" localSheetId="3">#REF!</definedName>
    <definedName name="xaM">#REF!</definedName>
    <definedName name="xan" localSheetId="3">#REF!</definedName>
    <definedName name="xan">#REF!</definedName>
    <definedName name="xao" localSheetId="3">#REF!</definedName>
    <definedName name="xao">#REF!</definedName>
    <definedName name="xB" localSheetId="3">#REF!</definedName>
    <definedName name="xB">#REF!</definedName>
    <definedName name="xbo">#REF!</definedName>
    <definedName name="xco" localSheetId="3">#REF!</definedName>
    <definedName name="xco">#REF!</definedName>
    <definedName name="xd" localSheetId="3">[3]Rectification!$B$13</definedName>
    <definedName name="xd">Rectification!$B$13</definedName>
    <definedName name="xf" localSheetId="3">[3]Rectification!$B$12</definedName>
    <definedName name="xf">Rectification!$B$12</definedName>
    <definedName name="xmo">#REF!</definedName>
    <definedName name="xn" localSheetId="3">[1]Absorption_packed!#REF!</definedName>
    <definedName name="xn">Rectification!$B$14</definedName>
    <definedName name="xo" localSheetId="3">[1]Absorption_packed!#REF!</definedName>
    <definedName name="xo">[2]Absorption_plate!$B$3</definedName>
    <definedName name="xsf">#REF!</definedName>
    <definedName name="xsf_mass">#REF!</definedName>
    <definedName name="xsf_vol">#REF!</definedName>
    <definedName name="xso">#REF!</definedName>
    <definedName name="xso_mass">#REF!</definedName>
    <definedName name="xso_vol">#REF!</definedName>
    <definedName name="xT" localSheetId="3">#REF!</definedName>
    <definedName name="xT">#REF!</definedName>
    <definedName name="xw" localSheetId="3">[3]Rectification!$B$14</definedName>
    <definedName name="xw">Rectification!$B$16</definedName>
    <definedName name="xwf">'[6]Batch Distillation'!$E$3</definedName>
    <definedName name="xwo">'[6]Batch Distillation'!$E$2</definedName>
    <definedName name="y1.">[1]Absorption_packed!$B$3</definedName>
    <definedName name="y1_" localSheetId="3">[1]Absorption_packed!#REF!</definedName>
    <definedName name="y1_">[2]Absorption_plate!$B$10</definedName>
    <definedName name="y1_." localSheetId="3">[1]Absorption_packed!$I$6</definedName>
    <definedName name="y1_.">'[11]Mass-transfer_coefficients'!#REF!</definedName>
    <definedName name="y2.">[1]Absorption_packed!$B$4</definedName>
    <definedName name="y2_.">[1]Absorption_packed!$I$7</definedName>
    <definedName name="ya">'[11]Mass-transfer_coefficients'!#REF!</definedName>
    <definedName name="ya.">'[11]Mass-transfer_coefficients'!$B$22</definedName>
    <definedName name="ya1." localSheetId="3">#REF!</definedName>
    <definedName name="ya1.">#REF!</definedName>
    <definedName name="ya1_" localSheetId="3">#REF!</definedName>
    <definedName name="ya1_">#REF!</definedName>
    <definedName name="ya10." localSheetId="3">#REF!</definedName>
    <definedName name="ya10.">#REF!</definedName>
    <definedName name="ya2." localSheetId="3">#REF!</definedName>
    <definedName name="ya2.">#REF!</definedName>
    <definedName name="ya3." localSheetId="3">#REF!</definedName>
    <definedName name="ya3.">#REF!</definedName>
    <definedName name="ya4." localSheetId="3">#REF!</definedName>
    <definedName name="ya4.">#REF!</definedName>
    <definedName name="ya5." localSheetId="3">#REF!</definedName>
    <definedName name="ya5.">#REF!</definedName>
    <definedName name="ya6." localSheetId="3">#REF!</definedName>
    <definedName name="ya6.">#REF!</definedName>
    <definedName name="ya7." localSheetId="3">#REF!</definedName>
    <definedName name="ya7.">#REF!</definedName>
    <definedName name="ya8." localSheetId="3">#REF!</definedName>
    <definedName name="ya8.">#REF!</definedName>
    <definedName name="ya9." localSheetId="3">#REF!</definedName>
    <definedName name="ya9.">#REF!</definedName>
    <definedName name="yad" localSheetId="3">#REF!</definedName>
    <definedName name="yad">#REF!</definedName>
    <definedName name="yaG">'[11]Mass-transfer_coefficients'!$B$4</definedName>
    <definedName name="yai">'[11]Mass-transfer_coefficients'!$F$6</definedName>
    <definedName name="yai1.">[1]Absorption_packed!$E$14</definedName>
    <definedName name="yai2.">[1]Absorption_packed!$E$17</definedName>
    <definedName name="yaM" localSheetId="3">#REF!</definedName>
    <definedName name="yaM">#REF!</definedName>
    <definedName name="yan" localSheetId="3">#REF!</definedName>
    <definedName name="yan">#REF!</definedName>
    <definedName name="yan_1" localSheetId="3">#REF!</definedName>
    <definedName name="yan_1">#REF!</definedName>
    <definedName name="yao" localSheetId="3">#REF!</definedName>
    <definedName name="yao">#REF!</definedName>
    <definedName name="ycn_1" localSheetId="3">#REF!</definedName>
    <definedName name="ycn_1">#REF!</definedName>
    <definedName name="yco" localSheetId="3">#REF!</definedName>
    <definedName name="yco">#REF!</definedName>
    <definedName name="yn_1" localSheetId="3">[1]Absorption_packed!#REF!</definedName>
    <definedName name="yn_1">[2]Absorption_plate!$B$5</definedName>
    <definedName name="yw" localSheetId="3">[3]Rectification!#REF!</definedName>
    <definedName name="yw">Rectification!$B$17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" i="10" l="1"/>
  <c r="F5" i="10"/>
  <c r="D6" i="10"/>
  <c r="F6" i="10"/>
  <c r="G6" i="10" s="1"/>
  <c r="D7" i="10"/>
  <c r="F7" i="10"/>
  <c r="D8" i="10"/>
  <c r="F8" i="10"/>
  <c r="G8" i="10" s="1"/>
  <c r="D9" i="10"/>
  <c r="F9" i="10"/>
  <c r="D10" i="10"/>
  <c r="F10" i="10"/>
  <c r="G10" i="10" s="1"/>
  <c r="F4" i="10"/>
  <c r="E28" i="5"/>
  <c r="D28" i="5" s="1"/>
  <c r="I21" i="5"/>
  <c r="G22" i="5"/>
  <c r="H21" i="5"/>
  <c r="F21" i="5"/>
  <c r="G21" i="5" s="1"/>
  <c r="D22" i="5"/>
  <c r="E13" i="5"/>
  <c r="E16" i="5" s="1"/>
  <c r="E7" i="10"/>
  <c r="E8" i="10"/>
  <c r="E9" i="10"/>
  <c r="E10" i="10"/>
  <c r="G4" i="10"/>
  <c r="G9" i="10"/>
  <c r="G7" i="10"/>
  <c r="E5" i="10"/>
  <c r="G5" i="10"/>
  <c r="E6" i="10"/>
  <c r="B18" i="5"/>
  <c r="E7" i="5"/>
  <c r="E8" i="5" s="1"/>
  <c r="E4" i="5"/>
  <c r="G11" i="10" l="1"/>
  <c r="E21" i="5"/>
  <c r="E9" i="5"/>
  <c r="E15" i="5"/>
  <c r="E14" i="5"/>
  <c r="E12" i="5"/>
  <c r="E11" i="5" s="1"/>
  <c r="G28" i="5"/>
  <c r="F28" i="5"/>
  <c r="E22" i="5"/>
  <c r="H22" i="5"/>
  <c r="E29" i="5" s="1"/>
  <c r="D29" i="5" s="1"/>
  <c r="F29" i="5" l="1"/>
  <c r="G29" i="5"/>
  <c r="E30" i="5"/>
  <c r="D30" i="5" s="1"/>
  <c r="I22" i="5"/>
  <c r="F30" i="5" l="1"/>
  <c r="G30" i="5"/>
  <c r="I23" i="5"/>
  <c r="I24" i="5"/>
  <c r="E31" i="5" l="1"/>
  <c r="D31" i="5" s="1"/>
  <c r="F31" i="5" s="1"/>
  <c r="G31" i="5" l="1"/>
  <c r="E32" i="5"/>
  <c r="D32" i="5" s="1"/>
  <c r="G32" i="5" s="1"/>
  <c r="E33" i="5" l="1"/>
  <c r="D33" i="5" s="1"/>
  <c r="G33" i="5" s="1"/>
  <c r="F32" i="5"/>
  <c r="E34" i="5" l="1"/>
  <c r="D34" i="5" s="1"/>
  <c r="G34" i="5" s="1"/>
  <c r="F33" i="5"/>
  <c r="F34" i="5" l="1"/>
  <c r="E35" i="5"/>
  <c r="D35" i="5" s="1"/>
  <c r="E36" i="5" s="1"/>
  <c r="D36" i="5" s="1"/>
  <c r="F35" i="5" l="1"/>
  <c r="G35" i="5"/>
  <c r="G36" i="5"/>
  <c r="F36" i="5"/>
  <c r="E37" i="5"/>
  <c r="D37" i="5" s="1"/>
  <c r="G37" i="5" l="1"/>
  <c r="F37" i="5"/>
  <c r="E38" i="5"/>
  <c r="D38" i="5" s="1"/>
  <c r="G38" i="5" l="1"/>
  <c r="F38" i="5"/>
  <c r="E39" i="5"/>
  <c r="D39" i="5" s="1"/>
  <c r="G39" i="5" l="1"/>
  <c r="F39" i="5"/>
  <c r="E40" i="5"/>
  <c r="D40" i="5" s="1"/>
  <c r="G40" i="5" l="1"/>
  <c r="F40" i="5"/>
  <c r="E41" i="5"/>
  <c r="D41" i="5" s="1"/>
  <c r="G41" i="5" l="1"/>
  <c r="F41" i="5"/>
  <c r="E42" i="5"/>
  <c r="D42" i="5" s="1"/>
  <c r="G42" i="5" l="1"/>
  <c r="F42" i="5"/>
  <c r="E43" i="5"/>
  <c r="D43" i="5" s="1"/>
  <c r="G43" i="5" l="1"/>
  <c r="F43" i="5"/>
  <c r="E44" i="5"/>
  <c r="D44" i="5" s="1"/>
  <c r="G44" i="5" l="1"/>
  <c r="F44" i="5"/>
  <c r="E45" i="5"/>
  <c r="D45" i="5" s="1"/>
  <c r="G45" i="5" l="1"/>
  <c r="F45" i="5"/>
  <c r="E46" i="5"/>
  <c r="D46" i="5" s="1"/>
  <c r="G46" i="5" l="1"/>
  <c r="F46" i="5"/>
  <c r="E47" i="5"/>
  <c r="D47" i="5" s="1"/>
  <c r="F47" i="5" l="1"/>
  <c r="H14" i="5" s="1"/>
  <c r="H15" i="5" s="1"/>
  <c r="G47" i="5"/>
  <c r="H16" i="5" s="1"/>
</calcChain>
</file>

<file path=xl/sharedStrings.xml><?xml version="1.0" encoding="utf-8"?>
<sst xmlns="http://schemas.openxmlformats.org/spreadsheetml/2006/main" count="87" uniqueCount="72">
  <si>
    <t>q</t>
  </si>
  <si>
    <t>xf</t>
  </si>
  <si>
    <t>xd</t>
  </si>
  <si>
    <t>xw</t>
  </si>
  <si>
    <t>y(0)</t>
  </si>
  <si>
    <t>alfa</t>
  </si>
  <si>
    <t>xn</t>
  </si>
  <si>
    <t>yw</t>
  </si>
  <si>
    <t>kg/h</t>
  </si>
  <si>
    <t>bar</t>
  </si>
  <si>
    <t>°C</t>
  </si>
  <si>
    <t>kJ/kg</t>
  </si>
  <si>
    <t>kJ/kg.K</t>
  </si>
  <si>
    <t>F</t>
  </si>
  <si>
    <t>P</t>
  </si>
  <si>
    <t>Tf</t>
  </si>
  <si>
    <t>Td</t>
  </si>
  <si>
    <t>Tn</t>
  </si>
  <si>
    <t>Tw</t>
  </si>
  <si>
    <t>T</t>
  </si>
  <si>
    <t>P2sat</t>
  </si>
  <si>
    <t>P1sat</t>
  </si>
  <si>
    <t>x</t>
  </si>
  <si>
    <t>y</t>
  </si>
  <si>
    <t>-</t>
  </si>
  <si>
    <t>y'</t>
  </si>
  <si>
    <t>SE</t>
  </si>
  <si>
    <t>E</t>
  </si>
  <si>
    <t>A.</t>
  </si>
  <si>
    <t>B.</t>
  </si>
  <si>
    <t>Benzene</t>
  </si>
  <si>
    <t>Toluene</t>
  </si>
  <si>
    <t>Nstages</t>
  </si>
  <si>
    <t>Feed tray</t>
  </si>
  <si>
    <t>fv</t>
  </si>
  <si>
    <t>Cpl1.</t>
  </si>
  <si>
    <t>Cpl2.</t>
  </si>
  <si>
    <t>hlv1.</t>
  </si>
  <si>
    <t>hlv2.</t>
  </si>
  <si>
    <t>Cplm</t>
  </si>
  <si>
    <t>hlvm</t>
  </si>
  <si>
    <t>V1.</t>
  </si>
  <si>
    <t>Lo.</t>
  </si>
  <si>
    <t>D.</t>
  </si>
  <si>
    <t>Ln.</t>
  </si>
  <si>
    <t>Vn+1.</t>
  </si>
  <si>
    <t>W.</t>
  </si>
  <si>
    <t>Enriching line:</t>
  </si>
  <si>
    <t>Stripping line:</t>
  </si>
  <si>
    <t>q feed line:</t>
  </si>
  <si>
    <t>Stages:</t>
  </si>
  <si>
    <t>slope_S</t>
  </si>
  <si>
    <t>diff x</t>
  </si>
  <si>
    <t>interc_S</t>
  </si>
  <si>
    <t>diff F</t>
  </si>
  <si>
    <t>Initial Data:</t>
  </si>
  <si>
    <t>Rectification</t>
  </si>
  <si>
    <t>R</t>
  </si>
  <si>
    <t>xq</t>
  </si>
  <si>
    <t>yq</t>
  </si>
  <si>
    <t>xe</t>
  </si>
  <si>
    <t>ye</t>
  </si>
  <si>
    <t>xs</t>
  </si>
  <si>
    <t>ys</t>
  </si>
  <si>
    <t>Coefficients:</t>
  </si>
  <si>
    <t>McCabe-Thiele Method</t>
  </si>
  <si>
    <t>Equilibrium Data:</t>
  </si>
  <si>
    <t>Nplates</t>
  </si>
  <si>
    <t>ChemEng Brasil</t>
  </si>
  <si>
    <t>Autor:</t>
  </si>
  <si>
    <t>Lucas Joshua Pires</t>
  </si>
  <si>
    <t>Ano: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</si>
</sst>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4" x14ac:knownFonts="1">
    <font>
      <sz val="11"/>
      <color theme="1"/>
      <name val="Calibri"/>
      <family val="2"/>
      <scheme val="minor"/>
    </font>
    <font>
      <sz val="8"/>
      <color theme="1"/>
      <name val="Verdana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0" xfId="0" applyFont="1"/>
    <xf numFmtId="0" fontId="0" fillId="0" borderId="0" xfId="0" applyFont="1" applyFill="1"/>
    <xf numFmtId="0" fontId="3" fillId="0" borderId="1" xfId="0" applyFont="1" applyFill="1" applyBorder="1" applyAlignment="1">
      <alignment horizontal="center" vertical="center"/>
    </xf>
    <xf numFmtId="164" fontId="3" fillId="0" borderId="1" xfId="0" applyNumberFormat="1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164" fontId="3" fillId="0" borderId="2" xfId="0" applyNumberFormat="1" applyFont="1" applyBorder="1" applyAlignment="1">
      <alignment horizontal="center"/>
    </xf>
    <xf numFmtId="11" fontId="0" fillId="0" borderId="1" xfId="0" applyNumberFormat="1" applyBorder="1" applyAlignment="1">
      <alignment horizontal="center"/>
    </xf>
    <xf numFmtId="165" fontId="3" fillId="4" borderId="1" xfId="0" applyNumberFormat="1" applyFon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3" fillId="6" borderId="1" xfId="0" applyFont="1" applyFill="1" applyBorder="1" applyAlignment="1">
      <alignment horizontal="center"/>
    </xf>
    <xf numFmtId="164" fontId="0" fillId="6" borderId="1" xfId="0" applyNumberForma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3" fillId="4" borderId="5" xfId="0" applyNumberFormat="1" applyFont="1" applyFill="1" applyBorder="1" applyAlignment="1">
      <alignment horizontal="center"/>
    </xf>
    <xf numFmtId="0" fontId="3" fillId="0" borderId="4" xfId="0" applyFont="1" applyBorder="1" applyAlignment="1">
      <alignment horizontal="center"/>
    </xf>
    <xf numFmtId="165" fontId="0" fillId="3" borderId="1" xfId="0" applyNumberFormat="1" applyFont="1" applyFill="1" applyBorder="1" applyAlignment="1" applyProtection="1">
      <alignment horizontal="center"/>
      <protection locked="0"/>
    </xf>
    <xf numFmtId="2" fontId="0" fillId="3" borderId="1" xfId="0" applyNumberFormat="1" applyFont="1" applyFill="1" applyBorder="1" applyAlignment="1" applyProtection="1">
      <alignment horizontal="center"/>
      <protection locked="0"/>
    </xf>
    <xf numFmtId="0" fontId="0" fillId="5" borderId="1" xfId="0" applyFill="1" applyBorder="1" applyAlignment="1" applyProtection="1">
      <alignment horizontal="center"/>
      <protection locked="0"/>
    </xf>
    <xf numFmtId="11" fontId="0" fillId="5" borderId="1" xfId="0" applyNumberFormat="1" applyFill="1" applyBorder="1" applyAlignment="1" applyProtection="1">
      <alignment horizontal="center"/>
      <protection locked="0"/>
    </xf>
    <xf numFmtId="0" fontId="3" fillId="3" borderId="1" xfId="0" applyFont="1" applyFill="1" applyBorder="1" applyAlignment="1" applyProtection="1">
      <alignment horizontal="center" vertical="center"/>
      <protection locked="0"/>
    </xf>
    <xf numFmtId="2" fontId="3" fillId="3" borderId="1" xfId="0" applyNumberFormat="1" applyFont="1" applyFill="1" applyBorder="1" applyAlignment="1" applyProtection="1">
      <alignment horizontal="center" vertical="center"/>
      <protection locked="0"/>
    </xf>
    <xf numFmtId="1" fontId="3" fillId="3" borderId="1" xfId="0" applyNumberFormat="1" applyFont="1" applyFill="1" applyBorder="1" applyAlignment="1" applyProtection="1">
      <alignment horizontal="center" vertical="center"/>
      <protection locked="0"/>
    </xf>
    <xf numFmtId="1" fontId="3" fillId="3" borderId="1" xfId="0" applyNumberFormat="1" applyFont="1" applyFill="1" applyBorder="1" applyAlignment="1" applyProtection="1">
      <alignment horizontal="center"/>
      <protection locked="0"/>
    </xf>
    <xf numFmtId="0" fontId="3" fillId="3" borderId="1" xfId="0" applyFont="1" applyFill="1" applyBorder="1" applyAlignment="1" applyProtection="1">
      <alignment horizontal="center"/>
      <protection locked="0"/>
    </xf>
    <xf numFmtId="165" fontId="3" fillId="3" borderId="1" xfId="0" applyNumberFormat="1" applyFont="1" applyFill="1" applyBorder="1" applyAlignment="1" applyProtection="1">
      <alignment horizontal="center"/>
      <protection locked="0"/>
    </xf>
    <xf numFmtId="164" fontId="3" fillId="3" borderId="1" xfId="0" applyNumberFormat="1" applyFont="1" applyFill="1" applyBorder="1" applyAlignment="1" applyProtection="1">
      <alignment horizontal="center"/>
      <protection locked="0"/>
    </xf>
    <xf numFmtId="0" fontId="3" fillId="7" borderId="9" xfId="0" applyFont="1" applyFill="1" applyBorder="1" applyAlignment="1">
      <alignment horizontal="center"/>
    </xf>
    <xf numFmtId="0" fontId="3" fillId="7" borderId="10" xfId="0" applyFont="1" applyFill="1" applyBorder="1" applyAlignment="1">
      <alignment horizontal="center"/>
    </xf>
    <xf numFmtId="164" fontId="0" fillId="6" borderId="9" xfId="0" applyNumberFormat="1" applyFill="1" applyBorder="1" applyAlignment="1">
      <alignment horizontal="center"/>
    </xf>
    <xf numFmtId="164" fontId="0" fillId="6" borderId="10" xfId="0" applyNumberFormat="1" applyFill="1" applyBorder="1" applyAlignment="1">
      <alignment horizontal="center"/>
    </xf>
    <xf numFmtId="164" fontId="0" fillId="6" borderId="11" xfId="0" applyNumberFormat="1" applyFill="1" applyBorder="1" applyAlignment="1">
      <alignment horizontal="center"/>
    </xf>
    <xf numFmtId="164" fontId="0" fillId="6" borderId="12" xfId="0" applyNumberFormat="1" applyFill="1" applyBorder="1" applyAlignment="1">
      <alignment horizontal="center"/>
    </xf>
    <xf numFmtId="164" fontId="0" fillId="6" borderId="13" xfId="0" applyNumberForma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0" borderId="17" xfId="0" applyFont="1" applyBorder="1"/>
    <xf numFmtId="0" fontId="0" fillId="0" borderId="0" xfId="0" applyBorder="1"/>
    <xf numFmtId="0" fontId="0" fillId="0" borderId="18" xfId="0" applyBorder="1"/>
    <xf numFmtId="0" fontId="3" fillId="0" borderId="19" xfId="0" applyFont="1" applyBorder="1"/>
    <xf numFmtId="0" fontId="0" fillId="0" borderId="20" xfId="0" applyBorder="1" applyAlignment="1">
      <alignment horizontal="left"/>
    </xf>
    <xf numFmtId="0" fontId="0" fillId="0" borderId="20" xfId="0" applyBorder="1"/>
    <xf numFmtId="0" fontId="0" fillId="0" borderId="21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externalLink" Target="externalLinks/externalLink9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externalLink" Target="externalLinks/externalLink8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2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5" Type="http://schemas.openxmlformats.org/officeDocument/2006/relationships/externalLink" Target="externalLinks/externalLink1.xml"/><Relationship Id="rId15" Type="http://schemas.openxmlformats.org/officeDocument/2006/relationships/externalLink" Target="externalLinks/externalLink11.xml"/><Relationship Id="rId10" Type="http://schemas.openxmlformats.org/officeDocument/2006/relationships/externalLink" Target="externalLinks/externalLink6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externalLink" Target="externalLinks/externalLink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tx>
            <c:v>45</c:v>
          </c:tx>
          <c:spPr>
            <a:ln w="25400" cap="flat" cmpd="sng" algn="ctr">
              <a:solidFill>
                <a:schemeClr val="tx1">
                  <a:lumMod val="75000"/>
                  <a:lumOff val="25000"/>
                </a:schemeClr>
              </a:solidFill>
              <a:prstDash val="solid"/>
            </a:ln>
            <a:effectLst/>
          </c:spPr>
          <c:marker>
            <c:symbol val="none"/>
          </c:marker>
          <c:xVal>
            <c:numRef>
              <c:f>(Equilibrium!$D$10,Equilibrium!$D$4)</c:f>
              <c:numCache>
                <c:formatCode>0.000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(Equilibrium!$E$10,Equilibrium!$E$4)</c:f>
              <c:numCache>
                <c:formatCode>0.000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255-4009-AF3B-27C29D68818D}"/>
            </c:ext>
          </c:extLst>
        </c:ser>
        <c:ser>
          <c:idx val="2"/>
          <c:order val="1"/>
          <c:tx>
            <c:v>model</c:v>
          </c:tx>
          <c:spPr>
            <a:ln w="25400" cap="flat" cmpd="sng" algn="ctr">
              <a:solidFill>
                <a:schemeClr val="dk1"/>
              </a:solidFill>
              <a:prstDash val="solid"/>
            </a:ln>
            <a:effectLst/>
          </c:spPr>
          <c:marker>
            <c:symbol val="none"/>
          </c:marker>
          <c:xVal>
            <c:numRef>
              <c:f>Equilibrium!$D$4:$D$10</c:f>
              <c:numCache>
                <c:formatCode>0.000</c:formatCode>
                <c:ptCount val="7"/>
                <c:pt idx="0">
                  <c:v>1</c:v>
                </c:pt>
                <c:pt idx="1">
                  <c:v>0.7802538787023976</c:v>
                </c:pt>
                <c:pt idx="2">
                  <c:v>0.58061349693251529</c:v>
                </c:pt>
                <c:pt idx="3">
                  <c:v>0.41147186147186149</c:v>
                </c:pt>
                <c:pt idx="4">
                  <c:v>0.2575786463298379</c:v>
                </c:pt>
                <c:pt idx="5">
                  <c:v>0.12961082910321484</c:v>
                </c:pt>
                <c:pt idx="6">
                  <c:v>0</c:v>
                </c:pt>
              </c:numCache>
            </c:numRef>
          </c:xVal>
          <c:yVal>
            <c:numRef>
              <c:f>Equilibrium!$F$4:$F$10</c:f>
              <c:numCache>
                <c:formatCode>General</c:formatCode>
                <c:ptCount val="7"/>
                <c:pt idx="0">
                  <c:v>1.0035959362718649</c:v>
                </c:pt>
                <c:pt idx="1">
                  <c:v>0.89877980210744401</c:v>
                </c:pt>
                <c:pt idx="2">
                  <c:v>0.77253151475530224</c:v>
                </c:pt>
                <c:pt idx="3">
                  <c:v>0.63029423048998978</c:v>
                </c:pt>
                <c:pt idx="4">
                  <c:v>0.45752734030802128</c:v>
                </c:pt>
                <c:pt idx="5">
                  <c:v>0.26544899356910179</c:v>
                </c:pt>
                <c:pt idx="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255-4009-AF3B-27C29D68818D}"/>
            </c:ext>
          </c:extLst>
        </c:ser>
        <c:ser>
          <c:idx val="3"/>
          <c:order val="2"/>
          <c:tx>
            <c:v>q_line</c:v>
          </c:tx>
          <c:spPr>
            <a:ln w="25400" cap="flat" cmpd="sng" algn="ctr">
              <a:solidFill>
                <a:schemeClr val="accent4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(Rectification!$D$21,Rectification!$D$22)</c:f>
              <c:numCache>
                <c:formatCode>0.000</c:formatCode>
                <c:ptCount val="2"/>
                <c:pt idx="0">
                  <c:v>1</c:v>
                </c:pt>
                <c:pt idx="1">
                  <c:v>0.55000000000000004</c:v>
                </c:pt>
              </c:numCache>
            </c:numRef>
          </c:xVal>
          <c:yVal>
            <c:numRef>
              <c:f>(Rectification!$E$21,Rectification!$E$22)</c:f>
              <c:numCache>
                <c:formatCode>0.000</c:formatCode>
                <c:ptCount val="2"/>
                <c:pt idx="0">
                  <c:v>3.7498311951384218</c:v>
                </c:pt>
                <c:pt idx="1">
                  <c:v>0.54999999999999982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255-4009-AF3B-27C29D68818D}"/>
            </c:ext>
          </c:extLst>
        </c:ser>
        <c:ser>
          <c:idx val="4"/>
          <c:order val="3"/>
          <c:tx>
            <c:v>e_line</c:v>
          </c:tx>
          <c:spPr>
            <a:ln w="19050" cap="flat" cmpd="sng" algn="ctr">
              <a:solidFill>
                <a:schemeClr val="dk1"/>
              </a:solidFill>
              <a:prstDash val="sysDash"/>
            </a:ln>
            <a:effectLst/>
          </c:spPr>
          <c:marker>
            <c:symbol val="none"/>
          </c:marker>
          <c:xVal>
            <c:numRef>
              <c:f>Rectification!$F$21:$F$22</c:f>
              <c:numCache>
                <c:formatCode>0.000</c:formatCode>
                <c:ptCount val="2"/>
                <c:pt idx="0">
                  <c:v>0.9</c:v>
                </c:pt>
                <c:pt idx="1">
                  <c:v>0</c:v>
                </c:pt>
              </c:numCache>
            </c:numRef>
          </c:xVal>
          <c:yVal>
            <c:numRef>
              <c:f>Rectification!$G$21:$G$22</c:f>
              <c:numCache>
                <c:formatCode>0.000</c:formatCode>
                <c:ptCount val="2"/>
                <c:pt idx="0">
                  <c:v>0.90000000000000013</c:v>
                </c:pt>
                <c:pt idx="1">
                  <c:v>0.18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255-4009-AF3B-27C29D68818D}"/>
            </c:ext>
          </c:extLst>
        </c:ser>
        <c:ser>
          <c:idx val="5"/>
          <c:order val="4"/>
          <c:tx>
            <c:v>s_line</c:v>
          </c:tx>
          <c:spPr>
            <a:ln w="19050" cap="flat" cmpd="sng" algn="ctr">
              <a:solidFill>
                <a:schemeClr val="dk1"/>
              </a:solidFill>
              <a:prstDash val="sysDash"/>
            </a:ln>
            <a:effectLst/>
          </c:spPr>
          <c:marker>
            <c:symbol val="none"/>
          </c:marker>
          <c:xVal>
            <c:numRef>
              <c:f>Rectification!$H$21:$H$22</c:f>
              <c:numCache>
                <c:formatCode>0.000</c:formatCode>
                <c:ptCount val="2"/>
                <c:pt idx="0">
                  <c:v>0.08</c:v>
                </c:pt>
                <c:pt idx="1">
                  <c:v>0.5610922085981469</c:v>
                </c:pt>
              </c:numCache>
            </c:numRef>
          </c:xVal>
          <c:yVal>
            <c:numRef>
              <c:f>Rectification!$I$21:$I$22</c:f>
              <c:numCache>
                <c:formatCode>0.000</c:formatCode>
                <c:ptCount val="2"/>
                <c:pt idx="0">
                  <c:v>0.08</c:v>
                </c:pt>
                <c:pt idx="1">
                  <c:v>0.62887376687851759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255-4009-AF3B-27C29D68818D}"/>
            </c:ext>
          </c:extLst>
        </c:ser>
        <c:ser>
          <c:idx val="6"/>
          <c:order val="5"/>
          <c:tx>
            <c:v>1y</c:v>
          </c:tx>
          <c:spPr>
            <a:ln w="25400" cap="flat" cmpd="sng" algn="ctr">
              <a:solidFill>
                <a:schemeClr val="accent2"/>
              </a:solidFill>
              <a:prstDash val="solid"/>
            </a:ln>
            <a:effectLst/>
          </c:spPr>
          <c:marker>
            <c:symbol val="none"/>
          </c:marker>
          <c:xVal>
            <c:numRef>
              <c:f>Rectification!$D$28:$E$28</c:f>
              <c:numCache>
                <c:formatCode>0.000</c:formatCode>
                <c:ptCount val="2"/>
                <c:pt idx="0">
                  <c:v>0.78248599237244232</c:v>
                </c:pt>
                <c:pt idx="1">
                  <c:v>0.9</c:v>
                </c:pt>
              </c:numCache>
            </c:numRef>
          </c:xVal>
          <c:yVal>
            <c:numRef>
              <c:f>(Rectification!$E$28,Rectification!$E$28)</c:f>
              <c:numCache>
                <c:formatCode>0.000</c:formatCode>
                <c:ptCount val="2"/>
                <c:pt idx="0">
                  <c:v>0.9</c:v>
                </c:pt>
                <c:pt idx="1">
                  <c:v>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255-4009-AF3B-27C29D68818D}"/>
            </c:ext>
          </c:extLst>
        </c:ser>
        <c:ser>
          <c:idx val="7"/>
          <c:order val="6"/>
          <c:tx>
            <c:v>1x</c:v>
          </c:tx>
          <c:spPr>
            <a:ln w="25400" cap="flat" cmpd="sng" algn="ctr">
              <a:solidFill>
                <a:schemeClr val="accent2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(Rectification!$D$28,Rectification!$D$28)</c:f>
              <c:numCache>
                <c:formatCode>0.000</c:formatCode>
                <c:ptCount val="2"/>
                <c:pt idx="0">
                  <c:v>0.78248599237244232</c:v>
                </c:pt>
                <c:pt idx="1">
                  <c:v>0.78248599237244232</c:v>
                </c:pt>
              </c:numCache>
            </c:numRef>
          </c:xVal>
          <c:yVal>
            <c:numRef>
              <c:f>Rectification!$E$28:$E$29</c:f>
              <c:numCache>
                <c:formatCode>0.000</c:formatCode>
                <c:ptCount val="2"/>
                <c:pt idx="0">
                  <c:v>0.9</c:v>
                </c:pt>
                <c:pt idx="1">
                  <c:v>0.80598879389795397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255-4009-AF3B-27C29D68818D}"/>
            </c:ext>
          </c:extLst>
        </c:ser>
        <c:ser>
          <c:idx val="8"/>
          <c:order val="7"/>
          <c:tx>
            <c:v>2y</c:v>
          </c:tx>
          <c:spPr>
            <a:ln w="25400" cap="flat" cmpd="sng" algn="ctr">
              <a:solidFill>
                <a:schemeClr val="accent2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(Rectification!$D$28,Rectification!$D$29)</c:f>
              <c:numCache>
                <c:formatCode>0.000</c:formatCode>
                <c:ptCount val="2"/>
                <c:pt idx="0">
                  <c:v>0.78248599237244232</c:v>
                </c:pt>
                <c:pt idx="1">
                  <c:v>0.62810715498567204</c:v>
                </c:pt>
              </c:numCache>
            </c:numRef>
          </c:xVal>
          <c:yVal>
            <c:numRef>
              <c:f>(Rectification!$E$29,Rectification!$E$29)</c:f>
              <c:numCache>
                <c:formatCode>0.000</c:formatCode>
                <c:ptCount val="2"/>
                <c:pt idx="0">
                  <c:v>0.80598879389795397</c:v>
                </c:pt>
                <c:pt idx="1">
                  <c:v>0.80598879389795397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7255-4009-AF3B-27C29D68818D}"/>
            </c:ext>
          </c:extLst>
        </c:ser>
        <c:ser>
          <c:idx val="9"/>
          <c:order val="8"/>
          <c:tx>
            <c:v>2x</c:v>
          </c:tx>
          <c:spPr>
            <a:ln w="25400" cap="flat" cmpd="sng" algn="ctr">
              <a:solidFill>
                <a:schemeClr val="accent2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(Rectification!$D$29,Rectification!$D$29)</c:f>
              <c:numCache>
                <c:formatCode>0.000</c:formatCode>
                <c:ptCount val="2"/>
                <c:pt idx="0">
                  <c:v>0.62810715498567204</c:v>
                </c:pt>
                <c:pt idx="1">
                  <c:v>0.62810715498567204</c:v>
                </c:pt>
              </c:numCache>
            </c:numRef>
          </c:xVal>
          <c:yVal>
            <c:numRef>
              <c:f>Rectification!$E$29:$E$30</c:f>
              <c:numCache>
                <c:formatCode>0.000</c:formatCode>
                <c:ptCount val="2"/>
                <c:pt idx="0">
                  <c:v>0.80598879389795397</c:v>
                </c:pt>
                <c:pt idx="1">
                  <c:v>0.68248572398853757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7255-4009-AF3B-27C29D68818D}"/>
            </c:ext>
          </c:extLst>
        </c:ser>
        <c:ser>
          <c:idx val="10"/>
          <c:order val="9"/>
          <c:tx>
            <c:v>3y</c:v>
          </c:tx>
          <c:spPr>
            <a:ln w="25400" cap="flat" cmpd="sng" algn="ctr">
              <a:solidFill>
                <a:schemeClr val="accent2"/>
              </a:solidFill>
              <a:prstDash val="solid"/>
            </a:ln>
            <a:effectLst/>
          </c:spPr>
          <c:marker>
            <c:symbol val="none"/>
          </c:marker>
          <c:xVal>
            <c:numRef>
              <c:f>Rectification!$D$29:$D$30</c:f>
              <c:numCache>
                <c:formatCode>0.000</c:formatCode>
                <c:ptCount val="2"/>
                <c:pt idx="0">
                  <c:v>0.62810715498567204</c:v>
                </c:pt>
                <c:pt idx="1">
                  <c:v>0.46811166951084099</c:v>
                </c:pt>
              </c:numCache>
            </c:numRef>
          </c:xVal>
          <c:yVal>
            <c:numRef>
              <c:f>(Rectification!$E$30,Rectification!$E$30)</c:f>
              <c:numCache>
                <c:formatCode>0.000</c:formatCode>
                <c:ptCount val="2"/>
                <c:pt idx="0">
                  <c:v>0.68248572398853757</c:v>
                </c:pt>
                <c:pt idx="1">
                  <c:v>0.68248572398853757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7255-4009-AF3B-27C29D68818D}"/>
            </c:ext>
          </c:extLst>
        </c:ser>
        <c:ser>
          <c:idx val="11"/>
          <c:order val="10"/>
          <c:tx>
            <c:v>3x</c:v>
          </c:tx>
          <c:spPr>
            <a:ln w="25400" cap="flat" cmpd="sng" algn="ctr">
              <a:solidFill>
                <a:schemeClr val="accent2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(Rectification!$D$30,Rectification!$D$30)</c:f>
              <c:numCache>
                <c:formatCode>0.000</c:formatCode>
                <c:ptCount val="2"/>
                <c:pt idx="0">
                  <c:v>0.46811166951084099</c:v>
                </c:pt>
                <c:pt idx="1">
                  <c:v>0.46811166951084099</c:v>
                </c:pt>
              </c:numCache>
            </c:numRef>
          </c:xVal>
          <c:yVal>
            <c:numRef>
              <c:f>(Rectification!$E$30,Rectification!$E$31)</c:f>
              <c:numCache>
                <c:formatCode>0.000</c:formatCode>
                <c:ptCount val="2"/>
                <c:pt idx="0">
                  <c:v>0.68248572398853757</c:v>
                </c:pt>
                <c:pt idx="1">
                  <c:v>0.52279310744744023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7255-4009-AF3B-27C29D68818D}"/>
            </c:ext>
          </c:extLst>
        </c:ser>
        <c:ser>
          <c:idx val="12"/>
          <c:order val="11"/>
          <c:tx>
            <c:v>4y</c:v>
          </c:tx>
          <c:spPr>
            <a:ln w="25400" cap="flat" cmpd="sng" algn="ctr">
              <a:solidFill>
                <a:schemeClr val="accent2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(Rectification!$D$30,Rectification!$D$31)</c:f>
              <c:numCache>
                <c:formatCode>0.000</c:formatCode>
                <c:ptCount val="2"/>
                <c:pt idx="0">
                  <c:v>0.46811166951084099</c:v>
                </c:pt>
                <c:pt idx="1">
                  <c:v>0.31046305727535378</c:v>
                </c:pt>
              </c:numCache>
            </c:numRef>
          </c:xVal>
          <c:yVal>
            <c:numRef>
              <c:f>(Rectification!$E$31,Rectification!$E$31)</c:f>
              <c:numCache>
                <c:formatCode>0.000</c:formatCode>
                <c:ptCount val="2"/>
                <c:pt idx="0">
                  <c:v>0.52279310744744023</c:v>
                </c:pt>
                <c:pt idx="1">
                  <c:v>0.52279310744744023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7255-4009-AF3B-27C29D68818D}"/>
            </c:ext>
          </c:extLst>
        </c:ser>
        <c:ser>
          <c:idx val="13"/>
          <c:order val="12"/>
          <c:tx>
            <c:v>4x</c:v>
          </c:tx>
          <c:spPr>
            <a:ln w="25400" cap="flat" cmpd="sng" algn="ctr">
              <a:solidFill>
                <a:schemeClr val="accent2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(Rectification!$D$31,Rectification!$D$31)</c:f>
              <c:numCache>
                <c:formatCode>0.000</c:formatCode>
                <c:ptCount val="2"/>
                <c:pt idx="0">
                  <c:v>0.31046305727535378</c:v>
                </c:pt>
                <c:pt idx="1">
                  <c:v>0.31046305727535378</c:v>
                </c:pt>
              </c:numCache>
            </c:numRef>
          </c:xVal>
          <c:yVal>
            <c:numRef>
              <c:f>(Rectification!$E$31,Rectification!$E$32)</c:f>
              <c:numCache>
                <c:formatCode>0.000</c:formatCode>
                <c:ptCount val="2"/>
                <c:pt idx="0">
                  <c:v>0.52279310744744023</c:v>
                </c:pt>
                <c:pt idx="1">
                  <c:v>0.34293322592285741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7255-4009-AF3B-27C29D68818D}"/>
            </c:ext>
          </c:extLst>
        </c:ser>
        <c:ser>
          <c:idx val="14"/>
          <c:order val="13"/>
          <c:tx>
            <c:v>5y</c:v>
          </c:tx>
          <c:spPr>
            <a:ln w="25400" cap="flat" cmpd="sng" algn="ctr">
              <a:solidFill>
                <a:schemeClr val="accent2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(Rectification!$D$31,Rectification!$D$32)</c:f>
              <c:numCache>
                <c:formatCode>0.000</c:formatCode>
                <c:ptCount val="2"/>
                <c:pt idx="0">
                  <c:v>0.31046305727535378</c:v>
                </c:pt>
                <c:pt idx="1">
                  <c:v>0.17691478287282614</c:v>
                </c:pt>
              </c:numCache>
            </c:numRef>
          </c:xVal>
          <c:yVal>
            <c:numRef>
              <c:f>(Rectification!$E$32,Rectification!$E$32)</c:f>
              <c:numCache>
                <c:formatCode>0.000</c:formatCode>
                <c:ptCount val="2"/>
                <c:pt idx="0">
                  <c:v>0.34293322592285741</c:v>
                </c:pt>
                <c:pt idx="1">
                  <c:v>0.34293322592285741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7255-4009-AF3B-27C29D68818D}"/>
            </c:ext>
          </c:extLst>
        </c:ser>
        <c:ser>
          <c:idx val="15"/>
          <c:order val="14"/>
          <c:tx>
            <c:v>5x</c:v>
          </c:tx>
          <c:spPr>
            <a:ln w="25400" cap="flat" cmpd="sng" algn="ctr">
              <a:solidFill>
                <a:schemeClr val="accent2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(Rectification!$D$32,Rectification!$D$32)</c:f>
              <c:numCache>
                <c:formatCode>0.000</c:formatCode>
                <c:ptCount val="2"/>
                <c:pt idx="0">
                  <c:v>0.17691478287282614</c:v>
                </c:pt>
                <c:pt idx="1">
                  <c:v>0.17691478287282614</c:v>
                </c:pt>
              </c:numCache>
            </c:numRef>
          </c:xVal>
          <c:yVal>
            <c:numRef>
              <c:f>(Rectification!$E$32,Rectification!$E$33)</c:f>
              <c:numCache>
                <c:formatCode>0.000</c:formatCode>
                <c:ptCount val="2"/>
                <c:pt idx="0">
                  <c:v>0.34293322592285741</c:v>
                </c:pt>
                <c:pt idx="1">
                  <c:v>0.19056920272440811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7255-4009-AF3B-27C29D68818D}"/>
            </c:ext>
          </c:extLst>
        </c:ser>
        <c:ser>
          <c:idx val="16"/>
          <c:order val="15"/>
          <c:tx>
            <c:v>6y</c:v>
          </c:tx>
          <c:spPr>
            <a:ln w="25400" cap="flat" cmpd="sng" algn="ctr">
              <a:solidFill>
                <a:schemeClr val="accent2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(Rectification!$D$32,Rectification!$D$33)</c:f>
              <c:numCache>
                <c:formatCode>0.000</c:formatCode>
                <c:ptCount val="2"/>
                <c:pt idx="0">
                  <c:v>0.17691478287282614</c:v>
                </c:pt>
                <c:pt idx="1">
                  <c:v>8.8472299249918993E-2</c:v>
                </c:pt>
              </c:numCache>
            </c:numRef>
          </c:xVal>
          <c:yVal>
            <c:numRef>
              <c:f>(Rectification!$E$33,Rectification!$E$33)</c:f>
              <c:numCache>
                <c:formatCode>0.000</c:formatCode>
                <c:ptCount val="2"/>
                <c:pt idx="0">
                  <c:v>0.19056920272440811</c:v>
                </c:pt>
                <c:pt idx="1">
                  <c:v>0.19056920272440811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7255-4009-AF3B-27C29D68818D}"/>
            </c:ext>
          </c:extLst>
        </c:ser>
        <c:ser>
          <c:idx val="17"/>
          <c:order val="16"/>
          <c:tx>
            <c:v>6x</c:v>
          </c:tx>
          <c:spPr>
            <a:ln w="25400" cap="flat" cmpd="sng" algn="ctr">
              <a:solidFill>
                <a:schemeClr val="accent2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(Rectification!$D$33,Rectification!$D$33)</c:f>
              <c:numCache>
                <c:formatCode>0.000</c:formatCode>
                <c:ptCount val="2"/>
                <c:pt idx="0">
                  <c:v>8.8472299249918993E-2</c:v>
                </c:pt>
                <c:pt idx="1">
                  <c:v>8.8472299249918993E-2</c:v>
                </c:pt>
              </c:numCache>
            </c:numRef>
          </c:xVal>
          <c:yVal>
            <c:numRef>
              <c:f>(Rectification!$E$33,Rectification!$E$34)</c:f>
              <c:numCache>
                <c:formatCode>0.000</c:formatCode>
                <c:ptCount val="2"/>
                <c:pt idx="0">
                  <c:v>0.19056920272440811</c:v>
                </c:pt>
                <c:pt idx="1">
                  <c:v>8.9665969891666628E-2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7255-4009-AF3B-27C29D68818D}"/>
            </c:ext>
          </c:extLst>
        </c:ser>
        <c:ser>
          <c:idx val="18"/>
          <c:order val="17"/>
          <c:tx>
            <c:v>7y</c:v>
          </c:tx>
          <c:spPr>
            <a:ln w="25400" cap="flat" cmpd="sng" algn="ctr">
              <a:solidFill>
                <a:schemeClr val="accent2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(Rectification!$D$33,Rectification!$D$34)</c:f>
              <c:numCache>
                <c:formatCode>0.000</c:formatCode>
                <c:ptCount val="2"/>
                <c:pt idx="0">
                  <c:v>8.8472299249918993E-2</c:v>
                </c:pt>
                <c:pt idx="1">
                  <c:v>3.9039981560037816E-2</c:v>
                </c:pt>
              </c:numCache>
            </c:numRef>
          </c:xVal>
          <c:yVal>
            <c:numRef>
              <c:f>(Rectification!$E$34,Rectification!$E$34)</c:f>
              <c:numCache>
                <c:formatCode>0.000</c:formatCode>
                <c:ptCount val="2"/>
                <c:pt idx="0">
                  <c:v>8.9665969891666628E-2</c:v>
                </c:pt>
                <c:pt idx="1">
                  <c:v>8.9665969891666628E-2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7255-4009-AF3B-27C29D68818D}"/>
            </c:ext>
          </c:extLst>
        </c:ser>
        <c:ser>
          <c:idx val="19"/>
          <c:order val="18"/>
          <c:tx>
            <c:v>7x</c:v>
          </c:tx>
          <c:spPr>
            <a:ln w="25400" cap="flat" cmpd="sng" algn="ctr">
              <a:solidFill>
                <a:schemeClr val="accent2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(Rectification!$D$34,Rectification!$D$34)</c:f>
              <c:numCache>
                <c:formatCode>0.000</c:formatCode>
                <c:ptCount val="2"/>
                <c:pt idx="0">
                  <c:v>3.9039981560037816E-2</c:v>
                </c:pt>
                <c:pt idx="1">
                  <c:v>3.9039981560037816E-2</c:v>
                </c:pt>
              </c:numCache>
            </c:numRef>
          </c:xVal>
          <c:yVal>
            <c:numRef>
              <c:f>(Rectification!$E$34,Rectification!$E$35)</c:f>
              <c:numCache>
                <c:formatCode>0.000</c:formatCode>
                <c:ptCount val="2"/>
                <c:pt idx="0">
                  <c:v>8.9665969891666628E-2</c:v>
                </c:pt>
                <c:pt idx="1">
                  <c:v>3.326908394948766E-2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7255-4009-AF3B-27C29D68818D}"/>
            </c:ext>
          </c:extLst>
        </c:ser>
        <c:ser>
          <c:idx val="20"/>
          <c:order val="19"/>
          <c:tx>
            <c:v>8y</c:v>
          </c:tx>
          <c:spPr>
            <a:ln w="25400" cap="flat" cmpd="sng" algn="ctr">
              <a:solidFill>
                <a:schemeClr val="accent2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(Rectification!$D$34,Rectification!$D$35)</c:f>
              <c:numCache>
                <c:formatCode>0.000</c:formatCode>
                <c:ptCount val="2"/>
                <c:pt idx="0">
                  <c:v>3.9039981560037816E-2</c:v>
                </c:pt>
                <c:pt idx="1">
                  <c:v>1.3998767566958528E-2</c:v>
                </c:pt>
              </c:numCache>
            </c:numRef>
          </c:xVal>
          <c:yVal>
            <c:numRef>
              <c:f>(Rectification!$E$35,Rectification!$E$35)</c:f>
              <c:numCache>
                <c:formatCode>0.000</c:formatCode>
                <c:ptCount val="2"/>
                <c:pt idx="0">
                  <c:v>3.326908394948766E-2</c:v>
                </c:pt>
                <c:pt idx="1">
                  <c:v>3.326908394948766E-2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7255-4009-AF3B-27C29D68818D}"/>
            </c:ext>
          </c:extLst>
        </c:ser>
        <c:ser>
          <c:idx val="21"/>
          <c:order val="20"/>
          <c:tx>
            <c:v>8x</c:v>
          </c:tx>
          <c:spPr>
            <a:ln w="25400" cap="flat" cmpd="sng" algn="ctr">
              <a:solidFill>
                <a:schemeClr val="accent2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(Rectification!$D$35,Rectification!$D$35)</c:f>
              <c:numCache>
                <c:formatCode>0.000</c:formatCode>
                <c:ptCount val="2"/>
                <c:pt idx="0">
                  <c:v>1.3998767566958528E-2</c:v>
                </c:pt>
                <c:pt idx="1">
                  <c:v>1.3998767566958528E-2</c:v>
                </c:pt>
              </c:numCache>
            </c:numRef>
          </c:xVal>
          <c:yVal>
            <c:numRef>
              <c:f>(Rectification!$E$35,Rectification!$E$36)</c:f>
              <c:numCache>
                <c:formatCode>0.000</c:formatCode>
                <c:ptCount val="2"/>
                <c:pt idx="0">
                  <c:v>3.326908394948766E-2</c:v>
                </c:pt>
                <c:pt idx="1">
                  <c:v>4.6997884881405903E-3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7255-4009-AF3B-27C29D68818D}"/>
            </c:ext>
          </c:extLst>
        </c:ser>
        <c:ser>
          <c:idx val="22"/>
          <c:order val="21"/>
          <c:tx>
            <c:v>9y</c:v>
          </c:tx>
          <c:spPr>
            <a:ln w="25400" cap="flat" cmpd="sng" algn="ctr">
              <a:solidFill>
                <a:schemeClr val="accent2"/>
              </a:solidFill>
              <a:prstDash val="solid"/>
            </a:ln>
            <a:effectLst/>
          </c:spPr>
          <c:marker>
            <c:symbol val="none"/>
          </c:marker>
          <c:xVal>
            <c:numRef>
              <c:f>Rectification!$D$35:$D$36</c:f>
              <c:numCache>
                <c:formatCode>0.000</c:formatCode>
                <c:ptCount val="2"/>
                <c:pt idx="0">
                  <c:v>1.3998767566958528E-2</c:v>
                </c:pt>
                <c:pt idx="1">
                  <c:v>1.9444744017572668E-3</c:v>
                </c:pt>
              </c:numCache>
            </c:numRef>
          </c:xVal>
          <c:yVal>
            <c:numRef>
              <c:f>(Rectification!$E$36,Rectification!$E$36)</c:f>
              <c:numCache>
                <c:formatCode>0.000</c:formatCode>
                <c:ptCount val="2"/>
                <c:pt idx="0">
                  <c:v>4.6997884881405903E-3</c:v>
                </c:pt>
                <c:pt idx="1">
                  <c:v>4.6997884881405903E-3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7255-4009-AF3B-27C29D68818D}"/>
            </c:ext>
          </c:extLst>
        </c:ser>
        <c:ser>
          <c:idx val="23"/>
          <c:order val="22"/>
          <c:tx>
            <c:v>9x</c:v>
          </c:tx>
          <c:spPr>
            <a:ln w="25400" cap="flat" cmpd="sng" algn="ctr">
              <a:solidFill>
                <a:schemeClr val="accent2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(Rectification!$D$36,Rectification!$D$36)</c:f>
              <c:numCache>
                <c:formatCode>0.000</c:formatCode>
                <c:ptCount val="2"/>
                <c:pt idx="0">
                  <c:v>1.9444744017572668E-3</c:v>
                </c:pt>
                <c:pt idx="1">
                  <c:v>1.9444744017572668E-3</c:v>
                </c:pt>
              </c:numCache>
            </c:numRef>
          </c:xVal>
          <c:yVal>
            <c:numRef>
              <c:f>(Rectification!$E$36,Rectification!$E$37)</c:f>
              <c:numCache>
                <c:formatCode>0.000</c:formatCode>
                <c:ptCount val="2"/>
                <c:pt idx="0">
                  <c:v>4.6997884881405903E-3</c:v>
                </c:pt>
                <c:pt idx="1">
                  <c:v>-9.0528459931393246E-3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6-7255-4009-AF3B-27C29D68818D}"/>
            </c:ext>
          </c:extLst>
        </c:ser>
        <c:ser>
          <c:idx val="24"/>
          <c:order val="23"/>
          <c:tx>
            <c:v>10y</c:v>
          </c:tx>
          <c:spPr>
            <a:ln w="25400" cap="flat" cmpd="sng" algn="ctr">
              <a:solidFill>
                <a:schemeClr val="accent2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(Rectification!$D$36,Rectification!$D$37)</c:f>
              <c:numCache>
                <c:formatCode>0.000</c:formatCode>
                <c:ptCount val="2"/>
                <c:pt idx="0">
                  <c:v>1.9444744017572668E-3</c:v>
                </c:pt>
                <c:pt idx="1">
                  <c:v>-3.7155790409206368E-3</c:v>
                </c:pt>
              </c:numCache>
            </c:numRef>
          </c:xVal>
          <c:yVal>
            <c:numRef>
              <c:f>(Rectification!$E$37,Rectification!$E$37)</c:f>
              <c:numCache>
                <c:formatCode>0.000</c:formatCode>
                <c:ptCount val="2"/>
                <c:pt idx="0">
                  <c:v>-9.0528459931393246E-3</c:v>
                </c:pt>
                <c:pt idx="1">
                  <c:v>-9.0528459931393246E-3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7-7255-4009-AF3B-27C29D68818D}"/>
            </c:ext>
          </c:extLst>
        </c:ser>
        <c:ser>
          <c:idx val="25"/>
          <c:order val="24"/>
          <c:tx>
            <c:v>10x</c:v>
          </c:tx>
          <c:spPr>
            <a:ln w="25400" cap="flat" cmpd="sng" algn="ctr">
              <a:solidFill>
                <a:schemeClr val="accent2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(Rectification!$D$37,Rectification!$D$37)</c:f>
              <c:numCache>
                <c:formatCode>0.000</c:formatCode>
                <c:ptCount val="2"/>
                <c:pt idx="0">
                  <c:v>-3.7155790409206368E-3</c:v>
                </c:pt>
                <c:pt idx="1">
                  <c:v>-3.7155790409206368E-3</c:v>
                </c:pt>
              </c:numCache>
            </c:numRef>
          </c:xVal>
          <c:yVal>
            <c:numRef>
              <c:f>(Rectification!$E$37,Rectification!$E$38)</c:f>
              <c:numCache>
                <c:formatCode>0.000</c:formatCode>
                <c:ptCount val="2"/>
                <c:pt idx="0">
                  <c:v>-9.0528459931393246E-3</c:v>
                </c:pt>
                <c:pt idx="1">
                  <c:v>-1.551034997739385E-2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8-7255-4009-AF3B-27C29D68818D}"/>
            </c:ext>
          </c:extLst>
        </c:ser>
        <c:ser>
          <c:idx val="0"/>
          <c:order val="25"/>
          <c:tx>
            <c:v>11x</c:v>
          </c:tx>
          <c:spPr>
            <a:ln w="25400" cap="flat" cmpd="sng" algn="ctr">
              <a:solidFill>
                <a:schemeClr val="accent2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(Rectification!$D$37,Rectification!$D$38)</c:f>
              <c:numCache>
                <c:formatCode>0.000</c:formatCode>
                <c:ptCount val="2"/>
                <c:pt idx="0">
                  <c:v>-3.7155790409206368E-3</c:v>
                </c:pt>
                <c:pt idx="1">
                  <c:v>-6.3421620892608931E-3</c:v>
                </c:pt>
              </c:numCache>
            </c:numRef>
          </c:xVal>
          <c:yVal>
            <c:numRef>
              <c:f>(Rectification!$E$38,Rectification!$E$38)</c:f>
              <c:numCache>
                <c:formatCode>0.000</c:formatCode>
                <c:ptCount val="2"/>
                <c:pt idx="0">
                  <c:v>-1.551034997739385E-2</c:v>
                </c:pt>
                <c:pt idx="1">
                  <c:v>-1.551034997739385E-2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9-7255-4009-AF3B-27C29D68818D}"/>
            </c:ext>
          </c:extLst>
        </c:ser>
        <c:ser>
          <c:idx val="26"/>
          <c:order val="26"/>
          <c:tx>
            <c:v>11y</c:v>
          </c:tx>
          <c:spPr>
            <a:ln w="25400" cap="flat" cmpd="sng" algn="ctr">
              <a:solidFill>
                <a:schemeClr val="accent2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(Rectification!$D$38,Rectification!$D$38)</c:f>
              <c:numCache>
                <c:formatCode>0.000</c:formatCode>
                <c:ptCount val="2"/>
                <c:pt idx="0">
                  <c:v>-6.3421620892608931E-3</c:v>
                </c:pt>
                <c:pt idx="1">
                  <c:v>-6.3421620892608931E-3</c:v>
                </c:pt>
              </c:numCache>
            </c:numRef>
          </c:xVal>
          <c:yVal>
            <c:numRef>
              <c:f>(Rectification!$E$38,Rectification!$E$39)</c:f>
              <c:numCache>
                <c:formatCode>0.000</c:formatCode>
                <c:ptCount val="2"/>
                <c:pt idx="0">
                  <c:v>-1.551034997739385E-2</c:v>
                </c:pt>
                <c:pt idx="1">
                  <c:v>-1.8506994915715821E-2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A-7255-4009-AF3B-27C29D68818D}"/>
            </c:ext>
          </c:extLst>
        </c:ser>
        <c:ser>
          <c:idx val="27"/>
          <c:order val="27"/>
          <c:tx>
            <c:v>12x</c:v>
          </c:tx>
          <c:spPr>
            <a:ln w="25400" cap="flat" cmpd="sng" algn="ctr">
              <a:solidFill>
                <a:schemeClr val="accent2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(Rectification!$D$38,Rectification!$D$39)</c:f>
              <c:numCache>
                <c:formatCode>0.000</c:formatCode>
                <c:ptCount val="2"/>
                <c:pt idx="0">
                  <c:v>-6.3421620892608931E-3</c:v>
                </c:pt>
                <c:pt idx="1">
                  <c:v>-7.5543886270742428E-3</c:v>
                </c:pt>
              </c:numCache>
            </c:numRef>
          </c:xVal>
          <c:yVal>
            <c:numRef>
              <c:f>(Rectification!$E$39,Rectification!$E$39)</c:f>
              <c:numCache>
                <c:formatCode>0.000</c:formatCode>
                <c:ptCount val="2"/>
                <c:pt idx="0">
                  <c:v>-1.8506994915715821E-2</c:v>
                </c:pt>
                <c:pt idx="1">
                  <c:v>-1.8506994915715821E-2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B-7255-4009-AF3B-27C29D68818D}"/>
            </c:ext>
          </c:extLst>
        </c:ser>
        <c:ser>
          <c:idx val="28"/>
          <c:order val="28"/>
          <c:tx>
            <c:v>12y</c:v>
          </c:tx>
          <c:spPr>
            <a:ln w="25400" cap="flat" cmpd="sng" algn="ctr">
              <a:solidFill>
                <a:schemeClr val="accent2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(Rectification!$D$39,Rectification!$D$39)</c:f>
              <c:numCache>
                <c:formatCode>0.000</c:formatCode>
                <c:ptCount val="2"/>
                <c:pt idx="0">
                  <c:v>-7.5543886270742428E-3</c:v>
                </c:pt>
                <c:pt idx="1">
                  <c:v>-7.5543886270742428E-3</c:v>
                </c:pt>
              </c:numCache>
            </c:numRef>
          </c:xVal>
          <c:yVal>
            <c:numRef>
              <c:f>(Rectification!$E$39,Rectification!$E$40)</c:f>
              <c:numCache>
                <c:formatCode>0.000</c:formatCode>
                <c:ptCount val="2"/>
                <c:pt idx="0">
                  <c:v>-1.8506994915715821E-2</c:v>
                </c:pt>
                <c:pt idx="1">
                  <c:v>-1.9890013252384597E-2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C-7255-4009-AF3B-27C29D68818D}"/>
            </c:ext>
          </c:extLst>
        </c:ser>
        <c:ser>
          <c:idx val="29"/>
          <c:order val="29"/>
          <c:tx>
            <c:v>13x</c:v>
          </c:tx>
          <c:spPr>
            <a:ln w="25400" cap="flat" cmpd="sng" algn="ctr">
              <a:solidFill>
                <a:schemeClr val="accent2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(Rectification!$D$39,Rectification!$D$40)</c:f>
              <c:numCache>
                <c:formatCode>0.000</c:formatCode>
                <c:ptCount val="2"/>
                <c:pt idx="0">
                  <c:v>-7.5543886270742428E-3</c:v>
                </c:pt>
                <c:pt idx="1">
                  <c:v>-8.1124440595420344E-3</c:v>
                </c:pt>
              </c:numCache>
            </c:numRef>
          </c:xVal>
          <c:yVal>
            <c:numRef>
              <c:f>(Rectification!$E$40,Rectification!$E$40)</c:f>
              <c:numCache>
                <c:formatCode>0.000</c:formatCode>
                <c:ptCount val="2"/>
                <c:pt idx="0">
                  <c:v>-1.9890013252384597E-2</c:v>
                </c:pt>
                <c:pt idx="1">
                  <c:v>-1.9890013252384597E-2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D-7255-4009-AF3B-27C29D68818D}"/>
            </c:ext>
          </c:extLst>
        </c:ser>
        <c:ser>
          <c:idx val="30"/>
          <c:order val="30"/>
          <c:tx>
            <c:v>13y</c:v>
          </c:tx>
          <c:spPr>
            <a:ln w="25400" cap="flat" cmpd="sng" algn="ctr">
              <a:solidFill>
                <a:schemeClr val="accent2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(Rectification!$D$40,Rectification!$D$40)</c:f>
              <c:numCache>
                <c:formatCode>0.000</c:formatCode>
                <c:ptCount val="2"/>
                <c:pt idx="0">
                  <c:v>-8.1124440595420344E-3</c:v>
                </c:pt>
                <c:pt idx="1">
                  <c:v>-8.1124440595420344E-3</c:v>
                </c:pt>
              </c:numCache>
            </c:numRef>
          </c:xVal>
          <c:yVal>
            <c:numRef>
              <c:f>(Rectification!$E$40,Rectification!$E$41)</c:f>
              <c:numCache>
                <c:formatCode>0.000</c:formatCode>
                <c:ptCount val="2"/>
                <c:pt idx="0">
                  <c:v>-1.9890013252384597E-2</c:v>
                </c:pt>
                <c:pt idx="1">
                  <c:v>-2.0526693668054079E-2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E-7255-4009-AF3B-27C29D68818D}"/>
            </c:ext>
          </c:extLst>
        </c:ser>
        <c:ser>
          <c:idx val="31"/>
          <c:order val="31"/>
          <c:tx>
            <c:v>14x</c:v>
          </c:tx>
          <c:spPr>
            <a:ln w="25400" cap="flat" cmpd="sng" algn="ctr">
              <a:solidFill>
                <a:schemeClr val="accent2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(Rectification!$D$40,Rectification!$D$41)</c:f>
              <c:numCache>
                <c:formatCode>0.000</c:formatCode>
                <c:ptCount val="2"/>
                <c:pt idx="0">
                  <c:v>-8.1124440595420344E-3</c:v>
                </c:pt>
                <c:pt idx="1">
                  <c:v>-8.3690487389542195E-3</c:v>
                </c:pt>
              </c:numCache>
            </c:numRef>
          </c:xVal>
          <c:yVal>
            <c:numRef>
              <c:f>(Rectification!$E$41,Rectification!$E$41)</c:f>
              <c:numCache>
                <c:formatCode>0.000</c:formatCode>
                <c:ptCount val="2"/>
                <c:pt idx="0">
                  <c:v>-2.0526693668054079E-2</c:v>
                </c:pt>
                <c:pt idx="1">
                  <c:v>-2.0526693668054079E-2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F-7255-4009-AF3B-27C29D68818D}"/>
            </c:ext>
          </c:extLst>
        </c:ser>
        <c:ser>
          <c:idx val="32"/>
          <c:order val="32"/>
          <c:tx>
            <c:v>14y</c:v>
          </c:tx>
          <c:spPr>
            <a:ln w="25400" cap="flat" cmpd="sng" algn="ctr">
              <a:solidFill>
                <a:schemeClr val="accent2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(Rectification!$D$41,Rectification!$D$41)</c:f>
              <c:numCache>
                <c:formatCode>0.000</c:formatCode>
                <c:ptCount val="2"/>
                <c:pt idx="0">
                  <c:v>-8.3690487389542195E-3</c:v>
                </c:pt>
                <c:pt idx="1">
                  <c:v>-8.3690487389542195E-3</c:v>
                </c:pt>
              </c:numCache>
            </c:numRef>
          </c:xVal>
          <c:yVal>
            <c:numRef>
              <c:f>(Rectification!$E$41,Rectification!$E$42)</c:f>
              <c:numCache>
                <c:formatCode>0.000</c:formatCode>
                <c:ptCount val="2"/>
                <c:pt idx="0">
                  <c:v>-2.0526693668054079E-2</c:v>
                </c:pt>
                <c:pt idx="1">
                  <c:v>-2.0819451635176484E-2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0-7255-4009-AF3B-27C29D68818D}"/>
            </c:ext>
          </c:extLst>
        </c:ser>
        <c:ser>
          <c:idx val="33"/>
          <c:order val="33"/>
          <c:tx>
            <c:v>15x</c:v>
          </c:tx>
          <c:spPr>
            <a:ln w="25400" cap="flat" cmpd="sng" algn="ctr">
              <a:solidFill>
                <a:schemeClr val="accent2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(Rectification!$D$41,Rectification!$D$42)</c:f>
              <c:numCache>
                <c:formatCode>0.000</c:formatCode>
                <c:ptCount val="2"/>
                <c:pt idx="0">
                  <c:v>-8.3690487389542195E-3</c:v>
                </c:pt>
                <c:pt idx="1">
                  <c:v>-8.4869772767960129E-3</c:v>
                </c:pt>
              </c:numCache>
            </c:numRef>
          </c:xVal>
          <c:yVal>
            <c:numRef>
              <c:f>(Rectification!$E$42,Rectification!$E$42)</c:f>
              <c:numCache>
                <c:formatCode>0.000</c:formatCode>
                <c:ptCount val="2"/>
                <c:pt idx="0">
                  <c:v>-2.0819451635176484E-2</c:v>
                </c:pt>
                <c:pt idx="1">
                  <c:v>-2.0819451635176484E-2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1-7255-4009-AF3B-27C29D68818D}"/>
            </c:ext>
          </c:extLst>
        </c:ser>
        <c:ser>
          <c:idx val="34"/>
          <c:order val="34"/>
          <c:tx>
            <c:v>15y</c:v>
          </c:tx>
          <c:spPr>
            <a:ln w="25400" cap="flat" cmpd="sng" algn="ctr">
              <a:solidFill>
                <a:schemeClr val="accent2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(Rectification!$D$42,Rectification!$D$42)</c:f>
              <c:numCache>
                <c:formatCode>0.000</c:formatCode>
                <c:ptCount val="2"/>
                <c:pt idx="0">
                  <c:v>-8.4869772767960129E-3</c:v>
                </c:pt>
                <c:pt idx="1">
                  <c:v>-8.4869772767960129E-3</c:v>
                </c:pt>
              </c:numCache>
            </c:numRef>
          </c:xVal>
          <c:yVal>
            <c:numRef>
              <c:f>(Rectification!$E$42,Rectification!$E$43)</c:f>
              <c:numCache>
                <c:formatCode>0.000</c:formatCode>
                <c:ptCount val="2"/>
                <c:pt idx="0">
                  <c:v>-2.0819451635176484E-2</c:v>
                </c:pt>
                <c:pt idx="1">
                  <c:v>-2.0953995241642924E-2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2-7255-4009-AF3B-27C29D68818D}"/>
            </c:ext>
          </c:extLst>
        </c:ser>
        <c:ser>
          <c:idx val="35"/>
          <c:order val="35"/>
          <c:tx>
            <c:v>16x</c:v>
          </c:tx>
          <c:spPr>
            <a:ln w="25400" cap="flat" cmpd="sng" algn="ctr">
              <a:solidFill>
                <a:schemeClr val="accent2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(Rectification!$D$42,Rectification!$D$43)</c:f>
              <c:numCache>
                <c:formatCode>0.000</c:formatCode>
                <c:ptCount val="2"/>
                <c:pt idx="0">
                  <c:v>-8.4869772767960129E-3</c:v>
                </c:pt>
                <c:pt idx="1">
                  <c:v>-8.5411606714589344E-3</c:v>
                </c:pt>
              </c:numCache>
            </c:numRef>
          </c:xVal>
          <c:yVal>
            <c:numRef>
              <c:f>(Rectification!$E$43,Rectification!$E$43)</c:f>
              <c:numCache>
                <c:formatCode>0.000</c:formatCode>
                <c:ptCount val="2"/>
                <c:pt idx="0">
                  <c:v>-2.0953995241642924E-2</c:v>
                </c:pt>
                <c:pt idx="1">
                  <c:v>-2.0953995241642924E-2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3-7255-4009-AF3B-27C29D68818D}"/>
            </c:ext>
          </c:extLst>
        </c:ser>
        <c:ser>
          <c:idx val="36"/>
          <c:order val="36"/>
          <c:tx>
            <c:v>16y</c:v>
          </c:tx>
          <c:spPr>
            <a:ln w="25400" cap="flat" cmpd="sng" algn="ctr">
              <a:solidFill>
                <a:schemeClr val="accent2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(Rectification!$D$43,Rectification!$D$43)</c:f>
              <c:numCache>
                <c:formatCode>0.000</c:formatCode>
                <c:ptCount val="2"/>
                <c:pt idx="0">
                  <c:v>-8.5411606714589344E-3</c:v>
                </c:pt>
                <c:pt idx="1">
                  <c:v>-8.5411606714589344E-3</c:v>
                </c:pt>
              </c:numCache>
            </c:numRef>
          </c:xVal>
          <c:yVal>
            <c:numRef>
              <c:f>(Rectification!$E$43,Rectification!$E$44)</c:f>
              <c:numCache>
                <c:formatCode>0.000</c:formatCode>
                <c:ptCount val="2"/>
                <c:pt idx="0">
                  <c:v>-2.0953995241642924E-2</c:v>
                </c:pt>
                <c:pt idx="1">
                  <c:v>-2.101581258850365E-2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4-7255-4009-AF3B-27C29D68818D}"/>
            </c:ext>
          </c:extLst>
        </c:ser>
        <c:ser>
          <c:idx val="37"/>
          <c:order val="37"/>
          <c:tx>
            <c:v>17x</c:v>
          </c:tx>
          <c:spPr>
            <a:ln w="25400" cap="flat" cmpd="sng" algn="ctr">
              <a:solidFill>
                <a:schemeClr val="accent2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(Rectification!$D$43,Rectification!$D$44)</c:f>
              <c:numCache>
                <c:formatCode>0.000</c:formatCode>
                <c:ptCount val="2"/>
                <c:pt idx="0">
                  <c:v>-8.5411606714589344E-3</c:v>
                </c:pt>
                <c:pt idx="1">
                  <c:v>-8.5660529310398609E-3</c:v>
                </c:pt>
              </c:numCache>
            </c:numRef>
          </c:xVal>
          <c:yVal>
            <c:numRef>
              <c:f>(Rectification!$E$44,Rectification!$E$44)</c:f>
              <c:numCache>
                <c:formatCode>0.000</c:formatCode>
                <c:ptCount val="2"/>
                <c:pt idx="0">
                  <c:v>-2.101581258850365E-2</c:v>
                </c:pt>
                <c:pt idx="1">
                  <c:v>-2.101581258850365E-2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5-7255-4009-AF3B-27C29D68818D}"/>
            </c:ext>
          </c:extLst>
        </c:ser>
        <c:ser>
          <c:idx val="38"/>
          <c:order val="38"/>
          <c:tx>
            <c:v>17y</c:v>
          </c:tx>
          <c:spPr>
            <a:ln w="25400" cap="flat" cmpd="sng" algn="ctr">
              <a:solidFill>
                <a:schemeClr val="accent2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(Rectification!$D$44,Rectification!$D$44)</c:f>
              <c:numCache>
                <c:formatCode>0.000</c:formatCode>
                <c:ptCount val="2"/>
                <c:pt idx="0">
                  <c:v>-8.5660529310398609E-3</c:v>
                </c:pt>
                <c:pt idx="1">
                  <c:v>-8.5660529310398609E-3</c:v>
                </c:pt>
              </c:numCache>
            </c:numRef>
          </c:xVal>
          <c:yVal>
            <c:numRef>
              <c:f>(Rectification!$E$44,Rectification!$E$45)</c:f>
              <c:numCache>
                <c:formatCode>0.000</c:formatCode>
                <c:ptCount val="2"/>
                <c:pt idx="0">
                  <c:v>-2.101581258850365E-2</c:v>
                </c:pt>
                <c:pt idx="1">
                  <c:v>-2.1044211943218025E-2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6-7255-4009-AF3B-27C29D68818D}"/>
            </c:ext>
          </c:extLst>
        </c:ser>
        <c:ser>
          <c:idx val="39"/>
          <c:order val="39"/>
          <c:tx>
            <c:v>18x</c:v>
          </c:tx>
          <c:spPr>
            <a:ln w="25400" cap="flat" cmpd="sng" algn="ctr">
              <a:solidFill>
                <a:schemeClr val="accent2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(Rectification!$D$44,Rectification!$D$45)</c:f>
              <c:numCache>
                <c:formatCode>0.000</c:formatCode>
                <c:ptCount val="2"/>
                <c:pt idx="0">
                  <c:v>-8.5660529310398609E-3</c:v>
                </c:pt>
                <c:pt idx="1">
                  <c:v>-8.5774880275563455E-3</c:v>
                </c:pt>
              </c:numCache>
            </c:numRef>
          </c:xVal>
          <c:yVal>
            <c:numRef>
              <c:f>(Rectification!$E$45,Rectification!$E$45)</c:f>
              <c:numCache>
                <c:formatCode>0.000</c:formatCode>
                <c:ptCount val="2"/>
                <c:pt idx="0">
                  <c:v>-2.1044211943218025E-2</c:v>
                </c:pt>
                <c:pt idx="1">
                  <c:v>-2.1044211943218025E-2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7-7255-4009-AF3B-27C29D68818D}"/>
            </c:ext>
          </c:extLst>
        </c:ser>
        <c:ser>
          <c:idx val="40"/>
          <c:order val="40"/>
          <c:tx>
            <c:v>18y</c:v>
          </c:tx>
          <c:spPr>
            <a:ln w="25400" cap="flat" cmpd="sng" algn="ctr">
              <a:solidFill>
                <a:schemeClr val="accent2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(Rectification!$D$45,Rectification!$D$45)</c:f>
              <c:numCache>
                <c:formatCode>0.000</c:formatCode>
                <c:ptCount val="2"/>
                <c:pt idx="0">
                  <c:v>-8.5774880275563455E-3</c:v>
                </c:pt>
                <c:pt idx="1">
                  <c:v>-8.5774880275563455E-3</c:v>
                </c:pt>
              </c:numCache>
            </c:numRef>
          </c:xVal>
          <c:yVal>
            <c:numRef>
              <c:f>(Rectification!$E$45,Rectification!$E$46)</c:f>
              <c:numCache>
                <c:formatCode>0.000</c:formatCode>
                <c:ptCount val="2"/>
                <c:pt idx="0">
                  <c:v>-2.1044211943218025E-2</c:v>
                </c:pt>
                <c:pt idx="1">
                  <c:v>-2.1057258141820807E-2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8-7255-4009-AF3B-27C29D68818D}"/>
            </c:ext>
          </c:extLst>
        </c:ser>
        <c:ser>
          <c:idx val="41"/>
          <c:order val="41"/>
          <c:tx>
            <c:v>19x</c:v>
          </c:tx>
          <c:spPr>
            <a:ln w="25400" cap="flat" cmpd="sng" algn="ctr">
              <a:solidFill>
                <a:schemeClr val="accent2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(Rectification!$D$45,Rectification!$D$46)</c:f>
              <c:numCache>
                <c:formatCode>0.000</c:formatCode>
                <c:ptCount val="2"/>
                <c:pt idx="0">
                  <c:v>-8.5774880275563455E-3</c:v>
                </c:pt>
                <c:pt idx="1">
                  <c:v>-8.5827409981178784E-3</c:v>
                </c:pt>
              </c:numCache>
            </c:numRef>
          </c:xVal>
          <c:yVal>
            <c:numRef>
              <c:f>(Rectification!$E$46,Rectification!$E$46)</c:f>
              <c:numCache>
                <c:formatCode>0.000</c:formatCode>
                <c:ptCount val="2"/>
                <c:pt idx="0">
                  <c:v>-2.1057258141820807E-2</c:v>
                </c:pt>
                <c:pt idx="1">
                  <c:v>-2.1057258141820807E-2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9-7255-4009-AF3B-27C29D68818D}"/>
            </c:ext>
          </c:extLst>
        </c:ser>
        <c:ser>
          <c:idx val="42"/>
          <c:order val="42"/>
          <c:tx>
            <c:v>19y</c:v>
          </c:tx>
          <c:spPr>
            <a:ln w="25400" cap="flat" cmpd="sng" algn="ctr">
              <a:solidFill>
                <a:schemeClr val="accent2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(Rectification!$D$46,Rectification!$D$46)</c:f>
              <c:numCache>
                <c:formatCode>0.000</c:formatCode>
                <c:ptCount val="2"/>
                <c:pt idx="0">
                  <c:v>-8.5827409981178784E-3</c:v>
                </c:pt>
                <c:pt idx="1">
                  <c:v>-8.5827409981178784E-3</c:v>
                </c:pt>
              </c:numCache>
            </c:numRef>
          </c:xVal>
          <c:yVal>
            <c:numRef>
              <c:f>(Rectification!$E$46,Rectification!$E$47)</c:f>
              <c:numCache>
                <c:formatCode>0.000</c:formatCode>
                <c:ptCount val="2"/>
                <c:pt idx="0">
                  <c:v>-2.1057258141820807E-2</c:v>
                </c:pt>
                <c:pt idx="1">
                  <c:v>-2.106325120861316E-2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A-7255-4009-AF3B-27C29D68818D}"/>
            </c:ext>
          </c:extLst>
        </c:ser>
        <c:ser>
          <c:idx val="43"/>
          <c:order val="43"/>
          <c:tx>
            <c:v>20x</c:v>
          </c:tx>
          <c:spPr>
            <a:ln w="25400" cap="flat" cmpd="sng" algn="ctr">
              <a:solidFill>
                <a:schemeClr val="accent2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(Rectification!$D$46,Rectification!$D$47)</c:f>
              <c:numCache>
                <c:formatCode>0.000</c:formatCode>
                <c:ptCount val="2"/>
                <c:pt idx="0">
                  <c:v>-8.5827409981178784E-3</c:v>
                </c:pt>
                <c:pt idx="1">
                  <c:v>-8.5851540426156534E-3</c:v>
                </c:pt>
              </c:numCache>
            </c:numRef>
          </c:xVal>
          <c:yVal>
            <c:numRef>
              <c:f>(Rectification!$E$47,Rectification!$E$47)</c:f>
              <c:numCache>
                <c:formatCode>0.000</c:formatCode>
                <c:ptCount val="2"/>
                <c:pt idx="0">
                  <c:v>-2.106325120861316E-2</c:v>
                </c:pt>
                <c:pt idx="1">
                  <c:v>-2.106325120861316E-2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B-7255-4009-AF3B-27C29D6881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8447392"/>
        <c:axId val="1388602736"/>
      </c:scatterChart>
      <c:valAx>
        <c:axId val="1388447392"/>
        <c:scaling>
          <c:orientation val="minMax"/>
          <c:max val="1"/>
          <c:min val="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x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388602736"/>
        <c:crosses val="autoZero"/>
        <c:crossBetween val="midCat"/>
      </c:valAx>
      <c:valAx>
        <c:axId val="1388602736"/>
        <c:scaling>
          <c:orientation val="minMax"/>
          <c:max val="1"/>
          <c:min val="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y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388447392"/>
        <c:crosses val="autoZero"/>
        <c:crossBetween val="midCat"/>
      </c:valAx>
    </c:plotArea>
    <c:plotVisOnly val="1"/>
    <c:dispBlanksAs val="gap"/>
    <c:showDLblsOverMax val="0"/>
  </c:chart>
  <c:spPr>
    <a:solidFill>
      <a:schemeClr val="lt1"/>
    </a:solidFill>
    <a:ln w="25400" cap="flat" cmpd="sng" algn="ctr">
      <a:solidFill>
        <a:schemeClr val="dk1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8740157499999996" l="0.511811024" r="0.511811024" t="0.78740157499999996" header="0.31496062000000402" footer="0.314960620000004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eq</c:v>
          </c:tx>
          <c:marker>
            <c:symbol val="none"/>
          </c:marker>
          <c:xVal>
            <c:numRef>
              <c:f>Equilibrium!$D$4:$D$10</c:f>
              <c:numCache>
                <c:formatCode>0.000</c:formatCode>
                <c:ptCount val="7"/>
                <c:pt idx="0">
                  <c:v>1</c:v>
                </c:pt>
                <c:pt idx="1">
                  <c:v>0.7802538787023976</c:v>
                </c:pt>
                <c:pt idx="2">
                  <c:v>0.58061349693251529</c:v>
                </c:pt>
                <c:pt idx="3">
                  <c:v>0.41147186147186149</c:v>
                </c:pt>
                <c:pt idx="4">
                  <c:v>0.2575786463298379</c:v>
                </c:pt>
                <c:pt idx="5">
                  <c:v>0.12961082910321484</c:v>
                </c:pt>
                <c:pt idx="6">
                  <c:v>0</c:v>
                </c:pt>
              </c:numCache>
            </c:numRef>
          </c:xVal>
          <c:yVal>
            <c:numRef>
              <c:f>Equilibrium!$E$4:$E$10</c:f>
              <c:numCache>
                <c:formatCode>0.000</c:formatCode>
                <c:ptCount val="7"/>
                <c:pt idx="0">
                  <c:v>1</c:v>
                </c:pt>
                <c:pt idx="1">
                  <c:v>0.9002336993714003</c:v>
                </c:pt>
                <c:pt idx="2">
                  <c:v>0.77648172951397376</c:v>
                </c:pt>
                <c:pt idx="3">
                  <c:v>0.63231512861398376</c:v>
                </c:pt>
                <c:pt idx="4">
                  <c:v>0.45556744396276111</c:v>
                </c:pt>
                <c:pt idx="5">
                  <c:v>0.26121724538962171</c:v>
                </c:pt>
                <c:pt idx="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91D-456D-A58D-56B494EA5DB1}"/>
            </c:ext>
          </c:extLst>
        </c:ser>
        <c:ser>
          <c:idx val="1"/>
          <c:order val="1"/>
          <c:tx>
            <c:v>45</c:v>
          </c:tx>
          <c:spPr>
            <a:ln w="25400" cap="flat" cmpd="sng" algn="ctr">
              <a:solidFill>
                <a:schemeClr val="tx1">
                  <a:lumMod val="75000"/>
                  <a:lumOff val="25000"/>
                </a:schemeClr>
              </a:solidFill>
              <a:prstDash val="solid"/>
            </a:ln>
            <a:effectLst/>
          </c:spPr>
          <c:marker>
            <c:symbol val="none"/>
          </c:marker>
          <c:xVal>
            <c:numRef>
              <c:f>(Equilibrium!$D$10,Equilibrium!$D$4)</c:f>
              <c:numCache>
                <c:formatCode>0.000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(Equilibrium!$E$10,Equilibrium!$E$4)</c:f>
              <c:numCache>
                <c:formatCode>0.000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91D-456D-A58D-56B494EA5DB1}"/>
            </c:ext>
          </c:extLst>
        </c:ser>
        <c:ser>
          <c:idx val="2"/>
          <c:order val="2"/>
          <c:tx>
            <c:v>model</c:v>
          </c:tx>
          <c:spPr>
            <a:ln w="25400" cap="flat" cmpd="sng" algn="ctr">
              <a:solidFill>
                <a:schemeClr val="dk1"/>
              </a:solidFill>
              <a:prstDash val="solid"/>
            </a:ln>
            <a:effectLst/>
          </c:spPr>
          <c:marker>
            <c:symbol val="none"/>
          </c:marker>
          <c:xVal>
            <c:numRef>
              <c:f>Equilibrium!$D$4:$D$10</c:f>
              <c:numCache>
                <c:formatCode>0.000</c:formatCode>
                <c:ptCount val="7"/>
                <c:pt idx="0">
                  <c:v>1</c:v>
                </c:pt>
                <c:pt idx="1">
                  <c:v>0.7802538787023976</c:v>
                </c:pt>
                <c:pt idx="2">
                  <c:v>0.58061349693251529</c:v>
                </c:pt>
                <c:pt idx="3">
                  <c:v>0.41147186147186149</c:v>
                </c:pt>
                <c:pt idx="4">
                  <c:v>0.2575786463298379</c:v>
                </c:pt>
                <c:pt idx="5">
                  <c:v>0.12961082910321484</c:v>
                </c:pt>
                <c:pt idx="6">
                  <c:v>0</c:v>
                </c:pt>
              </c:numCache>
            </c:numRef>
          </c:xVal>
          <c:yVal>
            <c:numRef>
              <c:f>Equilibrium!$F$4:$F$10</c:f>
              <c:numCache>
                <c:formatCode>General</c:formatCode>
                <c:ptCount val="7"/>
                <c:pt idx="0">
                  <c:v>1.0035959362718649</c:v>
                </c:pt>
                <c:pt idx="1">
                  <c:v>0.89877980210744401</c:v>
                </c:pt>
                <c:pt idx="2">
                  <c:v>0.77253151475530224</c:v>
                </c:pt>
                <c:pt idx="3">
                  <c:v>0.63029423048998978</c:v>
                </c:pt>
                <c:pt idx="4">
                  <c:v>0.45752734030802128</c:v>
                </c:pt>
                <c:pt idx="5">
                  <c:v>0.26544899356910179</c:v>
                </c:pt>
                <c:pt idx="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91D-456D-A58D-56B494EA5D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4483648"/>
        <c:axId val="1387506432"/>
      </c:scatterChart>
      <c:valAx>
        <c:axId val="1384483648"/>
        <c:scaling>
          <c:orientation val="minMax"/>
          <c:max val="1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x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387506432"/>
        <c:crosses val="autoZero"/>
        <c:crossBetween val="midCat"/>
      </c:valAx>
      <c:valAx>
        <c:axId val="1387506432"/>
        <c:scaling>
          <c:orientation val="minMax"/>
          <c:max val="1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y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384483648"/>
        <c:crosses val="autoZero"/>
        <c:crossBetween val="midCat"/>
      </c:valAx>
    </c:plotArea>
    <c:plotVisOnly val="1"/>
    <c:dispBlanksAs val="gap"/>
    <c:showDLblsOverMax val="0"/>
  </c:chart>
  <c:spPr>
    <a:solidFill>
      <a:schemeClr val="lt1"/>
    </a:solidFill>
    <a:ln w="25400" cap="flat" cmpd="sng" algn="ctr">
      <a:solidFill>
        <a:schemeClr val="dk1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8740157499999996" l="0.511811024" r="0.511811024" t="0.78740157499999996" header="0.31496062000000302" footer="0.314960620000003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Tx</c:v>
          </c:tx>
          <c:marker>
            <c:symbol val="none"/>
          </c:marker>
          <c:xVal>
            <c:numRef>
              <c:f>Equilibrium!$D$4:$D$10</c:f>
              <c:numCache>
                <c:formatCode>0.000</c:formatCode>
                <c:ptCount val="7"/>
                <c:pt idx="0">
                  <c:v>1</c:v>
                </c:pt>
                <c:pt idx="1">
                  <c:v>0.7802538787023976</c:v>
                </c:pt>
                <c:pt idx="2">
                  <c:v>0.58061349693251529</c:v>
                </c:pt>
                <c:pt idx="3">
                  <c:v>0.41147186147186149</c:v>
                </c:pt>
                <c:pt idx="4">
                  <c:v>0.2575786463298379</c:v>
                </c:pt>
                <c:pt idx="5">
                  <c:v>0.12961082910321484</c:v>
                </c:pt>
                <c:pt idx="6">
                  <c:v>0</c:v>
                </c:pt>
              </c:numCache>
            </c:numRef>
          </c:xVal>
          <c:yVal>
            <c:numRef>
              <c:f>Equilibrium!$A$4:$A$10</c:f>
              <c:numCache>
                <c:formatCode>0.0</c:formatCode>
                <c:ptCount val="7"/>
                <c:pt idx="0">
                  <c:v>80.099999999999994</c:v>
                </c:pt>
                <c:pt idx="1">
                  <c:v>85</c:v>
                </c:pt>
                <c:pt idx="2">
                  <c:v>90</c:v>
                </c:pt>
                <c:pt idx="3">
                  <c:v>95</c:v>
                </c:pt>
                <c:pt idx="4">
                  <c:v>100</c:v>
                </c:pt>
                <c:pt idx="5">
                  <c:v>105</c:v>
                </c:pt>
                <c:pt idx="6">
                  <c:v>110.6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569-44AC-BD95-743805A8F83B}"/>
            </c:ext>
          </c:extLst>
        </c:ser>
        <c:ser>
          <c:idx val="1"/>
          <c:order val="1"/>
          <c:tx>
            <c:v>Ty</c:v>
          </c:tx>
          <c:marker>
            <c:symbol val="none"/>
          </c:marker>
          <c:xVal>
            <c:numRef>
              <c:f>Equilibrium!$E$4:$E$10</c:f>
              <c:numCache>
                <c:formatCode>0.000</c:formatCode>
                <c:ptCount val="7"/>
                <c:pt idx="0">
                  <c:v>1</c:v>
                </c:pt>
                <c:pt idx="1">
                  <c:v>0.9002336993714003</c:v>
                </c:pt>
                <c:pt idx="2">
                  <c:v>0.77648172951397376</c:v>
                </c:pt>
                <c:pt idx="3">
                  <c:v>0.63231512861398376</c:v>
                </c:pt>
                <c:pt idx="4">
                  <c:v>0.45556744396276111</c:v>
                </c:pt>
                <c:pt idx="5">
                  <c:v>0.26121724538962171</c:v>
                </c:pt>
                <c:pt idx="6">
                  <c:v>0</c:v>
                </c:pt>
              </c:numCache>
            </c:numRef>
          </c:xVal>
          <c:yVal>
            <c:numRef>
              <c:f>Equilibrium!$A$4:$A$10</c:f>
              <c:numCache>
                <c:formatCode>0.0</c:formatCode>
                <c:ptCount val="7"/>
                <c:pt idx="0">
                  <c:v>80.099999999999994</c:v>
                </c:pt>
                <c:pt idx="1">
                  <c:v>85</c:v>
                </c:pt>
                <c:pt idx="2">
                  <c:v>90</c:v>
                </c:pt>
                <c:pt idx="3">
                  <c:v>95</c:v>
                </c:pt>
                <c:pt idx="4">
                  <c:v>100</c:v>
                </c:pt>
                <c:pt idx="5">
                  <c:v>105</c:v>
                </c:pt>
                <c:pt idx="6">
                  <c:v>110.6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569-44AC-BD95-743805A8F8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5839568"/>
        <c:axId val="1308408944"/>
      </c:scatterChart>
      <c:valAx>
        <c:axId val="1385839568"/>
        <c:scaling>
          <c:orientation val="minMax"/>
          <c:max val="1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x , y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308408944"/>
        <c:crosses val="autoZero"/>
        <c:crossBetween val="midCat"/>
      </c:valAx>
      <c:valAx>
        <c:axId val="1308408944"/>
        <c:scaling>
          <c:orientation val="minMax"/>
          <c:min val="7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T (°C)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1385839568"/>
        <c:crosses val="autoZero"/>
        <c:crossBetween val="midCat"/>
      </c:valAx>
    </c:plotArea>
    <c:plotVisOnly val="1"/>
    <c:dispBlanksAs val="gap"/>
    <c:showDLblsOverMax val="0"/>
  </c:chart>
  <c:spPr>
    <a:solidFill>
      <a:schemeClr val="lt1"/>
    </a:solidFill>
    <a:ln w="25400" cap="flat" cmpd="sng" algn="ctr">
      <a:solidFill>
        <a:schemeClr val="dk1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8740157499999996" l="0.511811024" r="0.511811024" t="0.78740157499999996" header="0.31496062000000302" footer="0.314960620000003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</xdr:row>
      <xdr:rowOff>0</xdr:rowOff>
    </xdr:from>
    <xdr:to>
      <xdr:col>19</xdr:col>
      <xdr:colOff>0</xdr:colOff>
      <xdr:row>20</xdr:row>
      <xdr:rowOff>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8606515-3752-4F8D-A63E-E9C87CB7D8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314324</xdr:colOff>
      <xdr:row>0</xdr:row>
      <xdr:rowOff>180975</xdr:rowOff>
    </xdr:from>
    <xdr:to>
      <xdr:col>13</xdr:col>
      <xdr:colOff>462491</xdr:colOff>
      <xdr:row>18</xdr:row>
      <xdr:rowOff>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0</xdr:row>
      <xdr:rowOff>180975</xdr:rowOff>
    </xdr:from>
    <xdr:to>
      <xdr:col>20</xdr:col>
      <xdr:colOff>142875</xdr:colOff>
      <xdr:row>17</xdr:row>
      <xdr:rowOff>185984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9</xdr:col>
      <xdr:colOff>152400</xdr:colOff>
      <xdr:row>20</xdr:row>
      <xdr:rowOff>51968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248E4AF-2E51-474A-A30E-46C8FE0A18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bright="-5000" contrast="10000"/>
        </a:blip>
        <a:srcRect/>
        <a:stretch>
          <a:fillRect/>
        </a:stretch>
      </xdr:blipFill>
      <xdr:spPr bwMode="auto">
        <a:xfrm>
          <a:off x="609600" y="190500"/>
          <a:ext cx="5029200" cy="3671468"/>
        </a:xfrm>
        <a:prstGeom prst="rect">
          <a:avLst/>
        </a:prstGeom>
        <a:noFill/>
        <a:ln w="19050">
          <a:solidFill>
            <a:sysClr val="windowText" lastClr="000000"/>
          </a:solidFill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bsorption_dilute_packed_tower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adsorption_column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absorption_interphase_mass_transfer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ires/Dropbox/ChemEng/Excel/unit_operations/exp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absorption_dilute_plate_tower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distillation_rectification_ethanol+water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crystallization_CSTC_predominant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crystallization_CSTC_size_distribution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distillation_batch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absorption_water-cooling_tower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distillation_flash_multicomponent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distillation_flash_binar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sorption_packed"/>
      <sheetName val="Credits"/>
    </sheetNames>
    <sheetDataSet>
      <sheetData sheetId="0">
        <row r="2">
          <cell r="B2">
            <v>13.65</v>
          </cell>
          <cell r="E2">
            <v>0.186</v>
          </cell>
        </row>
        <row r="3">
          <cell r="B3">
            <v>2.5999999999999999E-2</v>
          </cell>
        </row>
        <row r="4">
          <cell r="B4">
            <v>5.0000000000000001E-3</v>
          </cell>
        </row>
        <row r="6">
          <cell r="B6">
            <v>45.36</v>
          </cell>
          <cell r="E6">
            <v>3.78E-2</v>
          </cell>
          <cell r="I6">
            <v>7.6834951865493353E-3</v>
          </cell>
        </row>
        <row r="7">
          <cell r="B7">
            <v>0</v>
          </cell>
          <cell r="E7">
            <v>6.1600000000000002E-2</v>
          </cell>
          <cell r="I7">
            <v>0</v>
          </cell>
        </row>
        <row r="8">
          <cell r="I8">
            <v>2.1922428330522766E-2</v>
          </cell>
        </row>
        <row r="9">
          <cell r="B9">
            <v>6.4784950982709408E-3</v>
          </cell>
          <cell r="I9">
            <v>4.2158516020236094E-3</v>
          </cell>
        </row>
        <row r="12">
          <cell r="B12">
            <v>1.1859999999999999</v>
          </cell>
        </row>
        <row r="13">
          <cell r="E13">
            <v>1.3025813864830092E-2</v>
          </cell>
        </row>
        <row r="14">
          <cell r="E14">
            <v>1.5448615243688488E-2</v>
          </cell>
          <cell r="I14">
            <v>13.866483340728283</v>
          </cell>
        </row>
        <row r="16">
          <cell r="E16">
            <v>1.7785486004492799E-3</v>
          </cell>
        </row>
        <row r="17">
          <cell r="E17">
            <v>2.109358640132846E-3</v>
          </cell>
          <cell r="I17">
            <v>45.507890375904161</v>
          </cell>
        </row>
        <row r="35">
          <cell r="I35">
            <v>2.1861368603608301E-2</v>
          </cell>
          <cell r="M35">
            <v>2.5997458674831039E-2</v>
          </cell>
        </row>
        <row r="38">
          <cell r="F38">
            <v>0.54784674972692704</v>
          </cell>
          <cell r="I38">
            <v>3.5614438784565592</v>
          </cell>
        </row>
        <row r="39">
          <cell r="F39">
            <v>0.94726947407399786</v>
          </cell>
          <cell r="I39">
            <v>2.0354692945854045</v>
          </cell>
        </row>
        <row r="40">
          <cell r="F40">
            <v>1.1032921955709205</v>
          </cell>
          <cell r="I40">
            <v>1.7667856687479422</v>
          </cell>
        </row>
        <row r="41">
          <cell r="F41">
            <v>2.6142093385829916</v>
          </cell>
          <cell r="I41">
            <v>0.75288580543855388</v>
          </cell>
        </row>
      </sheetData>
      <sheetData sheetId="1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dsorption Column"/>
      <sheetName val="Equilibrium"/>
      <sheetName val="Figures"/>
      <sheetName val="Credits"/>
    </sheetNames>
    <sheetDataSet>
      <sheetData sheetId="0"/>
      <sheetData sheetId="1"/>
      <sheetData sheetId="2"/>
      <sheetData sheetId="3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s-transfer_coefficients"/>
      <sheetName val="Equilibrium"/>
      <sheetName val="Figures"/>
      <sheetName val="Credits"/>
    </sheetNames>
    <sheetDataSet>
      <sheetData sheetId="0">
        <row r="4">
          <cell r="B4">
            <v>0.38</v>
          </cell>
        </row>
        <row r="5">
          <cell r="B5">
            <v>0.1</v>
          </cell>
        </row>
        <row r="6">
          <cell r="B6">
            <v>1.4650000000000001</v>
          </cell>
          <cell r="F6">
            <v>0.19726844290492418</v>
          </cell>
        </row>
        <row r="7">
          <cell r="B7">
            <v>1.9670000000000001</v>
          </cell>
          <cell r="F7">
            <v>0.25750335217675208</v>
          </cell>
        </row>
        <row r="18">
          <cell r="B18">
            <v>2.0706676478373107</v>
          </cell>
          <cell r="H18">
            <v>2.4023382251007037</v>
          </cell>
        </row>
        <row r="22">
          <cell r="B22">
            <v>4.8100000000000004E-2</v>
          </cell>
          <cell r="H22">
            <v>0.38275855014679433</v>
          </cell>
        </row>
        <row r="23">
          <cell r="B23">
            <v>0.94708106743992115</v>
          </cell>
          <cell r="H23">
            <v>1.4588740432056193</v>
          </cell>
        </row>
        <row r="30">
          <cell r="B30">
            <v>1.1400311042956004</v>
          </cell>
          <cell r="H30">
            <v>1.3381605023765872</v>
          </cell>
        </row>
        <row r="31">
          <cell r="B31">
            <v>0.88252991117107205</v>
          </cell>
          <cell r="H31">
            <v>1.0032928208987695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erimento"/>
      <sheetName val="Dados"/>
    </sheetNames>
    <sheetDataSet>
      <sheetData sheetId="0" refreshError="1"/>
      <sheetData sheetId="1">
        <row r="8">
          <cell r="C8">
            <v>25.7333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sorption_plate"/>
      <sheetName val="Credits"/>
    </sheetNames>
    <sheetDataSet>
      <sheetData sheetId="0">
        <row r="2">
          <cell r="B2">
            <v>90</v>
          </cell>
        </row>
        <row r="3">
          <cell r="B3">
            <v>0</v>
          </cell>
        </row>
        <row r="4">
          <cell r="B4">
            <v>20</v>
          </cell>
        </row>
        <row r="5">
          <cell r="B5">
            <v>0.01</v>
          </cell>
        </row>
        <row r="10">
          <cell r="B10">
            <v>1.0090817356205855E-3</v>
          </cell>
        </row>
        <row r="11">
          <cell r="B11">
            <v>90.18</v>
          </cell>
        </row>
      </sheetData>
      <sheetData sheetId="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tification"/>
      <sheetName val="Equilibrium"/>
      <sheetName val="Figures"/>
      <sheetName val="Credits"/>
    </sheetNames>
    <sheetDataSet>
      <sheetData sheetId="0">
        <row r="4">
          <cell r="B4">
            <v>1.2</v>
          </cell>
        </row>
        <row r="11">
          <cell r="B11">
            <v>1</v>
          </cell>
        </row>
        <row r="12">
          <cell r="B12">
            <v>0.1</v>
          </cell>
        </row>
        <row r="13">
          <cell r="B13">
            <v>0.77</v>
          </cell>
        </row>
        <row r="14">
          <cell r="B14">
            <v>0.02</v>
          </cell>
        </row>
      </sheetData>
      <sheetData sheetId="1">
        <row r="23">
          <cell r="B23">
            <v>9.4913065912859604</v>
          </cell>
        </row>
        <row r="24">
          <cell r="B24">
            <v>-6.377711917150374</v>
          </cell>
        </row>
        <row r="25">
          <cell r="B25">
            <v>2.2578591936553365</v>
          </cell>
        </row>
        <row r="26">
          <cell r="B26">
            <v>-0.88479312481017458</v>
          </cell>
        </row>
      </sheetData>
      <sheetData sheetId="2" refreshError="1"/>
      <sheetData sheetId="3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dominant_size"/>
      <sheetName val="Credits"/>
    </sheetNames>
    <sheetDataSet>
      <sheetData sheetId="0">
        <row r="2">
          <cell r="B2">
            <v>1</v>
          </cell>
        </row>
        <row r="3">
          <cell r="B3">
            <v>0.83299999999999996</v>
          </cell>
        </row>
        <row r="4">
          <cell r="B4">
            <v>1.54</v>
          </cell>
        </row>
        <row r="10">
          <cell r="B10">
            <v>1.9282407407407409</v>
          </cell>
        </row>
        <row r="11">
          <cell r="B11">
            <v>25.277073603700092</v>
          </cell>
        </row>
      </sheetData>
      <sheetData sheetId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ze_distribution"/>
      <sheetName val="Data"/>
      <sheetName val="Credits"/>
    </sheetNames>
    <sheetDataSet>
      <sheetData sheetId="0">
        <row r="2">
          <cell r="B2">
            <v>0.86599999999999999</v>
          </cell>
          <cell r="E2">
            <v>0.14299585578766605</v>
          </cell>
        </row>
        <row r="3">
          <cell r="B3">
            <v>1.5</v>
          </cell>
          <cell r="E3">
            <v>16.138123384514863</v>
          </cell>
        </row>
        <row r="4">
          <cell r="B4">
            <v>2</v>
          </cell>
        </row>
      </sheetData>
      <sheetData sheetId="1"/>
      <sheetData sheetId="2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tch Distillation"/>
      <sheetName val="Graphs"/>
      <sheetName val="Figures"/>
      <sheetName val="Credits"/>
    </sheetNames>
    <sheetDataSet>
      <sheetData sheetId="0">
        <row r="2">
          <cell r="E2">
            <v>0.8</v>
          </cell>
        </row>
        <row r="3">
          <cell r="B3">
            <v>100</v>
          </cell>
          <cell r="E3">
            <v>0.1</v>
          </cell>
        </row>
        <row r="4">
          <cell r="B4">
            <v>5</v>
          </cell>
        </row>
      </sheetData>
      <sheetData sheetId="1"/>
      <sheetData sheetId="2"/>
      <sheetData sheetId="3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ater-Cooling Tower"/>
      <sheetName val="Equilibrium"/>
      <sheetName val="Figures"/>
      <sheetName val="Credits"/>
    </sheetNames>
    <sheetDataSet>
      <sheetData sheetId="0">
        <row r="3">
          <cell r="B3">
            <v>1.3560000000000001</v>
          </cell>
        </row>
        <row r="4">
          <cell r="B4">
            <v>1.3560000000000001</v>
          </cell>
        </row>
        <row r="5">
          <cell r="B5">
            <v>43.3</v>
          </cell>
        </row>
        <row r="6">
          <cell r="B6">
            <v>29.4</v>
          </cell>
          <cell r="F6">
            <v>71.725487999999999</v>
          </cell>
        </row>
        <row r="7">
          <cell r="F7">
            <v>4.1870000000000003</v>
          </cell>
        </row>
        <row r="8">
          <cell r="B8">
            <v>1.6500000000000001E-2</v>
          </cell>
          <cell r="F8">
            <v>-51.372312000000022</v>
          </cell>
        </row>
        <row r="10">
          <cell r="B10">
            <v>29</v>
          </cell>
        </row>
        <row r="11">
          <cell r="B11">
            <v>1.2069999999999999E-7</v>
          </cell>
        </row>
        <row r="12">
          <cell r="B12">
            <v>101.325</v>
          </cell>
        </row>
        <row r="13">
          <cell r="B13">
            <v>4.1870000000000003</v>
          </cell>
        </row>
        <row r="14">
          <cell r="B14">
            <v>-41.870000000000005</v>
          </cell>
        </row>
      </sheetData>
      <sheetData sheetId="1"/>
      <sheetData sheetId="2"/>
      <sheetData sheetId="3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lash_multicomponent"/>
      <sheetName val="Credits"/>
    </sheetNames>
    <sheetDataSet>
      <sheetData sheetId="0"/>
      <sheetData sheetId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lash_binary"/>
      <sheetName val="Equilibrium"/>
      <sheetName val="Figures"/>
      <sheetName val="Credits"/>
    </sheetNames>
    <sheetDataSet>
      <sheetData sheetId="0"/>
      <sheetData sheetId="1">
        <row r="20">
          <cell r="B20">
            <v>110.3905960887254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J47"/>
  <sheetViews>
    <sheetView showGridLines="0" tabSelected="1" workbookViewId="0">
      <selection activeCell="H10" sqref="H10"/>
    </sheetView>
  </sheetViews>
  <sheetFormatPr defaultColWidth="8.85546875" defaultRowHeight="15" x14ac:dyDescent="0.25"/>
  <sheetData>
    <row r="1" spans="1:10" x14ac:dyDescent="0.25">
      <c r="A1" s="44" t="s">
        <v>55</v>
      </c>
      <c r="B1" s="44"/>
      <c r="C1" s="2"/>
      <c r="D1" s="2"/>
      <c r="E1" s="2"/>
      <c r="F1" s="2"/>
      <c r="G1" s="2"/>
      <c r="I1" s="2"/>
    </row>
    <row r="2" spans="1:10" x14ac:dyDescent="0.25">
      <c r="A2" s="6" t="s">
        <v>13</v>
      </c>
      <c r="B2" s="29">
        <v>6500</v>
      </c>
      <c r="C2" t="s">
        <v>8</v>
      </c>
      <c r="D2" s="6" t="s">
        <v>35</v>
      </c>
      <c r="E2" s="29">
        <v>140</v>
      </c>
      <c r="F2" t="s">
        <v>12</v>
      </c>
      <c r="G2" s="45" t="s">
        <v>56</v>
      </c>
      <c r="H2" s="45"/>
      <c r="I2" s="45"/>
    </row>
    <row r="3" spans="1:10" x14ac:dyDescent="0.25">
      <c r="A3" s="6" t="s">
        <v>14</v>
      </c>
      <c r="B3" s="30">
        <v>1</v>
      </c>
      <c r="C3" t="s">
        <v>9</v>
      </c>
      <c r="D3" s="6" t="s">
        <v>36</v>
      </c>
      <c r="E3" s="29">
        <v>158</v>
      </c>
      <c r="F3" t="s">
        <v>12</v>
      </c>
      <c r="G3" s="49" t="s">
        <v>65</v>
      </c>
      <c r="H3" s="49"/>
      <c r="I3" s="49"/>
    </row>
    <row r="4" spans="1:10" x14ac:dyDescent="0.25">
      <c r="A4" s="6" t="s">
        <v>15</v>
      </c>
      <c r="B4" s="31">
        <v>45</v>
      </c>
      <c r="C4" t="s">
        <v>10</v>
      </c>
      <c r="D4" s="5" t="s">
        <v>39</v>
      </c>
      <c r="E4" s="5">
        <f>E2*B12+E3*(1-B12)</f>
        <v>148.1</v>
      </c>
      <c r="F4" t="s">
        <v>12</v>
      </c>
    </row>
    <row r="5" spans="1:10" x14ac:dyDescent="0.25">
      <c r="A5" s="6" t="s">
        <v>16</v>
      </c>
      <c r="B5" s="32">
        <v>84</v>
      </c>
      <c r="C5" t="s">
        <v>10</v>
      </c>
      <c r="D5" s="7" t="s">
        <v>37</v>
      </c>
      <c r="E5" s="33">
        <v>33900</v>
      </c>
      <c r="F5" t="s">
        <v>11</v>
      </c>
      <c r="G5" s="5">
        <v>1</v>
      </c>
      <c r="H5" s="19" t="s">
        <v>30</v>
      </c>
      <c r="I5" s="2"/>
      <c r="J5" s="2"/>
    </row>
    <row r="6" spans="1:10" x14ac:dyDescent="0.25">
      <c r="A6" s="6" t="s">
        <v>17</v>
      </c>
      <c r="B6" s="32">
        <v>105</v>
      </c>
      <c r="C6" t="s">
        <v>10</v>
      </c>
      <c r="D6" s="7" t="s">
        <v>38</v>
      </c>
      <c r="E6" s="33">
        <v>37000</v>
      </c>
      <c r="F6" t="s">
        <v>11</v>
      </c>
      <c r="G6" s="5">
        <v>2</v>
      </c>
      <c r="H6" s="19" t="s">
        <v>31</v>
      </c>
      <c r="I6" s="2"/>
      <c r="J6" s="1"/>
    </row>
    <row r="7" spans="1:10" x14ac:dyDescent="0.25">
      <c r="A7" s="6" t="s">
        <v>18</v>
      </c>
      <c r="B7" s="32">
        <v>107</v>
      </c>
      <c r="C7" t="s">
        <v>10</v>
      </c>
      <c r="D7" s="5" t="s">
        <v>40</v>
      </c>
      <c r="E7" s="5">
        <f>E5*B12+E6*(1-B12)</f>
        <v>35295</v>
      </c>
      <c r="F7" t="s">
        <v>11</v>
      </c>
      <c r="I7" s="2"/>
    </row>
    <row r="8" spans="1:10" x14ac:dyDescent="0.25">
      <c r="C8" s="2"/>
      <c r="D8" s="3" t="s">
        <v>0</v>
      </c>
      <c r="E8" s="3">
        <f>1+(Cplm*(Td-Tf))/hlvm</f>
        <v>1.1636464088397789</v>
      </c>
      <c r="G8" s="2"/>
      <c r="H8" s="2"/>
      <c r="I8" s="2"/>
      <c r="J8" s="1"/>
    </row>
    <row r="9" spans="1:10" x14ac:dyDescent="0.25">
      <c r="D9" s="3" t="s">
        <v>5</v>
      </c>
      <c r="E9" s="5">
        <f>ATAN(E8)*(180/PI())</f>
        <v>49.325304926148256</v>
      </c>
      <c r="I9" s="2"/>
      <c r="J9" s="1"/>
    </row>
    <row r="10" spans="1:10" x14ac:dyDescent="0.25">
      <c r="I10" s="2"/>
      <c r="J10" s="1"/>
    </row>
    <row r="11" spans="1:10" x14ac:dyDescent="0.25">
      <c r="A11" s="6" t="s">
        <v>57</v>
      </c>
      <c r="B11" s="34">
        <v>4</v>
      </c>
      <c r="D11" s="5" t="s">
        <v>41</v>
      </c>
      <c r="E11" s="16">
        <f>E12+E13</f>
        <v>18628.048780487803</v>
      </c>
      <c r="F11" t="s">
        <v>8</v>
      </c>
      <c r="I11" s="2"/>
      <c r="J11" s="1"/>
    </row>
    <row r="12" spans="1:10" x14ac:dyDescent="0.25">
      <c r="A12" s="3" t="s">
        <v>1</v>
      </c>
      <c r="B12" s="35">
        <v>0.55000000000000004</v>
      </c>
      <c r="C12" s="2"/>
      <c r="D12" s="5" t="s">
        <v>42</v>
      </c>
      <c r="E12" s="16">
        <f>B11*E13</f>
        <v>14902.439024390244</v>
      </c>
      <c r="F12" t="s">
        <v>8</v>
      </c>
      <c r="I12" s="2"/>
      <c r="J12" s="1"/>
    </row>
    <row r="13" spans="1:10" ht="15.75" thickBot="1" x14ac:dyDescent="0.3">
      <c r="A13" s="3" t="s">
        <v>2</v>
      </c>
      <c r="B13" s="35">
        <v>0.9</v>
      </c>
      <c r="C13" s="2"/>
      <c r="D13" s="5" t="s">
        <v>43</v>
      </c>
      <c r="E13" s="16">
        <f>B2*(B12-B16)/(B13-B16)</f>
        <v>3725.6097560975609</v>
      </c>
      <c r="F13" t="s">
        <v>8</v>
      </c>
      <c r="I13" s="2"/>
      <c r="J13" s="1"/>
    </row>
    <row r="14" spans="1:10" ht="15.75" thickBot="1" x14ac:dyDescent="0.3">
      <c r="A14" s="3" t="s">
        <v>6</v>
      </c>
      <c r="B14" s="35">
        <v>0.123</v>
      </c>
      <c r="C14" s="2"/>
      <c r="D14" s="5" t="s">
        <v>44</v>
      </c>
      <c r="E14" s="16">
        <f>E16/B15</f>
        <v>5548.7804878048782</v>
      </c>
      <c r="F14" t="s">
        <v>8</v>
      </c>
      <c r="G14" s="22" t="s">
        <v>32</v>
      </c>
      <c r="H14" s="23">
        <f>COUNT(F28:F47)+1</f>
        <v>7</v>
      </c>
      <c r="I14" s="2"/>
      <c r="J14" s="1"/>
    </row>
    <row r="15" spans="1:10" ht="15.75" thickBot="1" x14ac:dyDescent="0.3">
      <c r="A15" s="3" t="s">
        <v>34</v>
      </c>
      <c r="B15" s="35">
        <v>0.5</v>
      </c>
      <c r="C15" s="2"/>
      <c r="D15" s="5" t="s">
        <v>45</v>
      </c>
      <c r="E15" s="16">
        <f>E16</f>
        <v>2774.3902439024391</v>
      </c>
      <c r="F15" t="s">
        <v>8</v>
      </c>
      <c r="G15" s="22" t="s">
        <v>67</v>
      </c>
      <c r="H15" s="23">
        <f>H14-1</f>
        <v>6</v>
      </c>
      <c r="I15" s="2"/>
      <c r="J15" s="1"/>
    </row>
    <row r="16" spans="1:10" ht="15.75" thickBot="1" x14ac:dyDescent="0.3">
      <c r="A16" s="3" t="s">
        <v>3</v>
      </c>
      <c r="B16" s="35">
        <v>0.08</v>
      </c>
      <c r="C16" s="2"/>
      <c r="D16" s="5" t="s">
        <v>46</v>
      </c>
      <c r="E16" s="16">
        <f>B2-E13</f>
        <v>2774.3902439024391</v>
      </c>
      <c r="F16" t="s">
        <v>8</v>
      </c>
      <c r="G16" s="24" t="s">
        <v>33</v>
      </c>
      <c r="H16" s="23">
        <f>COUNT(G28:G47)+1</f>
        <v>3</v>
      </c>
      <c r="I16" s="1"/>
      <c r="J16" s="1"/>
    </row>
    <row r="17" spans="1:10" x14ac:dyDescent="0.25">
      <c r="A17" s="3" t="s">
        <v>7</v>
      </c>
      <c r="B17" s="35">
        <v>0.17</v>
      </c>
      <c r="C17" s="1"/>
      <c r="D17" s="1"/>
      <c r="E17" s="1"/>
      <c r="F17" s="1"/>
      <c r="J17" s="1"/>
    </row>
    <row r="18" spans="1:10" ht="15.75" thickBot="1" x14ac:dyDescent="0.3">
      <c r="A18" s="3" t="s">
        <v>4</v>
      </c>
      <c r="B18" s="4">
        <f>B13/(B11+1)</f>
        <v>0.18</v>
      </c>
      <c r="C18" s="1"/>
      <c r="D18" s="1"/>
      <c r="E18" s="1"/>
      <c r="F18" s="1"/>
      <c r="I18" s="1"/>
      <c r="J18" s="1"/>
    </row>
    <row r="19" spans="1:10" x14ac:dyDescent="0.25">
      <c r="D19" s="48" t="s">
        <v>49</v>
      </c>
      <c r="E19" s="46"/>
      <c r="F19" s="46" t="s">
        <v>47</v>
      </c>
      <c r="G19" s="46"/>
      <c r="H19" s="46" t="s">
        <v>48</v>
      </c>
      <c r="I19" s="47"/>
      <c r="J19" s="1"/>
    </row>
    <row r="20" spans="1:10" x14ac:dyDescent="0.25">
      <c r="D20" s="36" t="s">
        <v>58</v>
      </c>
      <c r="E20" s="21" t="s">
        <v>59</v>
      </c>
      <c r="F20" s="21" t="s">
        <v>60</v>
      </c>
      <c r="G20" s="21" t="s">
        <v>61</v>
      </c>
      <c r="H20" s="21" t="s">
        <v>62</v>
      </c>
      <c r="I20" s="37" t="s">
        <v>63</v>
      </c>
      <c r="J20" s="1"/>
    </row>
    <row r="21" spans="1:10" x14ac:dyDescent="0.25">
      <c r="D21" s="38">
        <v>1</v>
      </c>
      <c r="E21" s="20">
        <f>(q/(q-1))*D21-xf/(q-1)</f>
        <v>3.7498311951384218</v>
      </c>
      <c r="F21" s="20">
        <f>xd</f>
        <v>0.9</v>
      </c>
      <c r="G21" s="20">
        <f>(R./(R.+1))*F21+xd/(R.+1)</f>
        <v>0.90000000000000013</v>
      </c>
      <c r="H21" s="20">
        <f>xw</f>
        <v>0.08</v>
      </c>
      <c r="I21" s="39">
        <f>xw</f>
        <v>0.08</v>
      </c>
    </row>
    <row r="22" spans="1:10" ht="15.75" thickBot="1" x14ac:dyDescent="0.3">
      <c r="D22" s="40">
        <f>xf</f>
        <v>0.55000000000000004</v>
      </c>
      <c r="E22" s="41">
        <f>(q/(q-1))*D22-xf/(q-1)</f>
        <v>0.54999999999999982</v>
      </c>
      <c r="F22" s="41">
        <v>0</v>
      </c>
      <c r="G22" s="41">
        <f>(R./(R.+1))*F22+xd/(R.+1)</f>
        <v>0.18</v>
      </c>
      <c r="H22" s="41">
        <f>((xd/(R.+1))-(-xf/(q-1)))/((q/(q-1))-(R./(R.+1)))</f>
        <v>0.5610922085981469</v>
      </c>
      <c r="I22" s="42">
        <f>(q/(q-1))*H22-xf/(q-1)</f>
        <v>0.62887376687851759</v>
      </c>
    </row>
    <row r="23" spans="1:10" x14ac:dyDescent="0.25">
      <c r="H23" s="9" t="s">
        <v>51</v>
      </c>
      <c r="I23" s="9">
        <f>SLOPE(I21:I22,H21:H22)</f>
        <v>1.1408909915167389</v>
      </c>
    </row>
    <row r="24" spans="1:10" x14ac:dyDescent="0.25">
      <c r="H24" s="9" t="s">
        <v>53</v>
      </c>
      <c r="I24" s="9">
        <f>INTERCEPT(I21:I22,H21:H22)</f>
        <v>-1.1271279321339089E-2</v>
      </c>
    </row>
    <row r="26" spans="1:10" x14ac:dyDescent="0.25">
      <c r="C26" s="1"/>
      <c r="D26" s="43" t="s">
        <v>50</v>
      </c>
    </row>
    <row r="27" spans="1:10" x14ac:dyDescent="0.25">
      <c r="D27" s="21" t="s">
        <v>22</v>
      </c>
      <c r="E27" s="21" t="s">
        <v>23</v>
      </c>
      <c r="F27" s="21" t="s">
        <v>52</v>
      </c>
      <c r="G27" s="21" t="s">
        <v>54</v>
      </c>
    </row>
    <row r="28" spans="1:10" x14ac:dyDescent="0.25">
      <c r="C28" s="18">
        <v>1</v>
      </c>
      <c r="D28" s="17">
        <f t="shared" ref="D28:D47" si="0">B./(A./E28-1)</f>
        <v>0.78248599237244232</v>
      </c>
      <c r="E28" s="17">
        <f>xd</f>
        <v>0.9</v>
      </c>
      <c r="F28" s="17">
        <f t="shared" ref="F28:F47" si="1">LN(D28-xw)</f>
        <v>-0.3531298176563904</v>
      </c>
      <c r="G28" s="17">
        <f t="shared" ref="G28:G47" si="2">LN(D28-xf)</f>
        <v>-1.4589253036301646</v>
      </c>
    </row>
    <row r="29" spans="1:10" x14ac:dyDescent="0.25">
      <c r="C29" s="18">
        <v>2</v>
      </c>
      <c r="D29" s="17">
        <f t="shared" si="0"/>
        <v>0.62810715498567204</v>
      </c>
      <c r="E29" s="17">
        <f t="shared" ref="E29:E47" si="3">IF(D28&gt;$H$22, (R./(R.+1))*D28+xd/(R.+1), $I$23*D28+$I$24)</f>
        <v>0.80598879389795397</v>
      </c>
      <c r="F29" s="17">
        <f t="shared" si="1"/>
        <v>-0.60128447285422004</v>
      </c>
      <c r="G29" s="17">
        <f t="shared" si="2"/>
        <v>-2.5496736131999196</v>
      </c>
    </row>
    <row r="30" spans="1:10" x14ac:dyDescent="0.25">
      <c r="C30" s="18">
        <v>3</v>
      </c>
      <c r="D30" s="17">
        <f t="shared" si="0"/>
        <v>0.46811166951084099</v>
      </c>
      <c r="E30" s="17">
        <f t="shared" si="3"/>
        <v>0.68248572398853757</v>
      </c>
      <c r="F30" s="17">
        <f t="shared" si="1"/>
        <v>-0.94646217275001476</v>
      </c>
      <c r="G30" s="17" t="e">
        <f t="shared" si="2"/>
        <v>#NUM!</v>
      </c>
    </row>
    <row r="31" spans="1:10" x14ac:dyDescent="0.25">
      <c r="C31" s="18">
        <v>4</v>
      </c>
      <c r="D31" s="17">
        <f t="shared" si="0"/>
        <v>0.31046305727535378</v>
      </c>
      <c r="E31" s="17">
        <f t="shared" si="3"/>
        <v>0.52279310744744023</v>
      </c>
      <c r="F31" s="17">
        <f t="shared" si="1"/>
        <v>-1.467664701514662</v>
      </c>
      <c r="G31" s="17" t="e">
        <f t="shared" si="2"/>
        <v>#NUM!</v>
      </c>
    </row>
    <row r="32" spans="1:10" x14ac:dyDescent="0.25">
      <c r="C32" s="18">
        <v>5</v>
      </c>
      <c r="D32" s="17">
        <f t="shared" si="0"/>
        <v>0.17691478287282614</v>
      </c>
      <c r="E32" s="17">
        <f t="shared" si="3"/>
        <v>0.34293322592285741</v>
      </c>
      <c r="F32" s="17">
        <f t="shared" si="1"/>
        <v>-2.3339232136941073</v>
      </c>
      <c r="G32" s="17" t="e">
        <f t="shared" si="2"/>
        <v>#NUM!</v>
      </c>
    </row>
    <row r="33" spans="3:7" x14ac:dyDescent="0.25">
      <c r="C33" s="18">
        <v>6</v>
      </c>
      <c r="D33" s="17">
        <f t="shared" si="0"/>
        <v>8.8472299249918993E-2</v>
      </c>
      <c r="E33" s="17">
        <f t="shared" si="3"/>
        <v>0.19056920272440811</v>
      </c>
      <c r="F33" s="17">
        <f t="shared" si="1"/>
        <v>-4.7709533490784484</v>
      </c>
      <c r="G33" s="17" t="e">
        <f t="shared" si="2"/>
        <v>#NUM!</v>
      </c>
    </row>
    <row r="34" spans="3:7" x14ac:dyDescent="0.25">
      <c r="C34" s="18">
        <v>7</v>
      </c>
      <c r="D34" s="17">
        <f t="shared" si="0"/>
        <v>3.9039981560037816E-2</v>
      </c>
      <c r="E34" s="17">
        <f t="shared" si="3"/>
        <v>8.9665969891666628E-2</v>
      </c>
      <c r="F34" s="17" t="e">
        <f t="shared" si="1"/>
        <v>#NUM!</v>
      </c>
      <c r="G34" s="17" t="e">
        <f t="shared" si="2"/>
        <v>#NUM!</v>
      </c>
    </row>
    <row r="35" spans="3:7" x14ac:dyDescent="0.25">
      <c r="C35" s="18">
        <v>8</v>
      </c>
      <c r="D35" s="17">
        <f t="shared" si="0"/>
        <v>1.3998767566958528E-2</v>
      </c>
      <c r="E35" s="17">
        <f t="shared" si="3"/>
        <v>3.326908394948766E-2</v>
      </c>
      <c r="F35" s="17" t="e">
        <f t="shared" si="1"/>
        <v>#NUM!</v>
      </c>
      <c r="G35" s="17" t="e">
        <f t="shared" si="2"/>
        <v>#NUM!</v>
      </c>
    </row>
    <row r="36" spans="3:7" x14ac:dyDescent="0.25">
      <c r="C36" s="18">
        <v>9</v>
      </c>
      <c r="D36" s="17">
        <f t="shared" si="0"/>
        <v>1.9444744017572668E-3</v>
      </c>
      <c r="E36" s="17">
        <f t="shared" si="3"/>
        <v>4.6997884881405903E-3</v>
      </c>
      <c r="F36" s="17" t="e">
        <f t="shared" si="1"/>
        <v>#NUM!</v>
      </c>
      <c r="G36" s="17" t="e">
        <f t="shared" si="2"/>
        <v>#NUM!</v>
      </c>
    </row>
    <row r="37" spans="3:7" x14ac:dyDescent="0.25">
      <c r="C37" s="18">
        <v>10</v>
      </c>
      <c r="D37" s="17">
        <f t="shared" si="0"/>
        <v>-3.7155790409206368E-3</v>
      </c>
      <c r="E37" s="17">
        <f t="shared" si="3"/>
        <v>-9.0528459931393246E-3</v>
      </c>
      <c r="F37" s="17" t="e">
        <f t="shared" si="1"/>
        <v>#NUM!</v>
      </c>
      <c r="G37" s="17" t="e">
        <f t="shared" si="2"/>
        <v>#NUM!</v>
      </c>
    </row>
    <row r="38" spans="3:7" x14ac:dyDescent="0.25">
      <c r="C38" s="18">
        <v>11</v>
      </c>
      <c r="D38" s="17">
        <f t="shared" si="0"/>
        <v>-6.3421620892608931E-3</v>
      </c>
      <c r="E38" s="17">
        <f t="shared" si="3"/>
        <v>-1.551034997739385E-2</v>
      </c>
      <c r="F38" s="17" t="e">
        <f t="shared" si="1"/>
        <v>#NUM!</v>
      </c>
      <c r="G38" s="17" t="e">
        <f t="shared" si="2"/>
        <v>#NUM!</v>
      </c>
    </row>
    <row r="39" spans="3:7" x14ac:dyDescent="0.25">
      <c r="C39" s="18">
        <v>12</v>
      </c>
      <c r="D39" s="17">
        <f t="shared" si="0"/>
        <v>-7.5543886270742428E-3</v>
      </c>
      <c r="E39" s="17">
        <f t="shared" si="3"/>
        <v>-1.8506994915715821E-2</v>
      </c>
      <c r="F39" s="17" t="e">
        <f t="shared" si="1"/>
        <v>#NUM!</v>
      </c>
      <c r="G39" s="17" t="e">
        <f t="shared" si="2"/>
        <v>#NUM!</v>
      </c>
    </row>
    <row r="40" spans="3:7" x14ac:dyDescent="0.25">
      <c r="C40" s="18">
        <v>13</v>
      </c>
      <c r="D40" s="17">
        <f t="shared" si="0"/>
        <v>-8.1124440595420344E-3</v>
      </c>
      <c r="E40" s="17">
        <f t="shared" si="3"/>
        <v>-1.9890013252384597E-2</v>
      </c>
      <c r="F40" s="17" t="e">
        <f t="shared" si="1"/>
        <v>#NUM!</v>
      </c>
      <c r="G40" s="17" t="e">
        <f t="shared" si="2"/>
        <v>#NUM!</v>
      </c>
    </row>
    <row r="41" spans="3:7" x14ac:dyDescent="0.25">
      <c r="C41" s="18">
        <v>14</v>
      </c>
      <c r="D41" s="17">
        <f t="shared" si="0"/>
        <v>-8.3690487389542195E-3</v>
      </c>
      <c r="E41" s="17">
        <f t="shared" si="3"/>
        <v>-2.0526693668054079E-2</v>
      </c>
      <c r="F41" s="17" t="e">
        <f t="shared" si="1"/>
        <v>#NUM!</v>
      </c>
      <c r="G41" s="17" t="e">
        <f t="shared" si="2"/>
        <v>#NUM!</v>
      </c>
    </row>
    <row r="42" spans="3:7" x14ac:dyDescent="0.25">
      <c r="C42" s="18">
        <v>15</v>
      </c>
      <c r="D42" s="17">
        <f t="shared" si="0"/>
        <v>-8.4869772767960129E-3</v>
      </c>
      <c r="E42" s="17">
        <f t="shared" si="3"/>
        <v>-2.0819451635176484E-2</v>
      </c>
      <c r="F42" s="17" t="e">
        <f t="shared" si="1"/>
        <v>#NUM!</v>
      </c>
      <c r="G42" s="17" t="e">
        <f t="shared" si="2"/>
        <v>#NUM!</v>
      </c>
    </row>
    <row r="43" spans="3:7" x14ac:dyDescent="0.25">
      <c r="C43" s="18">
        <v>16</v>
      </c>
      <c r="D43" s="17">
        <f t="shared" si="0"/>
        <v>-8.5411606714589344E-3</v>
      </c>
      <c r="E43" s="17">
        <f t="shared" si="3"/>
        <v>-2.0953995241642924E-2</v>
      </c>
      <c r="F43" s="17" t="e">
        <f t="shared" si="1"/>
        <v>#NUM!</v>
      </c>
      <c r="G43" s="17" t="e">
        <f t="shared" si="2"/>
        <v>#NUM!</v>
      </c>
    </row>
    <row r="44" spans="3:7" x14ac:dyDescent="0.25">
      <c r="C44" s="18">
        <v>17</v>
      </c>
      <c r="D44" s="17">
        <f t="shared" si="0"/>
        <v>-8.5660529310398609E-3</v>
      </c>
      <c r="E44" s="17">
        <f t="shared" si="3"/>
        <v>-2.101581258850365E-2</v>
      </c>
      <c r="F44" s="17" t="e">
        <f t="shared" si="1"/>
        <v>#NUM!</v>
      </c>
      <c r="G44" s="17" t="e">
        <f t="shared" si="2"/>
        <v>#NUM!</v>
      </c>
    </row>
    <row r="45" spans="3:7" x14ac:dyDescent="0.25">
      <c r="C45" s="18">
        <v>18</v>
      </c>
      <c r="D45" s="17">
        <f t="shared" si="0"/>
        <v>-8.5774880275563455E-3</v>
      </c>
      <c r="E45" s="17">
        <f t="shared" si="3"/>
        <v>-2.1044211943218025E-2</v>
      </c>
      <c r="F45" s="17" t="e">
        <f t="shared" si="1"/>
        <v>#NUM!</v>
      </c>
      <c r="G45" s="17" t="e">
        <f t="shared" si="2"/>
        <v>#NUM!</v>
      </c>
    </row>
    <row r="46" spans="3:7" x14ac:dyDescent="0.25">
      <c r="C46" s="18">
        <v>19</v>
      </c>
      <c r="D46" s="17">
        <f t="shared" si="0"/>
        <v>-8.5827409981178784E-3</v>
      </c>
      <c r="E46" s="17">
        <f t="shared" si="3"/>
        <v>-2.1057258141820807E-2</v>
      </c>
      <c r="F46" s="17" t="e">
        <f t="shared" si="1"/>
        <v>#NUM!</v>
      </c>
      <c r="G46" s="17" t="e">
        <f t="shared" si="2"/>
        <v>#NUM!</v>
      </c>
    </row>
    <row r="47" spans="3:7" x14ac:dyDescent="0.25">
      <c r="C47" s="18">
        <v>20</v>
      </c>
      <c r="D47" s="17">
        <f t="shared" si="0"/>
        <v>-8.5851540426156534E-3</v>
      </c>
      <c r="E47" s="17">
        <f t="shared" si="3"/>
        <v>-2.106325120861316E-2</v>
      </c>
      <c r="F47" s="17" t="e">
        <f t="shared" si="1"/>
        <v>#NUM!</v>
      </c>
      <c r="G47" s="17" t="e">
        <f t="shared" si="2"/>
        <v>#NUM!</v>
      </c>
    </row>
  </sheetData>
  <sheetProtection algorithmName="SHA-512" hashValue="4dcIAf8WZHTKf/kFpzJZcm8p9OSya6Gow7neTNgnr3gAEbS0rKA6F/3Cmx9SMAvaZjGx9FU4Br0G+cMGPeZjvw==" saltValue="/k3uXjRfQd2zZZbu9cDNxw==" spinCount="100000" sheet="1" objects="1" scenarios="1"/>
  <mergeCells count="6">
    <mergeCell ref="A1:B1"/>
    <mergeCell ref="G2:I2"/>
    <mergeCell ref="F19:G19"/>
    <mergeCell ref="H19:I19"/>
    <mergeCell ref="D19:E19"/>
    <mergeCell ref="G3:I3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2:G14"/>
  <sheetViews>
    <sheetView showGridLines="0" workbookViewId="0">
      <selection activeCell="C16" sqref="C16"/>
    </sheetView>
  </sheetViews>
  <sheetFormatPr defaultColWidth="8.85546875" defaultRowHeight="15" x14ac:dyDescent="0.25"/>
  <sheetData>
    <row r="2" spans="1:7" x14ac:dyDescent="0.25">
      <c r="A2" s="44" t="s">
        <v>66</v>
      </c>
      <c r="B2" s="44"/>
    </row>
    <row r="3" spans="1:7" x14ac:dyDescent="0.25">
      <c r="A3" s="7" t="s">
        <v>19</v>
      </c>
      <c r="B3" s="7" t="s">
        <v>21</v>
      </c>
      <c r="C3" s="7" t="s">
        <v>20</v>
      </c>
      <c r="D3" s="10" t="s">
        <v>22</v>
      </c>
      <c r="E3" s="13" t="s">
        <v>23</v>
      </c>
      <c r="F3" s="11" t="s">
        <v>25</v>
      </c>
      <c r="G3" s="11" t="s">
        <v>27</v>
      </c>
    </row>
    <row r="4" spans="1:7" x14ac:dyDescent="0.25">
      <c r="A4" s="25">
        <v>80.099999999999994</v>
      </c>
      <c r="B4" s="26">
        <v>101.32</v>
      </c>
      <c r="C4" s="26" t="s">
        <v>24</v>
      </c>
      <c r="D4" s="8">
        <v>1</v>
      </c>
      <c r="E4" s="14">
        <v>1</v>
      </c>
      <c r="F4" s="12">
        <f t="shared" ref="F4:F10" si="0">A.*D4/(B.+D4)</f>
        <v>1.0035959362718649</v>
      </c>
      <c r="G4" s="15">
        <f>(F4-E4)^2</f>
        <v>1.2930757671313932E-5</v>
      </c>
    </row>
    <row r="5" spans="1:7" x14ac:dyDescent="0.25">
      <c r="A5" s="25">
        <v>85</v>
      </c>
      <c r="B5" s="26">
        <v>116.9</v>
      </c>
      <c r="C5" s="26">
        <v>46</v>
      </c>
      <c r="D5" s="8">
        <f t="shared" ref="D5:D10" si="1">(B$4-C5)/(B5-C5)</f>
        <v>0.7802538787023976</v>
      </c>
      <c r="E5" s="14">
        <f t="shared" ref="E5:E10" si="2">(B5/B$4)*D5</f>
        <v>0.9002336993714003</v>
      </c>
      <c r="F5" s="12">
        <f t="shared" si="0"/>
        <v>0.89877980210744401</v>
      </c>
      <c r="G5" s="15">
        <f t="shared" ref="G5:G10" si="3">(F5-E5)^2</f>
        <v>2.1138172541395657E-6</v>
      </c>
    </row>
    <row r="6" spans="1:7" x14ac:dyDescent="0.25">
      <c r="A6" s="25">
        <v>90</v>
      </c>
      <c r="B6" s="26">
        <v>135.5</v>
      </c>
      <c r="C6" s="26">
        <v>54</v>
      </c>
      <c r="D6" s="8">
        <f t="shared" si="1"/>
        <v>0.58061349693251529</v>
      </c>
      <c r="E6" s="14">
        <f t="shared" si="2"/>
        <v>0.77648172951397376</v>
      </c>
      <c r="F6" s="12">
        <f t="shared" si="0"/>
        <v>0.77253151475530224</v>
      </c>
      <c r="G6" s="15">
        <f t="shared" si="3"/>
        <v>1.560419663962631E-5</v>
      </c>
    </row>
    <row r="7" spans="1:7" x14ac:dyDescent="0.25">
      <c r="A7" s="25">
        <v>95</v>
      </c>
      <c r="B7" s="26">
        <v>155.69999999999999</v>
      </c>
      <c r="C7" s="26">
        <v>63.3</v>
      </c>
      <c r="D7" s="8">
        <f t="shared" si="1"/>
        <v>0.41147186147186149</v>
      </c>
      <c r="E7" s="14">
        <f t="shared" si="2"/>
        <v>0.63231512861398376</v>
      </c>
      <c r="F7" s="12">
        <f t="shared" si="0"/>
        <v>0.63029423048998978</v>
      </c>
      <c r="G7" s="15">
        <f t="shared" si="3"/>
        <v>4.0840292275623676E-6</v>
      </c>
    </row>
    <row r="8" spans="1:7" x14ac:dyDescent="0.25">
      <c r="A8" s="25">
        <v>100</v>
      </c>
      <c r="B8" s="26">
        <v>179.2</v>
      </c>
      <c r="C8" s="26">
        <v>74.3</v>
      </c>
      <c r="D8" s="8">
        <f t="shared" si="1"/>
        <v>0.2575786463298379</v>
      </c>
      <c r="E8" s="14">
        <f t="shared" si="2"/>
        <v>0.45556744396276111</v>
      </c>
      <c r="F8" s="12">
        <f t="shared" si="0"/>
        <v>0.45752734030802128</v>
      </c>
      <c r="G8" s="15">
        <f t="shared" si="3"/>
        <v>3.8411936841641729E-6</v>
      </c>
    </row>
    <row r="9" spans="1:7" x14ac:dyDescent="0.25">
      <c r="A9" s="25">
        <v>105</v>
      </c>
      <c r="B9" s="26">
        <v>204.2</v>
      </c>
      <c r="C9" s="26">
        <v>86</v>
      </c>
      <c r="D9" s="8">
        <f t="shared" si="1"/>
        <v>0.12961082910321484</v>
      </c>
      <c r="E9" s="14">
        <f t="shared" si="2"/>
        <v>0.26121724538962171</v>
      </c>
      <c r="F9" s="12">
        <f t="shared" si="0"/>
        <v>0.26544899356910179</v>
      </c>
      <c r="G9" s="15">
        <f t="shared" si="3"/>
        <v>1.7907692654532946E-5</v>
      </c>
    </row>
    <row r="10" spans="1:7" x14ac:dyDescent="0.25">
      <c r="A10" s="25">
        <v>110.6</v>
      </c>
      <c r="B10" s="26">
        <v>240</v>
      </c>
      <c r="C10" s="26">
        <v>101.32</v>
      </c>
      <c r="D10" s="8">
        <f t="shared" si="1"/>
        <v>0</v>
      </c>
      <c r="E10" s="14">
        <f t="shared" si="2"/>
        <v>0</v>
      </c>
      <c r="F10" s="12">
        <f t="shared" si="0"/>
        <v>0</v>
      </c>
      <c r="G10" s="15">
        <f t="shared" si="3"/>
        <v>0</v>
      </c>
    </row>
    <row r="11" spans="1:7" x14ac:dyDescent="0.25">
      <c r="F11" s="9" t="s">
        <v>26</v>
      </c>
      <c r="G11" s="28">
        <f>SUM(G4:G10)</f>
        <v>5.6481687131339299E-5</v>
      </c>
    </row>
    <row r="12" spans="1:7" x14ac:dyDescent="0.25">
      <c r="A12" s="44" t="s">
        <v>64</v>
      </c>
      <c r="B12" s="44"/>
    </row>
    <row r="13" spans="1:7" x14ac:dyDescent="0.25">
      <c r="A13" s="9" t="s">
        <v>28</v>
      </c>
      <c r="B13" s="27">
        <v>1.7128696538024926</v>
      </c>
    </row>
    <row r="14" spans="1:7" x14ac:dyDescent="0.25">
      <c r="A14" s="9" t="s">
        <v>29</v>
      </c>
      <c r="B14" s="27">
        <v>0.7067323530278744</v>
      </c>
    </row>
  </sheetData>
  <mergeCells count="2">
    <mergeCell ref="A12:B12"/>
    <mergeCell ref="A2:B2"/>
  </mergeCell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workbookViewId="0">
      <selection activeCell="K2" sqref="K2"/>
    </sheetView>
  </sheetViews>
  <sheetFormatPr defaultRowHeight="15" x14ac:dyDescent="0.25"/>
  <sheetData/>
  <sheetProtection algorithmName="SHA-512" hashValue="GuMurt2+tBeiRT6ekIjkVuCEthv4/sMq7olgLixXjOKhoiqLJqsyOYRHBMagqb8t1dFBpGhAGjZbKwKkwy+muQ==" saltValue="a6HbdH2gmM4WAEjMX1JYZQ==" spinCount="100000" sheet="1" objects="1" scenarios="1"/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"/>
  <sheetViews>
    <sheetView showGridLines="0" workbookViewId="0">
      <selection activeCell="N8" sqref="N8"/>
    </sheetView>
  </sheetViews>
  <sheetFormatPr defaultRowHeight="15" x14ac:dyDescent="0.25"/>
  <sheetData>
    <row r="2" spans="2:5" ht="15.75" thickBot="1" x14ac:dyDescent="0.3"/>
    <row r="3" spans="2:5" x14ac:dyDescent="0.25">
      <c r="B3" s="50" t="s">
        <v>68</v>
      </c>
      <c r="C3" s="51"/>
      <c r="D3" s="51"/>
      <c r="E3" s="52"/>
    </row>
    <row r="4" spans="2:5" x14ac:dyDescent="0.25">
      <c r="B4" s="53" t="s">
        <v>69</v>
      </c>
      <c r="C4" s="54" t="s">
        <v>70</v>
      </c>
      <c r="D4" s="54"/>
      <c r="E4" s="55"/>
    </row>
    <row r="5" spans="2:5" ht="15.75" thickBot="1" x14ac:dyDescent="0.3">
      <c r="B5" s="56" t="s">
        <v>71</v>
      </c>
      <c r="C5" s="57">
        <v>2017</v>
      </c>
      <c r="D5" s="58"/>
      <c r="E5" s="59"/>
    </row>
  </sheetData>
  <sheetProtection algorithmName="SHA-512" hashValue="uDiOojfc9LqzqR1S7dpUaSpKiSlEl3NfFjzxpyFtKuG8WuWRE1Abb2QAc0EgZKW5EbN+SmsxM5PMfHIN8eOzWg==" saltValue="g0u3R0H2MbydJkAs+Z2iZw==" spinCount="100000" sheet="1" objects="1" scenarios="1"/>
  <mergeCells count="1">
    <mergeCell ref="B3:E3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30</vt:i4>
      </vt:variant>
    </vt:vector>
  </HeadingPairs>
  <TitlesOfParts>
    <vt:vector size="34" baseType="lpstr">
      <vt:lpstr>Rectification</vt:lpstr>
      <vt:lpstr>Equilibrium</vt:lpstr>
      <vt:lpstr>Figures</vt:lpstr>
      <vt:lpstr>Credits</vt:lpstr>
      <vt:lpstr>A.</vt:lpstr>
      <vt:lpstr>alfa</vt:lpstr>
      <vt:lpstr>B.</vt:lpstr>
      <vt:lpstr>Cpl1.</vt:lpstr>
      <vt:lpstr>Cpl2.</vt:lpstr>
      <vt:lpstr>Cplm</vt:lpstr>
      <vt:lpstr>D.</vt:lpstr>
      <vt:lpstr>F</vt:lpstr>
      <vt:lpstr>fv</vt:lpstr>
      <vt:lpstr>hlv1.</vt:lpstr>
      <vt:lpstr>hlv2.</vt:lpstr>
      <vt:lpstr>hlvm</vt:lpstr>
      <vt:lpstr>Ln.</vt:lpstr>
      <vt:lpstr>Lo.</vt:lpstr>
      <vt:lpstr>P</vt:lpstr>
      <vt:lpstr>q</vt:lpstr>
      <vt:lpstr>R.</vt:lpstr>
      <vt:lpstr>R_</vt:lpstr>
      <vt:lpstr>Td</vt:lpstr>
      <vt:lpstr>Tf</vt:lpstr>
      <vt:lpstr>Tn</vt:lpstr>
      <vt:lpstr>Tw</vt:lpstr>
      <vt:lpstr>V1.</vt:lpstr>
      <vt:lpstr>Vn_1.</vt:lpstr>
      <vt:lpstr>W.</vt:lpstr>
      <vt:lpstr>xd</vt:lpstr>
      <vt:lpstr>xf</vt:lpstr>
      <vt:lpstr>xn</vt:lpstr>
      <vt:lpstr>xw</vt:lpstr>
      <vt:lpstr>yw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Joshua Pires; Pires</dc:creator>
  <cp:lastModifiedBy>Pires</cp:lastModifiedBy>
  <dcterms:created xsi:type="dcterms:W3CDTF">2015-03-23T03:50:01Z</dcterms:created>
  <dcterms:modified xsi:type="dcterms:W3CDTF">2017-03-27T02:40:40Z</dcterms:modified>
</cp:coreProperties>
</file>