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HHkN2Xg4uM1eJ5mRRbOZQtwEG8I/8EUok23VzaoyZQdHmpsb7Fn3YXp29ioLfeHvgHAValxDyJg+tefLSoXKJA==" workbookSaltValue="7nbMEx5JoTD/EQ6URuqRnQ==" workbookSpinCount="100000" lockStructure="1"/>
  <bookViews>
    <workbookView xWindow="360" yWindow="300" windowWidth="18735" windowHeight="11700"/>
  </bookViews>
  <sheets>
    <sheet name="fr.num" sheetId="2" r:id="rId1"/>
    <sheet name="fr.capilarity" sheetId="4" r:id="rId2"/>
    <sheet name="fr.diffusion" sheetId="3" r:id="rId3"/>
    <sheet name="dif.coef" sheetId="5" r:id="rId4"/>
    <sheet name="Credits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" localSheetId="4">fr.num!$B$3</definedName>
    <definedName name="A" localSheetId="3">'[1]9.7-1'!$B$3</definedName>
    <definedName name="A">fr.num!$B$3</definedName>
    <definedName name="A." localSheetId="4">[3]Operation!$C$3</definedName>
    <definedName name="A.">fr.capilarity!$B$17</definedName>
    <definedName name="A..">dif.coef!$B$16</definedName>
    <definedName name="A...">'[1]9.9-2'!$B$13</definedName>
    <definedName name="ae">[4]Main!#REF!</definedName>
    <definedName name="ai">[4]Main!$M$10</definedName>
    <definedName name="ao">[4]Main!$P$10</definedName>
    <definedName name="Area">[4]Main!$T$13</definedName>
    <definedName name="at">[4]Main!$M$8</definedName>
    <definedName name="B">[4]Main!$P$8</definedName>
    <definedName name="B." localSheetId="4">[3]Operation!$C$4</definedName>
    <definedName name="B.">fr.capilarity!$B$18</definedName>
    <definedName name="B..">dif.coef!$B$17</definedName>
    <definedName name="B...">'[1]9.9-2'!$B$14</definedName>
    <definedName name="C.">[3]Operation!$C$5</definedName>
    <definedName name="Cpa." localSheetId="4">[5]EB!$B$8</definedName>
    <definedName name="Cpa.">[2]EB!$B$9</definedName>
    <definedName name="Cpc">[4]Main!$C$13</definedName>
    <definedName name="Cpe">[4]Main!#REF!</definedName>
    <definedName name="Cph">[4]Main!$F$13</definedName>
    <definedName name="Cpi">[4]Main!$M$12</definedName>
    <definedName name="Cpo">[4]Main!$P$12</definedName>
    <definedName name="Cps." localSheetId="4">[5]EB!$B$5</definedName>
    <definedName name="Cps.">[2]EB!$B$6</definedName>
    <definedName name="cpw.">'[6]Energy Balance'!$B$9</definedName>
    <definedName name="cs1." localSheetId="4">[5]EB!$B$13</definedName>
    <definedName name="cs1.">[2]EB!$B$14</definedName>
    <definedName name="cs2." localSheetId="4">[5]EB!$B$14</definedName>
    <definedName name="cs2.">[2]EB!$B$15</definedName>
    <definedName name="D.">[3]Equilibrium!$R$3</definedName>
    <definedName name="D_shell">[4]Main!#REF!</definedName>
    <definedName name="Deq">[4]Main!$T$4</definedName>
    <definedName name="Dh">[4]Main!#REF!</definedName>
    <definedName name="Dshell">[4]Main!$P$4</definedName>
    <definedName name="dT">[4]Main!$J$16</definedName>
    <definedName name="dTc">[4]Main!$C$10</definedName>
    <definedName name="Dte">[4]Main!#REF!</definedName>
    <definedName name="dTh">[4]Main!$F$10</definedName>
    <definedName name="Dti">[4]Main!#REF!</definedName>
    <definedName name="dTlm">[4]Main!$J$10</definedName>
    <definedName name="Dtube_e">[4]Main!$M$5</definedName>
    <definedName name="Dtube_i">[4]Main!$M$4</definedName>
    <definedName name="E.">[3]Equilibrium!$R$4</definedName>
    <definedName name="eu">[4]Main!#REF!</definedName>
    <definedName name="F">[4]Main!$J$15</definedName>
    <definedName name="F." localSheetId="4">[3]Equilibrium!$R$5</definedName>
    <definedName name="Gi">[4]Main!$M$17</definedName>
    <definedName name="Go">[4]Main!$P$17</definedName>
    <definedName name="h_i">[4]Main!$M$25</definedName>
    <definedName name="h_o">[4]Main!$P$25</definedName>
    <definedName name="H1." localSheetId="4">[5]EB!$B$11</definedName>
    <definedName name="H1.">[2]EB!$B$12</definedName>
    <definedName name="H2." localSheetId="4">[5]EB!$B$12</definedName>
    <definedName name="H2.">[2]EB!$B$13</definedName>
    <definedName name="ha1_" localSheetId="4">[5]EB!$F$15</definedName>
    <definedName name="ha1_">[2]EB!$F$12</definedName>
    <definedName name="ha2_" localSheetId="4">[5]EB!$F$16</definedName>
    <definedName name="ha2_">[2]EB!$F$13</definedName>
    <definedName name="hi">[4]Main!$M$21</definedName>
    <definedName name="hi2_">[4]Main!#REF!</definedName>
    <definedName name="hii">[4]Main!$M$22</definedName>
    <definedName name="ho">[4]Main!$P$21</definedName>
    <definedName name="ho." localSheetId="4">[5]EB!$B$17</definedName>
    <definedName name="ho.">[2]EB!$B$18</definedName>
    <definedName name="ho2_">[4]Main!#REF!</definedName>
    <definedName name="hs1_" localSheetId="4">[5]EB!$F$6</definedName>
    <definedName name="hs1_">[2]EB!$F$4</definedName>
    <definedName name="hs2_" localSheetId="4">[5]EB!$F$7</definedName>
    <definedName name="hs2_">[2]EB!$F$5</definedName>
    <definedName name="k_x.a">[3]Absorption_packed!#REF!</definedName>
    <definedName name="kc">[4]Main!$C$14</definedName>
    <definedName name="ke">[4]Main!#REF!</definedName>
    <definedName name="kh">[4]Main!$F$14</definedName>
    <definedName name="ki">[4]Main!$M$13</definedName>
    <definedName name="ko">[4]Main!$P$13</definedName>
    <definedName name="L.">[3]Absorption_packed!$B$6</definedName>
    <definedName name="Lt">[4]Main!$M$7</definedName>
    <definedName name="ma." localSheetId="4">[5]EB!$B$10</definedName>
    <definedName name="ma.">[2]EB!$B$11</definedName>
    <definedName name="mc">[4]Main!$C$4</definedName>
    <definedName name="me">[4]Main!#REF!</definedName>
    <definedName name="mh">[4]Main!$F$4</definedName>
    <definedName name="mi">[4]Main!$M$11</definedName>
    <definedName name="MM.a">[3]Absorption_packed!#REF!</definedName>
    <definedName name="MM.b">[3]Absorption_packed!#REF!</definedName>
    <definedName name="MM.c">[3]Absorption_packed!#REF!</definedName>
    <definedName name="MM_a">[3]Absorption_packed!$E$7</definedName>
    <definedName name="MM_b">[3]Absorption_packed!$E$8</definedName>
    <definedName name="MM_c">[3]Absorption_packed!$E$9</definedName>
    <definedName name="mo">[4]Main!$P$11</definedName>
    <definedName name="ms" localSheetId="4">fr.num!$B$2</definedName>
    <definedName name="ms" localSheetId="3">'[1]9.7-1'!$B$2</definedName>
    <definedName name="ms">fr.num!$B$2</definedName>
    <definedName name="ms." localSheetId="4">[5]EB!$B$2</definedName>
    <definedName name="ms.">[2]EB!$B$3</definedName>
    <definedName name="np">[4]Main!$P$6</definedName>
    <definedName name="nt">[4]Main!$M$6</definedName>
    <definedName name="P">[4]Main!$P$7</definedName>
    <definedName name="phi_i">[4]Main!$M$24</definedName>
    <definedName name="phi_o">[4]Main!$P$24</definedName>
    <definedName name="Pr_i">[4]Main!$M$19</definedName>
    <definedName name="Pr_o">[4]Main!$P$19</definedName>
    <definedName name="Q">[4]Main!$J$12</definedName>
    <definedName name="R.">[4]Main!$J$13</definedName>
    <definedName name="ral">[4]Main!$T$5</definedName>
    <definedName name="Rc_" localSheetId="4">fr.num!$B$8</definedName>
    <definedName name="Rc_" localSheetId="3">'[1]9.7-1'!$B$7</definedName>
    <definedName name="Rc_">fr.num!$B$8</definedName>
    <definedName name="Rd">[4]Main!$T$3</definedName>
    <definedName name="Rdc">[4]Main!#REF!</definedName>
    <definedName name="Rdh">[4]Main!#REF!</definedName>
    <definedName name="Rdshell">[4]Main!$P$3</definedName>
    <definedName name="Rdtube">[4]Main!$M$3</definedName>
    <definedName name="Re_i">[4]Main!$M$18</definedName>
    <definedName name="Re_o">[4]Main!$P$18</definedName>
    <definedName name="ro_c">[4]Main!$C$16</definedName>
    <definedName name="ro_e">[4]Main!#REF!</definedName>
    <definedName name="ro_h">[4]Main!$F$16</definedName>
    <definedName name="ro_i">[4]Main!$M$15</definedName>
    <definedName name="ro_o">[4]Main!$P$15</definedName>
    <definedName name="S" localSheetId="4">[3]Absorption_packed!$E$2</definedName>
    <definedName name="S">[4]Main!#REF!</definedName>
    <definedName name="S.">[4]Main!$J$14</definedName>
    <definedName name="solver_adj" localSheetId="3" hidden="1">dif.coef!$B$16,dif.coef!$B$17</definedName>
    <definedName name="solver_adj" localSheetId="1" hidden="1">fr.capilarity!$B$17,fr.capilarity!$B$18</definedName>
    <definedName name="solver_cvg" localSheetId="3" hidden="1">0.0001</definedName>
    <definedName name="solver_cvg" localSheetId="1" hidden="1">0.0001</definedName>
    <definedName name="solver_drv" localSheetId="3" hidden="1">1</definedName>
    <definedName name="solver_drv" localSheetId="1" hidden="1">1</definedName>
    <definedName name="solver_est" localSheetId="3" hidden="1">1</definedName>
    <definedName name="solver_est" localSheetId="1" hidden="1">1</definedName>
    <definedName name="solver_itr" localSheetId="3" hidden="1">100</definedName>
    <definedName name="solver_itr" localSheetId="1" hidden="1">100</definedName>
    <definedName name="solver_lin" localSheetId="3" hidden="1">2</definedName>
    <definedName name="solver_lin" localSheetId="1" hidden="1">2</definedName>
    <definedName name="solver_neg" localSheetId="3" hidden="1">2</definedName>
    <definedName name="solver_neg" localSheetId="1" hidden="1">2</definedName>
    <definedName name="solver_num" localSheetId="3" hidden="1">0</definedName>
    <definedName name="solver_num" localSheetId="1" hidden="1">0</definedName>
    <definedName name="solver_nwt" localSheetId="3" hidden="1">1</definedName>
    <definedName name="solver_nwt" localSheetId="1" hidden="1">1</definedName>
    <definedName name="solver_opt" localSheetId="3" hidden="1">dif.coef!#REF!</definedName>
    <definedName name="solver_opt" localSheetId="1" hidden="1">fr.capilarity!$I$23</definedName>
    <definedName name="solver_pre" localSheetId="3" hidden="1">0.000001</definedName>
    <definedName name="solver_pre" localSheetId="1" hidden="1">0.000001</definedName>
    <definedName name="solver_scl" localSheetId="3" hidden="1">2</definedName>
    <definedName name="solver_scl" localSheetId="1" hidden="1">2</definedName>
    <definedName name="solver_sho" localSheetId="3" hidden="1">2</definedName>
    <definedName name="solver_sho" localSheetId="1" hidden="1">2</definedName>
    <definedName name="solver_tim" localSheetId="3" hidden="1">100</definedName>
    <definedName name="solver_tim" localSheetId="1" hidden="1">100</definedName>
    <definedName name="solver_tol" localSheetId="3" hidden="1">0.05</definedName>
    <definedName name="solver_tol" localSheetId="1" hidden="1">0.05</definedName>
    <definedName name="solver_typ" localSheetId="3" hidden="1">3</definedName>
    <definedName name="solver_typ" localSheetId="1" hidden="1">2</definedName>
    <definedName name="solver_val" localSheetId="3" hidden="1">0</definedName>
    <definedName name="solver_val" localSheetId="1" hidden="1">0</definedName>
    <definedName name="Squared">[4]Main!$J$4</definedName>
    <definedName name="t" localSheetId="4">'[1]9.7-1'!#REF!</definedName>
    <definedName name="t">'[1]9.7-1'!#REF!</definedName>
    <definedName name="t." localSheetId="4">fr.num!#REF!</definedName>
    <definedName name="t." localSheetId="3">'[1]9.7-1'!#REF!</definedName>
    <definedName name="t.">fr.num!#REF!</definedName>
    <definedName name="Ta1." localSheetId="4">[5]EB!$B$15</definedName>
    <definedName name="Ta1.">[2]EB!$B$16</definedName>
    <definedName name="Ta2." localSheetId="4">[5]EB!$B$16</definedName>
    <definedName name="Ta2.">[2]EB!$B$17</definedName>
    <definedName name="tc" localSheetId="4">fr.num!$F$4</definedName>
    <definedName name="tc" localSheetId="3">'[1]9.7-1'!$F$4</definedName>
    <definedName name="tc">fr.num!$F$9</definedName>
    <definedName name="Tc1_">[4]Main!$C$7</definedName>
    <definedName name="Tc2_">[4]Main!$C$8</definedName>
    <definedName name="Tcm">[4]Main!$C$9</definedName>
    <definedName name="Th1_">[4]Main!$F$7</definedName>
    <definedName name="Th2_">[4]Main!$F$8</definedName>
    <definedName name="Thm">[4]Main!$F$9</definedName>
    <definedName name="Triangular">[4]Main!$J$3</definedName>
    <definedName name="Ts1." localSheetId="4">[5]EB!$B$6</definedName>
    <definedName name="Ts1.">[2]EB!$B$7</definedName>
    <definedName name="Ts2." localSheetId="4">[5]EB!$B$7</definedName>
    <definedName name="Ts2.">[2]EB!$B$8</definedName>
    <definedName name="U">[4]Main!$T$14</definedName>
    <definedName name="u_i">[4]Main!$M$23</definedName>
    <definedName name="u_o">[4]Main!$P$23</definedName>
    <definedName name="uc">[4]Main!$C$15</definedName>
    <definedName name="Uclean">[4]Main!$T$10</definedName>
    <definedName name="uh">[4]Main!$F$15</definedName>
    <definedName name="ui">[4]Main!$M$14</definedName>
    <definedName name="uo">[4]Main!$P$14</definedName>
    <definedName name="V.">[3]Absorption_packed!$B$2</definedName>
    <definedName name="Vc">[4]Main!$C$3</definedName>
    <definedName name="Wf" localSheetId="4">fr.capilarity!$B$6</definedName>
    <definedName name="Wf">fr.capilarity!$B$6</definedName>
    <definedName name="Wo" localSheetId="4">fr.capilarity!$B$5</definedName>
    <definedName name="Wo">fr.capilarity!$B$5</definedName>
    <definedName name="x1." localSheetId="4">[3]Absorption_packed!$B$9</definedName>
    <definedName name="X1." localSheetId="3">'[1]9.7-1'!$D$4</definedName>
    <definedName name="X1." localSheetId="0">fr.num!$E$8</definedName>
    <definedName name="X1.">[2]EB!$B$4</definedName>
    <definedName name="x2." localSheetId="4">[3]Absorption_packed!$B$7</definedName>
    <definedName name="X2." localSheetId="3">'[1]9.7-1'!$E$4</definedName>
    <definedName name="X2." localSheetId="0">fr.num!$F$8</definedName>
    <definedName name="X2.">[2]EB!$B$5</definedName>
    <definedName name="Xc" localSheetId="4">fr.num!$B$7</definedName>
    <definedName name="Xc" localSheetId="3">'[1]9.7-1'!$B$6</definedName>
    <definedName name="Xc">fr.num!$B$7</definedName>
    <definedName name="Xf" localSheetId="4">fr.capilarity!$B$8</definedName>
    <definedName name="Xf" localSheetId="0">fr.num!$B$6</definedName>
    <definedName name="Xf">fr.capilarity!$B$8</definedName>
    <definedName name="Xi" localSheetId="4">fr.num!$B$5</definedName>
    <definedName name="Xi" localSheetId="3">'[1]9.7-1'!$B$4</definedName>
    <definedName name="Xi">fr.num!$B$5</definedName>
    <definedName name="Xo" localSheetId="4">fr.capilarity!$B$7</definedName>
    <definedName name="Xo">fr.capilarity!$B$7</definedName>
    <definedName name="y1.">[3]Absorption_packed!$B$3</definedName>
    <definedName name="y2.">[3]Absorption_packed!$B$4</definedName>
  </definedNames>
  <calcPr calcId="171027"/>
</workbook>
</file>

<file path=xl/calcChain.xml><?xml version="1.0" encoding="utf-8"?>
<calcChain xmlns="http://schemas.openxmlformats.org/spreadsheetml/2006/main">
  <c r="E13" i="2" l="1"/>
  <c r="B16" i="5" l="1"/>
  <c r="F7" i="2" l="1"/>
  <c r="F8" i="3"/>
  <c r="B4" i="4"/>
  <c r="B4" i="2"/>
  <c r="B4" i="3"/>
  <c r="B2" i="5"/>
  <c r="F9" i="5" s="1"/>
  <c r="D6" i="5"/>
  <c r="D7" i="5"/>
  <c r="D8" i="5"/>
  <c r="D9" i="5"/>
  <c r="D10" i="5"/>
  <c r="D11" i="5"/>
  <c r="D12" i="5"/>
  <c r="D13" i="5"/>
  <c r="G20" i="5"/>
  <c r="H15" i="4"/>
  <c r="I15" i="4" s="1"/>
  <c r="J15" i="4"/>
  <c r="H16" i="4"/>
  <c r="I16" i="4" s="1"/>
  <c r="J16" i="4"/>
  <c r="B7" i="4"/>
  <c r="F13" i="4" s="1"/>
  <c r="H17" i="4"/>
  <c r="I17" i="4" s="1"/>
  <c r="J17" i="4"/>
  <c r="B8" i="4"/>
  <c r="F21" i="4" s="1"/>
  <c r="H18" i="4"/>
  <c r="I18" i="4" s="1"/>
  <c r="J18" i="4"/>
  <c r="H19" i="4"/>
  <c r="I19" i="4" s="1"/>
  <c r="J19" i="4"/>
  <c r="H20" i="4"/>
  <c r="I20" i="4" s="1"/>
  <c r="J20" i="4"/>
  <c r="H22" i="4"/>
  <c r="I22" i="4" s="1"/>
  <c r="J22" i="4"/>
  <c r="B5" i="3"/>
  <c r="B6" i="3"/>
  <c r="F10" i="3"/>
  <c r="F9" i="3"/>
  <c r="G13" i="2"/>
  <c r="G14" i="2"/>
  <c r="G15" i="2"/>
  <c r="G16" i="2"/>
  <c r="G17" i="2"/>
  <c r="G18" i="2"/>
  <c r="B17" i="5" l="1"/>
  <c r="E10" i="5" s="1"/>
  <c r="H21" i="4"/>
  <c r="G15" i="3"/>
  <c r="F13" i="5"/>
  <c r="F11" i="5"/>
  <c r="K16" i="4"/>
  <c r="K17" i="4" s="1"/>
  <c r="K18" i="4" s="1"/>
  <c r="K19" i="4" s="1"/>
  <c r="K20" i="4" s="1"/>
  <c r="I13" i="2"/>
  <c r="H14" i="2"/>
  <c r="I14" i="2" s="1"/>
  <c r="J15" i="3"/>
  <c r="M15" i="3" s="1"/>
  <c r="F12" i="5"/>
  <c r="F10" i="5"/>
  <c r="F8" i="5"/>
  <c r="F6" i="5"/>
  <c r="F7" i="5"/>
  <c r="J21" i="4"/>
  <c r="G21" i="4"/>
  <c r="I21" i="4" s="1"/>
  <c r="I23" i="4" s="1"/>
  <c r="G21" i="5" l="1"/>
  <c r="G22" i="5" s="1"/>
  <c r="E12" i="5"/>
  <c r="E13" i="5"/>
  <c r="E7" i="5"/>
  <c r="E8" i="5"/>
  <c r="E11" i="5"/>
  <c r="E9" i="5"/>
  <c r="E6" i="5"/>
  <c r="K21" i="4"/>
  <c r="K22" i="4" s="1"/>
  <c r="H15" i="2"/>
  <c r="I15" i="2" s="1"/>
  <c r="H16" i="2" l="1"/>
  <c r="I16" i="2" s="1"/>
  <c r="H17" i="2" l="1"/>
  <c r="I17" i="2" s="1"/>
  <c r="L14" i="4"/>
  <c r="L15" i="4"/>
  <c r="L20" i="4" s="1"/>
  <c r="I8" i="4"/>
  <c r="F8" i="4"/>
  <c r="H18" i="2" l="1"/>
  <c r="L21" i="4"/>
  <c r="L18" i="4"/>
  <c r="L16" i="4"/>
  <c r="L8" i="4"/>
  <c r="L22" i="4"/>
  <c r="L17" i="4"/>
  <c r="L19" i="4"/>
  <c r="I18" i="2" l="1"/>
  <c r="I7" i="2" s="1"/>
  <c r="L7" i="2" l="1"/>
</calcChain>
</file>

<file path=xl/sharedStrings.xml><?xml version="1.0" encoding="utf-8"?>
<sst xmlns="http://schemas.openxmlformats.org/spreadsheetml/2006/main" count="144" uniqueCount="67">
  <si>
    <t>h</t>
  </si>
  <si>
    <t>t</t>
  </si>
  <si>
    <t>TOTAL:</t>
  </si>
  <si>
    <t>Area</t>
  </si>
  <si>
    <t>1/R</t>
  </si>
  <si>
    <t>R</t>
  </si>
  <si>
    <t>X</t>
  </si>
  <si>
    <t>kg/h.m²</t>
  </si>
  <si>
    <t>Rc</t>
  </si>
  <si>
    <t>Falling rate:</t>
  </si>
  <si>
    <t>Xc</t>
  </si>
  <si>
    <t>Xf</t>
  </si>
  <si>
    <t>Xi</t>
  </si>
  <si>
    <t>tc</t>
  </si>
  <si>
    <t>m²</t>
  </si>
  <si>
    <t>A</t>
  </si>
  <si>
    <t>Constant rate:</t>
  </si>
  <si>
    <t>kg</t>
  </si>
  <si>
    <t>ms</t>
  </si>
  <si>
    <t>tf</t>
  </si>
  <si>
    <t>Falling rate (diffusion):</t>
  </si>
  <si>
    <t>Xo</t>
  </si>
  <si>
    <t>kg/hr.m²</t>
  </si>
  <si>
    <t>X2</t>
  </si>
  <si>
    <t>X1</t>
  </si>
  <si>
    <t>Xeq</t>
  </si>
  <si>
    <t>m</t>
  </si>
  <si>
    <t>L</t>
  </si>
  <si>
    <t>m²/h</t>
  </si>
  <si>
    <t>DL</t>
  </si>
  <si>
    <t>kg/m²</t>
  </si>
  <si>
    <t>ms/A</t>
  </si>
  <si>
    <t>B.</t>
  </si>
  <si>
    <t>A.</t>
  </si>
  <si>
    <t>Falling rate (capilarity):</t>
  </si>
  <si>
    <t>SE</t>
  </si>
  <si>
    <t>Wf</t>
  </si>
  <si>
    <t>Wo</t>
  </si>
  <si>
    <t>-</t>
  </si>
  <si>
    <t>A/ms</t>
  </si>
  <si>
    <t>Atrap</t>
  </si>
  <si>
    <t>(1/R)</t>
  </si>
  <si>
    <t>E</t>
  </si>
  <si>
    <t>R'</t>
  </si>
  <si>
    <t>ln(X/Xc)</t>
  </si>
  <si>
    <t>X/Xc</t>
  </si>
  <si>
    <t>Diffusion Coefficient</t>
  </si>
  <si>
    <t>DL(t)</t>
  </si>
  <si>
    <t>X2'</t>
  </si>
  <si>
    <t>Xc'</t>
  </si>
  <si>
    <t>m²/kg</t>
  </si>
  <si>
    <t>X1'</t>
  </si>
  <si>
    <t>Falling rate (numerically)</t>
  </si>
  <si>
    <t>A..</t>
  </si>
  <si>
    <t>B..</t>
  </si>
  <si>
    <t>kgH2O/kgSolid</t>
  </si>
  <si>
    <t>kgH2O/kg</t>
  </si>
  <si>
    <t>Initial Data:</t>
  </si>
  <si>
    <t>Diffusion</t>
  </si>
  <si>
    <t>Falling-Rate</t>
  </si>
  <si>
    <t>Capillarity</t>
  </si>
  <si>
    <t>ln(X/Xc)'</t>
  </si>
  <si>
    <t>Drying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</si>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</sst>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2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2" fillId="0" borderId="0" xfId="0" applyFont="1"/>
    <xf numFmtId="0" fontId="1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ill="1"/>
    <xf numFmtId="0" fontId="0" fillId="0" borderId="3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64" fontId="2" fillId="3" borderId="1" xfId="0" applyNumberFormat="1" applyFont="1" applyFill="1" applyBorder="1" applyAlignment="1" applyProtection="1">
      <alignment horizontal="center" vertical="center"/>
      <protection locked="0"/>
    </xf>
    <xf numFmtId="2" fontId="2" fillId="3" borderId="1" xfId="0" applyNumberFormat="1" applyFont="1" applyFill="1" applyBorder="1" applyAlignment="1" applyProtection="1">
      <alignment horizontal="center" vertical="center"/>
      <protection locked="0"/>
    </xf>
    <xf numFmtId="165" fontId="3" fillId="3" borderId="1" xfId="0" applyNumberFormat="1" applyFont="1" applyFill="1" applyBorder="1" applyAlignment="1" applyProtection="1">
      <alignment horizontal="center"/>
      <protection locked="0"/>
    </xf>
    <xf numFmtId="164" fontId="2" fillId="3" borderId="1" xfId="0" applyNumberFormat="1" applyFont="1" applyFill="1" applyBorder="1" applyAlignment="1" applyProtection="1">
      <alignment horizontal="center"/>
      <protection locked="0"/>
    </xf>
    <xf numFmtId="164" fontId="2" fillId="0" borderId="1" xfId="0" applyNumberFormat="1" applyFont="1" applyFill="1" applyBorder="1" applyAlignment="1" applyProtection="1">
      <alignment horizontal="center"/>
      <protection locked="0"/>
    </xf>
    <xf numFmtId="164" fontId="2" fillId="0" borderId="1" xfId="0" applyNumberFormat="1" applyFont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0" fillId="5" borderId="1" xfId="0" applyNumberFormat="1" applyFill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0" fillId="0" borderId="0" xfId="0" applyBorder="1"/>
    <xf numFmtId="0" fontId="0" fillId="0" borderId="8" xfId="0" applyBorder="1"/>
    <xf numFmtId="0" fontId="2" fillId="0" borderId="9" xfId="0" applyFont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constant rate</c:v>
          </c:tx>
          <c:spPr>
            <a:ln>
              <a:headEnd type="none" w="med" len="med"/>
              <a:tailEnd type="arrow" w="med" len="med"/>
            </a:ln>
          </c:spPr>
          <c:marker>
            <c:symbol val="none"/>
          </c:marker>
          <c:xVal>
            <c:numRef>
              <c:f>(fr.num!$B$5,fr.num!$B$7)</c:f>
              <c:numCache>
                <c:formatCode>0.000</c:formatCode>
                <c:ptCount val="2"/>
                <c:pt idx="0">
                  <c:v>0.38</c:v>
                </c:pt>
                <c:pt idx="1">
                  <c:v>0.19500000000000001</c:v>
                </c:pt>
              </c:numCache>
            </c:numRef>
          </c:xVal>
          <c:yVal>
            <c:numRef>
              <c:f>(fr.num!$F$13,fr.num!$F$13)</c:f>
              <c:numCache>
                <c:formatCode>0.00</c:formatCode>
                <c:ptCount val="2"/>
                <c:pt idx="0">
                  <c:v>1.51</c:v>
                </c:pt>
                <c:pt idx="1">
                  <c:v>1.51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D9-4F74-A01A-05801698A516}"/>
            </c:ext>
          </c:extLst>
        </c:ser>
        <c:ser>
          <c:idx val="1"/>
          <c:order val="1"/>
          <c:tx>
            <c:v>falling rate</c:v>
          </c:tx>
          <c:spPr>
            <a:ln>
              <a:headEnd type="none" w="med" len="med"/>
              <a:tailEnd type="arrow" w="med" len="med"/>
            </a:ln>
          </c:spPr>
          <c:marker>
            <c:symbol val="none"/>
          </c:marker>
          <c:xVal>
            <c:numRef>
              <c:f>fr.num!$E$13:$E$18</c:f>
              <c:numCache>
                <c:formatCode>0.000</c:formatCode>
                <c:ptCount val="6"/>
                <c:pt idx="0">
                  <c:v>0.19500000000000001</c:v>
                </c:pt>
                <c:pt idx="1">
                  <c:v>0.15</c:v>
                </c:pt>
                <c:pt idx="2">
                  <c:v>0.1</c:v>
                </c:pt>
                <c:pt idx="3">
                  <c:v>6.5000000000000002E-2</c:v>
                </c:pt>
                <c:pt idx="4">
                  <c:v>0.05</c:v>
                </c:pt>
                <c:pt idx="5">
                  <c:v>0.04</c:v>
                </c:pt>
              </c:numCache>
            </c:numRef>
          </c:xVal>
          <c:yVal>
            <c:numRef>
              <c:f>fr.num!$F$13:$F$18</c:f>
              <c:numCache>
                <c:formatCode>0.00</c:formatCode>
                <c:ptCount val="6"/>
                <c:pt idx="0">
                  <c:v>1.51</c:v>
                </c:pt>
                <c:pt idx="1">
                  <c:v>1.21</c:v>
                </c:pt>
                <c:pt idx="2">
                  <c:v>0.9</c:v>
                </c:pt>
                <c:pt idx="3">
                  <c:v>0.71</c:v>
                </c:pt>
                <c:pt idx="4">
                  <c:v>0.37</c:v>
                </c:pt>
                <c:pt idx="5">
                  <c:v>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D9-4F74-A01A-05801698A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8768"/>
        <c:axId val="56770944"/>
      </c:scatterChart>
      <c:valAx>
        <c:axId val="567687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6770944"/>
        <c:crosses val="autoZero"/>
        <c:crossBetween val="midCat"/>
      </c:valAx>
      <c:valAx>
        <c:axId val="5677094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6768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97" footer="0.3149606200000019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</c:v>
          </c:tx>
          <c:xVal>
            <c:numRef>
              <c:f>fr.capilarity!$F$12:$F$22</c:f>
              <c:numCache>
                <c:formatCode>0.000</c:formatCode>
                <c:ptCount val="11"/>
                <c:pt idx="0">
                  <c:v>0.3</c:v>
                </c:pt>
                <c:pt idx="1">
                  <c:v>0.20481927710843376</c:v>
                </c:pt>
                <c:pt idx="2">
                  <c:v>0.2</c:v>
                </c:pt>
                <c:pt idx="3">
                  <c:v>0.14000000000000001</c:v>
                </c:pt>
                <c:pt idx="4">
                  <c:v>0.114</c:v>
                </c:pt>
                <c:pt idx="5">
                  <c:v>9.6000000000000002E-2</c:v>
                </c:pt>
                <c:pt idx="6">
                  <c:v>5.6000000000000001E-2</c:v>
                </c:pt>
                <c:pt idx="7">
                  <c:v>4.2000000000000003E-2</c:v>
                </c:pt>
                <c:pt idx="8">
                  <c:v>2.5999999999999999E-2</c:v>
                </c:pt>
                <c:pt idx="9">
                  <c:v>2.0408163265306124E-2</c:v>
                </c:pt>
                <c:pt idx="10">
                  <c:v>1.6E-2</c:v>
                </c:pt>
              </c:numCache>
            </c:numRef>
          </c:xVal>
          <c:yVal>
            <c:numRef>
              <c:f>fr.capilarity!$G$12:$G$22</c:f>
              <c:numCache>
                <c:formatCode>0.000</c:formatCode>
                <c:ptCount val="11"/>
                <c:pt idx="0">
                  <c:v>1.708</c:v>
                </c:pt>
                <c:pt idx="1">
                  <c:v>1.708</c:v>
                </c:pt>
                <c:pt idx="2">
                  <c:v>1.708</c:v>
                </c:pt>
                <c:pt idx="3">
                  <c:v>1.708</c:v>
                </c:pt>
                <c:pt idx="4">
                  <c:v>1.405</c:v>
                </c:pt>
                <c:pt idx="5">
                  <c:v>1.294</c:v>
                </c:pt>
                <c:pt idx="6">
                  <c:v>0.878</c:v>
                </c:pt>
                <c:pt idx="7">
                  <c:v>0.73199999999999998</c:v>
                </c:pt>
                <c:pt idx="8">
                  <c:v>0.53700000000000003</c:v>
                </c:pt>
                <c:pt idx="9">
                  <c:v>0.47257021827886514</c:v>
                </c:pt>
                <c:pt idx="10">
                  <c:v>0.36599999999999999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BF-40D9-978A-D6950F061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30848"/>
        <c:axId val="73632768"/>
      </c:scatterChart>
      <c:valAx>
        <c:axId val="736308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3632768"/>
        <c:crosses val="autoZero"/>
        <c:crossBetween val="midCat"/>
      </c:valAx>
      <c:valAx>
        <c:axId val="736327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3630848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</c:v>
          </c:tx>
          <c:xVal>
            <c:numRef>
              <c:f>fr.capilarity!$L$13:$L$22</c:f>
              <c:numCache>
                <c:formatCode>0.00</c:formatCode>
                <c:ptCount val="10"/>
                <c:pt idx="0">
                  <c:v>0</c:v>
                </c:pt>
                <c:pt idx="1">
                  <c:v>4.5954247767106174E-2</c:v>
                </c:pt>
                <c:pt idx="2">
                  <c:v>0.61808463246757694</c:v>
                </c:pt>
                <c:pt idx="3">
                  <c:v>0.89274115131032139</c:v>
                </c:pt>
                <c:pt idx="4">
                  <c:v>1.1103449248218711</c:v>
                </c:pt>
                <c:pt idx="5">
                  <c:v>1.7330646938958205</c:v>
                </c:pt>
                <c:pt idx="6">
                  <c:v>2.018659265200681</c:v>
                </c:pt>
                <c:pt idx="7">
                  <c:v>2.4392869670251613</c:v>
                </c:pt>
                <c:pt idx="8">
                  <c:v>2.6204426707112809</c:v>
                </c:pt>
                <c:pt idx="9">
                  <c:v>2.7944835644178982</c:v>
                </c:pt>
              </c:numCache>
            </c:numRef>
          </c:xVal>
          <c:yVal>
            <c:numRef>
              <c:f>fr.capilarity!$G$13:$G$22</c:f>
              <c:numCache>
                <c:formatCode>0.000</c:formatCode>
                <c:ptCount val="10"/>
                <c:pt idx="0">
                  <c:v>1.708</c:v>
                </c:pt>
                <c:pt idx="1">
                  <c:v>1.708</c:v>
                </c:pt>
                <c:pt idx="2">
                  <c:v>1.708</c:v>
                </c:pt>
                <c:pt idx="3">
                  <c:v>1.405</c:v>
                </c:pt>
                <c:pt idx="4">
                  <c:v>1.294</c:v>
                </c:pt>
                <c:pt idx="5">
                  <c:v>0.878</c:v>
                </c:pt>
                <c:pt idx="6">
                  <c:v>0.73199999999999998</c:v>
                </c:pt>
                <c:pt idx="7">
                  <c:v>0.53700000000000003</c:v>
                </c:pt>
                <c:pt idx="8">
                  <c:v>0.47257021827886514</c:v>
                </c:pt>
                <c:pt idx="9">
                  <c:v>0.36599999999999999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D5-4192-8FBA-BD552D161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6576"/>
        <c:axId val="73687424"/>
      </c:scatterChart>
      <c:valAx>
        <c:axId val="73656576"/>
        <c:scaling>
          <c:orientation val="minMax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(h)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3687424"/>
        <c:crosses val="autoZero"/>
        <c:crossBetween val="midCat"/>
      </c:valAx>
      <c:valAx>
        <c:axId val="736874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3656576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ln(X/Xc)</c:v>
          </c:tx>
          <c:xVal>
            <c:numRef>
              <c:f>dif.coef!$B$6:$B$13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0.27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0.94</c:v>
                </c:pt>
                <c:pt idx="7">
                  <c:v>1.07</c:v>
                </c:pt>
              </c:numCache>
            </c:numRef>
          </c:xVal>
          <c:yVal>
            <c:numRef>
              <c:f>dif.coef!$D$6:$D$13</c:f>
              <c:numCache>
                <c:formatCode>General</c:formatCode>
                <c:ptCount val="8"/>
                <c:pt idx="0">
                  <c:v>0</c:v>
                </c:pt>
                <c:pt idx="1">
                  <c:v>-0.22314355131420971</c:v>
                </c:pt>
                <c:pt idx="2">
                  <c:v>-0.46203545959655867</c:v>
                </c:pt>
                <c:pt idx="3">
                  <c:v>-0.59783700075562041</c:v>
                </c:pt>
                <c:pt idx="4">
                  <c:v>-0.916290731874155</c:v>
                </c:pt>
                <c:pt idx="5">
                  <c:v>-1.2039728043259361</c:v>
                </c:pt>
                <c:pt idx="6">
                  <c:v>-1.4696759700589417</c:v>
                </c:pt>
                <c:pt idx="7">
                  <c:v>-1.7147984280919266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65-4CD7-9996-8323742B8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74208"/>
        <c:axId val="73776128"/>
      </c:scatterChart>
      <c:valAx>
        <c:axId val="737742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(h)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high"/>
        <c:crossAx val="73776128"/>
        <c:crosses val="autoZero"/>
        <c:crossBetween val="midCat"/>
      </c:valAx>
      <c:valAx>
        <c:axId val="737761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ln(X/Xc)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74208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213" footer="0.3149606200000021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DL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4"/>
                </a:solidFill>
                <a:prstDash val="solid"/>
              </a:ln>
              <a:effectLst/>
            </c:spPr>
          </c:marker>
          <c:xVal>
            <c:numRef>
              <c:f>dif.coef!$B$7:$B$13</c:f>
              <c:numCache>
                <c:formatCode>0.00</c:formatCode>
                <c:ptCount val="7"/>
                <c:pt idx="0">
                  <c:v>0.15</c:v>
                </c:pt>
                <c:pt idx="1">
                  <c:v>0.27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0.94</c:v>
                </c:pt>
                <c:pt idx="6">
                  <c:v>1.07</c:v>
                </c:pt>
              </c:numCache>
            </c:numRef>
          </c:xVal>
          <c:yVal>
            <c:numRef>
              <c:f>dif.coef!$F$7:$F$13</c:f>
              <c:numCache>
                <c:formatCode>General</c:formatCode>
                <c:ptCount val="7"/>
                <c:pt idx="0">
                  <c:v>2.3333333333333335E-9</c:v>
                </c:pt>
                <c:pt idx="1">
                  <c:v>1.2962962962962963E-9</c:v>
                </c:pt>
                <c:pt idx="2">
                  <c:v>8.7500000000000018E-10</c:v>
                </c:pt>
                <c:pt idx="3">
                  <c:v>5.8333333333333339E-10</c:v>
                </c:pt>
                <c:pt idx="4">
                  <c:v>4.3750000000000009E-10</c:v>
                </c:pt>
                <c:pt idx="5">
                  <c:v>3.7234042553191494E-10</c:v>
                </c:pt>
                <c:pt idx="6">
                  <c:v>3.2710280373831782E-10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6A-417D-861B-18C287C7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87264"/>
        <c:axId val="73802112"/>
      </c:scatterChart>
      <c:valAx>
        <c:axId val="737872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(h)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3802112"/>
        <c:crosses val="autoZero"/>
        <c:crossBetween val="midCat"/>
      </c:valAx>
      <c:valAx>
        <c:axId val="7380211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DL (m²/h)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87264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213" footer="0.3149606200000021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1</xdr:row>
      <xdr:rowOff>19050</xdr:rowOff>
    </xdr:from>
    <xdr:to>
      <xdr:col>19</xdr:col>
      <xdr:colOff>600075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342902</xdr:colOff>
      <xdr:row>13</xdr:row>
      <xdr:rowOff>190499</xdr:rowOff>
    </xdr:from>
    <xdr:to>
      <xdr:col>3</xdr:col>
      <xdr:colOff>148216</xdr:colOff>
      <xdr:row>18</xdr:row>
      <xdr:rowOff>19050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0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contrast="5000"/>
        </a:blip>
        <a:srcRect/>
        <a:stretch>
          <a:fillRect/>
        </a:stretch>
      </xdr:blipFill>
      <xdr:spPr bwMode="auto">
        <a:xfrm>
          <a:off x="342902" y="2666999"/>
          <a:ext cx="1634114" cy="78105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0</xdr:row>
      <xdr:rowOff>142875</xdr:rowOff>
    </xdr:from>
    <xdr:to>
      <xdr:col>19</xdr:col>
      <xdr:colOff>123825</xdr:colOff>
      <xdr:row>14</xdr:row>
      <xdr:rowOff>12819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257175</xdr:colOff>
      <xdr:row>15</xdr:row>
      <xdr:rowOff>9525</xdr:rowOff>
    </xdr:from>
    <xdr:to>
      <xdr:col>19</xdr:col>
      <xdr:colOff>133350</xdr:colOff>
      <xdr:row>28</xdr:row>
      <xdr:rowOff>83720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209549</xdr:colOff>
      <xdr:row>9</xdr:row>
      <xdr:rowOff>187167</xdr:rowOff>
    </xdr:from>
    <xdr:to>
      <xdr:col>3</xdr:col>
      <xdr:colOff>152400</xdr:colOff>
      <xdr:row>13</xdr:row>
      <xdr:rowOff>169474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lum contrast="5000"/>
        </a:blip>
        <a:srcRect b="9534"/>
        <a:stretch>
          <a:fillRect/>
        </a:stretch>
      </xdr:blipFill>
      <xdr:spPr bwMode="auto">
        <a:xfrm>
          <a:off x="209549" y="1901667"/>
          <a:ext cx="1771651" cy="744307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315060</xdr:colOff>
      <xdr:row>12</xdr:row>
      <xdr:rowOff>180975</xdr:rowOff>
    </xdr:from>
    <xdr:to>
      <xdr:col>3</xdr:col>
      <xdr:colOff>447675</xdr:colOff>
      <xdr:row>17</xdr:row>
      <xdr:rowOff>8372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5000"/>
        </a:blip>
        <a:srcRect b="5069"/>
        <a:stretch>
          <a:fillRect/>
        </a:stretch>
      </xdr:blipFill>
      <xdr:spPr bwMode="auto">
        <a:xfrm>
          <a:off x="315060" y="2466975"/>
          <a:ext cx="1951890" cy="779897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190500</xdr:colOff>
      <xdr:row>13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19</xdr:col>
      <xdr:colOff>190500</xdr:colOff>
      <xdr:row>13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18</xdr:row>
      <xdr:rowOff>0</xdr:rowOff>
    </xdr:from>
    <xdr:to>
      <xdr:col>4</xdr:col>
      <xdr:colOff>95250</xdr:colOff>
      <xdr:row>22</xdr:row>
      <xdr:rowOff>24880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lum contrast="5000"/>
        </a:blip>
        <a:srcRect/>
        <a:stretch>
          <a:fillRect/>
        </a:stretch>
      </xdr:blipFill>
      <xdr:spPr bwMode="auto">
        <a:xfrm>
          <a:off x="609600" y="3429000"/>
          <a:ext cx="1924050" cy="78688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secagem_geankoplis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dry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eat_exchanger_shell_tub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drying_other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_energy_bal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6-3"/>
      <sheetName val="9.7-1"/>
      <sheetName val="9.8-1"/>
      <sheetName val="9.9-2"/>
    </sheetNames>
    <sheetDataSet>
      <sheetData sheetId="0" refreshError="1"/>
      <sheetData sheetId="1">
        <row r="2">
          <cell r="B2">
            <v>399</v>
          </cell>
        </row>
        <row r="3">
          <cell r="B3">
            <v>18.579999999999998</v>
          </cell>
        </row>
        <row r="4">
          <cell r="B4">
            <v>0.38</v>
          </cell>
          <cell r="D4">
            <v>0.38</v>
          </cell>
          <cell r="E4">
            <v>0.19500000000000001</v>
          </cell>
          <cell r="F4">
            <v>2.631006779346873</v>
          </cell>
        </row>
        <row r="6">
          <cell r="B6">
            <v>0.19500000000000001</v>
          </cell>
        </row>
        <row r="7">
          <cell r="B7">
            <v>1.51</v>
          </cell>
        </row>
      </sheetData>
      <sheetData sheetId="2" refreshError="1"/>
      <sheetData sheetId="3">
        <row r="13">
          <cell r="B13">
            <v>-1.5691618094779027</v>
          </cell>
        </row>
        <row r="14">
          <cell r="B14">
            <v>6.2252247997270811E-3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.upper"/>
      <sheetName val="cr.both"/>
      <sheetName val="qc"/>
      <sheetName val="qc+qr+qk"/>
      <sheetName val="EB"/>
      <sheetName val="TCD"/>
    </sheetNames>
    <sheetDataSet>
      <sheetData sheetId="0"/>
      <sheetData sheetId="1"/>
      <sheetData sheetId="2"/>
      <sheetData sheetId="3"/>
      <sheetData sheetId="4">
        <row r="3">
          <cell r="B3">
            <v>453.6</v>
          </cell>
        </row>
        <row r="4">
          <cell r="B4">
            <v>0.04</v>
          </cell>
          <cell r="F4">
            <v>43.587216000000005</v>
          </cell>
        </row>
        <row r="5">
          <cell r="B5">
            <v>2E-3</v>
          </cell>
          <cell r="F5">
            <v>92.527887199999995</v>
          </cell>
        </row>
        <row r="6">
          <cell r="B6">
            <v>1.4650000000000001</v>
          </cell>
        </row>
        <row r="7">
          <cell r="B7">
            <v>26.7</v>
          </cell>
        </row>
        <row r="8">
          <cell r="B8">
            <v>62.8</v>
          </cell>
        </row>
        <row r="9">
          <cell r="B9">
            <v>4.1870000000000003</v>
          </cell>
        </row>
        <row r="11">
          <cell r="B11">
            <v>1170.9360677458844</v>
          </cell>
        </row>
        <row r="12">
          <cell r="B12">
            <v>0.01</v>
          </cell>
          <cell r="F12">
            <v>120.53053999999999</v>
          </cell>
        </row>
        <row r="13">
          <cell r="B13">
            <v>2.4720530415620192E-2</v>
          </cell>
          <cell r="F13">
            <v>101.57178634292174</v>
          </cell>
        </row>
        <row r="14">
          <cell r="B14">
            <v>1.0237999999999998</v>
          </cell>
        </row>
        <row r="15">
          <cell r="B15">
            <v>1.0514745971813659</v>
          </cell>
        </row>
        <row r="16">
          <cell r="B16">
            <v>93.3</v>
          </cell>
        </row>
        <row r="17">
          <cell r="B17">
            <v>37.799999999999997</v>
          </cell>
        </row>
        <row r="18">
          <cell r="B18">
            <v>2501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"/>
      <sheetName val="Main"/>
      <sheetName val="Credits"/>
    </sheetNames>
    <sheetDataSet>
      <sheetData sheetId="0"/>
      <sheetData sheetId="1">
        <row r="3">
          <cell r="C3">
            <v>1000</v>
          </cell>
          <cell r="J3">
            <v>1</v>
          </cell>
          <cell r="M3">
            <v>1E-3</v>
          </cell>
          <cell r="P3">
            <v>2E-3</v>
          </cell>
          <cell r="T3">
            <v>3.0000000000000001E-3</v>
          </cell>
        </row>
        <row r="4">
          <cell r="C4">
            <v>50000</v>
          </cell>
          <cell r="F4">
            <v>30000</v>
          </cell>
          <cell r="J4">
            <v>0</v>
          </cell>
          <cell r="M4">
            <v>4.9000000000000002E-2</v>
          </cell>
          <cell r="P4">
            <v>1.7709999999999999</v>
          </cell>
          <cell r="T4">
            <v>6.0646282310958775E-2</v>
          </cell>
        </row>
        <row r="5">
          <cell r="M5">
            <v>6.2E-2</v>
          </cell>
          <cell r="T5">
            <v>0.5</v>
          </cell>
        </row>
        <row r="6">
          <cell r="M6">
            <v>302</v>
          </cell>
          <cell r="P6">
            <v>2</v>
          </cell>
        </row>
        <row r="7">
          <cell r="C7">
            <v>80</v>
          </cell>
          <cell r="F7">
            <v>150</v>
          </cell>
          <cell r="M7">
            <v>16</v>
          </cell>
          <cell r="P7">
            <v>8.3333333333333329E-2</v>
          </cell>
        </row>
        <row r="8">
          <cell r="C8">
            <v>110</v>
          </cell>
          <cell r="F8">
            <v>100</v>
          </cell>
          <cell r="M8">
            <v>1.8857409903172736E-3</v>
          </cell>
          <cell r="P8">
            <v>0.41666666666666669</v>
          </cell>
        </row>
        <row r="9">
          <cell r="C9">
            <v>95</v>
          </cell>
          <cell r="F9">
            <v>125</v>
          </cell>
        </row>
        <row r="10">
          <cell r="C10">
            <v>20</v>
          </cell>
          <cell r="F10">
            <v>40</v>
          </cell>
          <cell r="J10">
            <v>28.85390081777927</v>
          </cell>
          <cell r="M10">
            <v>0.28474688953790833</v>
          </cell>
          <cell r="P10">
            <v>0.18890666666666664</v>
          </cell>
          <cell r="T10">
            <v>53.63421738491585</v>
          </cell>
        </row>
        <row r="11">
          <cell r="M11">
            <v>50000</v>
          </cell>
          <cell r="P11">
            <v>30000</v>
          </cell>
        </row>
        <row r="12">
          <cell r="J12">
            <v>1500000</v>
          </cell>
          <cell r="M12">
            <v>1</v>
          </cell>
          <cell r="P12">
            <v>1</v>
          </cell>
        </row>
        <row r="13">
          <cell r="C13">
            <v>1</v>
          </cell>
          <cell r="F13">
            <v>1</v>
          </cell>
          <cell r="J13">
            <v>1.6666666666666667</v>
          </cell>
          <cell r="M13">
            <v>1</v>
          </cell>
          <cell r="P13">
            <v>1</v>
          </cell>
          <cell r="T13">
            <v>2416</v>
          </cell>
        </row>
        <row r="14">
          <cell r="C14">
            <v>1</v>
          </cell>
          <cell r="F14">
            <v>1</v>
          </cell>
          <cell r="J14">
            <v>0.42857142857142855</v>
          </cell>
          <cell r="M14">
            <v>0.5</v>
          </cell>
          <cell r="P14">
            <v>0.5</v>
          </cell>
          <cell r="T14">
            <v>45.234431657646972</v>
          </cell>
        </row>
        <row r="15">
          <cell r="C15">
            <v>0.5</v>
          </cell>
          <cell r="F15">
            <v>0.5</v>
          </cell>
          <cell r="J15">
            <v>0.47568631394831673</v>
          </cell>
          <cell r="M15">
            <v>50</v>
          </cell>
          <cell r="P15">
            <v>60</v>
          </cell>
        </row>
        <row r="16">
          <cell r="C16">
            <v>50</v>
          </cell>
          <cell r="F16">
            <v>60</v>
          </cell>
          <cell r="J16">
            <v>13.725405723039742</v>
          </cell>
        </row>
        <row r="17">
          <cell r="M17">
            <v>175594.54321394264</v>
          </cell>
          <cell r="P17">
            <v>158808.58272162621</v>
          </cell>
        </row>
        <row r="18">
          <cell r="M18">
            <v>7113.5332354591528</v>
          </cell>
          <cell r="P18">
            <v>7962.6279220147308</v>
          </cell>
        </row>
        <row r="19">
          <cell r="M19">
            <v>0.5</v>
          </cell>
          <cell r="P19">
            <v>0.5</v>
          </cell>
        </row>
        <row r="21">
          <cell r="M21">
            <v>110.83699065378759</v>
          </cell>
          <cell r="P21">
            <v>138.33373387774068</v>
          </cell>
        </row>
        <row r="22">
          <cell r="M22">
            <v>87.596976484445037</v>
          </cell>
        </row>
        <row r="23">
          <cell r="M23">
            <v>0.5</v>
          </cell>
          <cell r="P23">
            <v>0.5</v>
          </cell>
        </row>
        <row r="24">
          <cell r="M24">
            <v>1</v>
          </cell>
          <cell r="P24">
            <v>1</v>
          </cell>
        </row>
        <row r="25">
          <cell r="M25">
            <v>87.596976484445037</v>
          </cell>
          <cell r="P25">
            <v>138.33373387774068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"/>
      <sheetName val="TCD"/>
    </sheetNames>
    <sheetDataSet>
      <sheetData sheetId="0">
        <row r="2">
          <cell r="B2">
            <v>453.6</v>
          </cell>
        </row>
        <row r="5">
          <cell r="B5">
            <v>1.4650000000000001</v>
          </cell>
        </row>
        <row r="6">
          <cell r="B6">
            <v>26.7</v>
          </cell>
          <cell r="F6">
            <v>43.587216000000005</v>
          </cell>
        </row>
        <row r="7">
          <cell r="B7">
            <v>62.8</v>
          </cell>
          <cell r="F7">
            <v>92.527887199999995</v>
          </cell>
        </row>
        <row r="8">
          <cell r="B8">
            <v>4.1870000000000003</v>
          </cell>
        </row>
        <row r="10">
          <cell r="B10">
            <v>1170.9360677458844</v>
          </cell>
        </row>
        <row r="11">
          <cell r="B11">
            <v>0.01</v>
          </cell>
        </row>
        <row r="12">
          <cell r="B12">
            <v>2.4720530415620192E-2</v>
          </cell>
        </row>
        <row r="13">
          <cell r="B13">
            <v>1.0237999999999998</v>
          </cell>
        </row>
        <row r="14">
          <cell r="B14">
            <v>1.0514745971813659</v>
          </cell>
        </row>
        <row r="15">
          <cell r="B15">
            <v>93.3</v>
          </cell>
          <cell r="F15">
            <v>120.53053999999999</v>
          </cell>
        </row>
        <row r="16">
          <cell r="B16">
            <v>37.799999999999997</v>
          </cell>
          <cell r="F16">
            <v>101.57178634292174</v>
          </cell>
        </row>
        <row r="17">
          <cell r="B17">
            <v>2501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Balance"/>
      <sheetName val="Credits"/>
    </sheetNames>
    <sheetDataSet>
      <sheetData sheetId="0">
        <row r="9">
          <cell r="B9">
            <v>4.1870000000000003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showGridLines="0" tabSelected="1" workbookViewId="0">
      <selection activeCell="H3" sqref="H3"/>
    </sheetView>
  </sheetViews>
  <sheetFormatPr defaultRowHeight="15" x14ac:dyDescent="0.25"/>
  <sheetData>
    <row r="1" spans="1:13" x14ac:dyDescent="0.25">
      <c r="A1" s="46" t="s">
        <v>57</v>
      </c>
      <c r="B1" s="46"/>
    </row>
    <row r="2" spans="1:13" x14ac:dyDescent="0.25">
      <c r="A2" s="5" t="s">
        <v>18</v>
      </c>
      <c r="B2" s="36">
        <v>400</v>
      </c>
      <c r="C2" t="s">
        <v>17</v>
      </c>
      <c r="E2" s="47" t="s">
        <v>59</v>
      </c>
      <c r="F2" s="47"/>
    </row>
    <row r="3" spans="1:13" x14ac:dyDescent="0.25">
      <c r="A3" s="5" t="s">
        <v>15</v>
      </c>
      <c r="B3" s="36">
        <v>18.600000000000001</v>
      </c>
      <c r="C3" t="s">
        <v>14</v>
      </c>
      <c r="E3" s="48" t="s">
        <v>62</v>
      </c>
      <c r="F3" s="48"/>
    </row>
    <row r="4" spans="1:13" x14ac:dyDescent="0.25">
      <c r="A4" s="25" t="s">
        <v>31</v>
      </c>
      <c r="B4" s="27">
        <f>ms/A</f>
        <v>21.50537634408602</v>
      </c>
      <c r="C4" t="s">
        <v>30</v>
      </c>
    </row>
    <row r="5" spans="1:13" x14ac:dyDescent="0.25">
      <c r="A5" s="5" t="s">
        <v>12</v>
      </c>
      <c r="B5" s="37">
        <v>0.38</v>
      </c>
      <c r="C5" t="s">
        <v>55</v>
      </c>
    </row>
    <row r="6" spans="1:13" x14ac:dyDescent="0.25">
      <c r="A6" s="5" t="s">
        <v>11</v>
      </c>
      <c r="B6" s="37">
        <v>0.04</v>
      </c>
      <c r="C6" t="s">
        <v>55</v>
      </c>
      <c r="E6" s="19" t="s">
        <v>16</v>
      </c>
      <c r="H6" s="19" t="s">
        <v>52</v>
      </c>
      <c r="K6" s="19" t="s">
        <v>2</v>
      </c>
    </row>
    <row r="7" spans="1:13" x14ac:dyDescent="0.25">
      <c r="A7" s="5" t="s">
        <v>10</v>
      </c>
      <c r="B7" s="37">
        <v>0.19500000000000001</v>
      </c>
      <c r="C7" t="s">
        <v>55</v>
      </c>
      <c r="E7" s="9" t="s">
        <v>13</v>
      </c>
      <c r="F7" s="31">
        <f>(ms/(A*Rc_))*(Xi-Xc)</f>
        <v>2.6347646514277572</v>
      </c>
      <c r="G7" t="s">
        <v>0</v>
      </c>
      <c r="H7" s="9" t="s">
        <v>19</v>
      </c>
      <c r="I7" s="31">
        <f>I18</f>
        <v>4.0622075855682027</v>
      </c>
      <c r="J7" t="s">
        <v>0</v>
      </c>
      <c r="K7" s="2" t="s">
        <v>1</v>
      </c>
      <c r="L7" s="1">
        <f>tc+I18</f>
        <v>4.0622075855682027</v>
      </c>
      <c r="M7" t="s">
        <v>0</v>
      </c>
    </row>
    <row r="8" spans="1:13" x14ac:dyDescent="0.25">
      <c r="A8" s="5" t="s">
        <v>8</v>
      </c>
      <c r="B8" s="37">
        <v>1.51</v>
      </c>
      <c r="C8" t="s">
        <v>7</v>
      </c>
    </row>
    <row r="11" spans="1:13" x14ac:dyDescent="0.25">
      <c r="E11" s="19" t="s">
        <v>9</v>
      </c>
    </row>
    <row r="12" spans="1:13" x14ac:dyDescent="0.25">
      <c r="E12" s="5" t="s">
        <v>6</v>
      </c>
      <c r="F12" s="5" t="s">
        <v>5</v>
      </c>
      <c r="G12" s="33" t="s">
        <v>4</v>
      </c>
      <c r="H12" s="33" t="s">
        <v>3</v>
      </c>
      <c r="I12" s="33" t="s">
        <v>1</v>
      </c>
    </row>
    <row r="13" spans="1:13" x14ac:dyDescent="0.25">
      <c r="D13" s="15" t="s">
        <v>10</v>
      </c>
      <c r="E13" s="37">
        <f>Xc</f>
        <v>0.19500000000000001</v>
      </c>
      <c r="F13" s="38">
        <v>1.51</v>
      </c>
      <c r="G13" s="4">
        <f t="shared" ref="G13:G18" si="0">1/F13</f>
        <v>0.66225165562913912</v>
      </c>
      <c r="H13" s="4">
        <v>0</v>
      </c>
      <c r="I13" s="29">
        <f t="shared" ref="I13:I18" si="1">B$4*H13</f>
        <v>0</v>
      </c>
    </row>
    <row r="14" spans="1:13" x14ac:dyDescent="0.25">
      <c r="E14" s="37">
        <v>0.15</v>
      </c>
      <c r="F14" s="38">
        <v>1.21</v>
      </c>
      <c r="G14" s="4">
        <f t="shared" si="0"/>
        <v>0.82644628099173556</v>
      </c>
      <c r="H14" s="4">
        <f>(G13+G14)*(E13-E14)/2</f>
        <v>3.3495703573969693E-2</v>
      </c>
      <c r="I14" s="29">
        <f t="shared" si="1"/>
        <v>0.72033771126816537</v>
      </c>
    </row>
    <row r="15" spans="1:13" x14ac:dyDescent="0.25">
      <c r="E15" s="37">
        <v>0.1</v>
      </c>
      <c r="F15" s="38">
        <v>0.9</v>
      </c>
      <c r="G15" s="4">
        <f t="shared" si="0"/>
        <v>1.1111111111111112</v>
      </c>
      <c r="H15" s="4">
        <f>H14+(G14+G15)*(E14-E15)/2</f>
        <v>8.1934638376540844E-2</v>
      </c>
      <c r="I15" s="29">
        <f t="shared" si="1"/>
        <v>1.7620352339041041</v>
      </c>
    </row>
    <row r="16" spans="1:13" x14ac:dyDescent="0.25">
      <c r="E16" s="37">
        <v>6.5000000000000002E-2</v>
      </c>
      <c r="F16" s="38">
        <v>0.71</v>
      </c>
      <c r="G16" s="4">
        <f t="shared" si="0"/>
        <v>1.4084507042253522</v>
      </c>
      <c r="H16" s="4">
        <f>H15+(G15+G16)*(E15-E16)/2</f>
        <v>0.12602697014492897</v>
      </c>
      <c r="I16" s="29">
        <f t="shared" si="1"/>
        <v>2.7102574224715905</v>
      </c>
    </row>
    <row r="17" spans="5:9" x14ac:dyDescent="0.25">
      <c r="E17" s="37">
        <v>0.05</v>
      </c>
      <c r="F17" s="38">
        <v>0.37</v>
      </c>
      <c r="G17" s="4">
        <f t="shared" si="0"/>
        <v>2.7027027027027026</v>
      </c>
      <c r="H17" s="4">
        <f>H16+(G16+G17)*(E16-E17)/2</f>
        <v>0.15686062069688939</v>
      </c>
      <c r="I17" s="29">
        <f t="shared" si="1"/>
        <v>3.3733466816535351</v>
      </c>
    </row>
    <row r="18" spans="5:9" x14ac:dyDescent="0.25">
      <c r="E18" s="37">
        <v>0.04</v>
      </c>
      <c r="F18" s="38">
        <v>0.27</v>
      </c>
      <c r="G18" s="4">
        <f t="shared" si="0"/>
        <v>3.7037037037037033</v>
      </c>
      <c r="H18" s="3">
        <f>H17+(G17+G18)*(E17-E18)/2</f>
        <v>0.18889265272892142</v>
      </c>
      <c r="I18" s="28">
        <f t="shared" si="1"/>
        <v>4.0622075855682027</v>
      </c>
    </row>
  </sheetData>
  <sheetProtection algorithmName="SHA-512" hashValue="tAQRc33ZdA75eKdM8eaqHXlNjEEV1wwVwgTF+Ipoq7NXSqoH2tiYVJiK4j5+m2kwtR0eQ30n+CvrGWusRSV00w==" saltValue="eCm1rQTv1urfO4cuYl4W9Q==" spinCount="100000" sheet="1" objects="1" scenarios="1"/>
  <mergeCells count="3">
    <mergeCell ref="A1:B1"/>
    <mergeCell ref="E2:F2"/>
    <mergeCell ref="E3:F3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L4" sqref="L4"/>
    </sheetView>
  </sheetViews>
  <sheetFormatPr defaultRowHeight="15" x14ac:dyDescent="0.25"/>
  <sheetData>
    <row r="1" spans="1:13" x14ac:dyDescent="0.25">
      <c r="A1" s="46" t="s">
        <v>57</v>
      </c>
      <c r="B1" s="46"/>
    </row>
    <row r="2" spans="1:13" x14ac:dyDescent="0.25">
      <c r="A2" s="11" t="s">
        <v>18</v>
      </c>
      <c r="B2" s="36">
        <v>1500</v>
      </c>
      <c r="C2" t="s">
        <v>17</v>
      </c>
      <c r="H2" s="47" t="s">
        <v>60</v>
      </c>
      <c r="I2" s="47"/>
    </row>
    <row r="3" spans="1:13" x14ac:dyDescent="0.25">
      <c r="A3" s="11" t="s">
        <v>39</v>
      </c>
      <c r="B3" s="39">
        <v>6.1400000000000003E-2</v>
      </c>
      <c r="C3" t="s">
        <v>50</v>
      </c>
      <c r="H3" s="49" t="s">
        <v>59</v>
      </c>
      <c r="I3" s="49"/>
    </row>
    <row r="4" spans="1:13" x14ac:dyDescent="0.25">
      <c r="A4" s="24" t="s">
        <v>15</v>
      </c>
      <c r="B4" s="27">
        <f>B3*B2</f>
        <v>92.100000000000009</v>
      </c>
      <c r="C4" t="s">
        <v>14</v>
      </c>
      <c r="H4" s="48" t="s">
        <v>62</v>
      </c>
      <c r="I4" s="48"/>
    </row>
    <row r="5" spans="1:13" x14ac:dyDescent="0.25">
      <c r="A5" s="11" t="s">
        <v>37</v>
      </c>
      <c r="B5" s="40">
        <v>0.17</v>
      </c>
      <c r="C5" t="s">
        <v>56</v>
      </c>
    </row>
    <row r="6" spans="1:13" x14ac:dyDescent="0.25">
      <c r="A6" s="11" t="s">
        <v>36</v>
      </c>
      <c r="B6" s="40">
        <v>0.02</v>
      </c>
      <c r="C6" t="s">
        <v>56</v>
      </c>
    </row>
    <row r="7" spans="1:13" x14ac:dyDescent="0.25">
      <c r="A7" s="17" t="s">
        <v>21</v>
      </c>
      <c r="B7" s="16">
        <f>B5/(1-B5)</f>
        <v>0.20481927710843376</v>
      </c>
      <c r="C7" t="s">
        <v>55</v>
      </c>
      <c r="E7" s="19" t="s">
        <v>16</v>
      </c>
      <c r="H7" s="19" t="s">
        <v>34</v>
      </c>
      <c r="K7" s="19" t="s">
        <v>2</v>
      </c>
    </row>
    <row r="8" spans="1:13" x14ac:dyDescent="0.25">
      <c r="A8" s="9" t="s">
        <v>11</v>
      </c>
      <c r="B8" s="16">
        <f>B6/(1-B6)</f>
        <v>2.0408163265306124E-2</v>
      </c>
      <c r="C8" t="s">
        <v>55</v>
      </c>
      <c r="E8" s="9" t="s">
        <v>13</v>
      </c>
      <c r="F8" s="32">
        <f>(B2/B4)*(Xo-F15)/G15</f>
        <v>0.61808463246757694</v>
      </c>
      <c r="G8" t="s">
        <v>0</v>
      </c>
      <c r="H8" s="9" t="s">
        <v>19</v>
      </c>
      <c r="I8" s="32">
        <f>(B2*(F15-F21)/(B4*(G15-H21))*LN(G15/H21))</f>
        <v>2.0257308085282588</v>
      </c>
      <c r="J8" t="s">
        <v>0</v>
      </c>
      <c r="K8" s="9" t="s">
        <v>1</v>
      </c>
      <c r="L8" s="8">
        <f>F8+I8</f>
        <v>2.6438154409958359</v>
      </c>
      <c r="M8" t="s">
        <v>0</v>
      </c>
    </row>
    <row r="11" spans="1:13" x14ac:dyDescent="0.25">
      <c r="F11" s="11" t="s">
        <v>6</v>
      </c>
      <c r="G11" s="20" t="s">
        <v>5</v>
      </c>
      <c r="H11" s="7" t="s">
        <v>43</v>
      </c>
      <c r="I11" s="7" t="s">
        <v>42</v>
      </c>
      <c r="J11" s="34" t="s">
        <v>41</v>
      </c>
      <c r="K11" s="34" t="s">
        <v>40</v>
      </c>
      <c r="L11" s="34" t="s">
        <v>1</v>
      </c>
    </row>
    <row r="12" spans="1:13" x14ac:dyDescent="0.25">
      <c r="F12" s="40">
        <v>0.3</v>
      </c>
      <c r="G12" s="40">
        <v>1.708</v>
      </c>
      <c r="H12" s="7" t="s">
        <v>38</v>
      </c>
      <c r="I12" s="7" t="s">
        <v>38</v>
      </c>
      <c r="J12" s="7" t="s">
        <v>38</v>
      </c>
      <c r="K12" s="7" t="s">
        <v>38</v>
      </c>
      <c r="L12" s="18" t="s">
        <v>38</v>
      </c>
    </row>
    <row r="13" spans="1:13" x14ac:dyDescent="0.25">
      <c r="E13" s="15" t="s">
        <v>21</v>
      </c>
      <c r="F13" s="41">
        <f>Xo</f>
        <v>0.20481927710843376</v>
      </c>
      <c r="G13" s="41">
        <v>1.708</v>
      </c>
      <c r="H13" s="7" t="s">
        <v>38</v>
      </c>
      <c r="I13" s="7" t="s">
        <v>38</v>
      </c>
      <c r="J13" s="7" t="s">
        <v>38</v>
      </c>
      <c r="K13" s="7" t="s">
        <v>38</v>
      </c>
      <c r="L13" s="12">
        <v>0</v>
      </c>
    </row>
    <row r="14" spans="1:13" x14ac:dyDescent="0.25">
      <c r="F14" s="40">
        <v>0.2</v>
      </c>
      <c r="G14" s="40">
        <v>1.708</v>
      </c>
      <c r="H14" s="7" t="s">
        <v>38</v>
      </c>
      <c r="I14" s="7" t="s">
        <v>38</v>
      </c>
      <c r="J14" s="7" t="s">
        <v>38</v>
      </c>
      <c r="K14" s="7" t="s">
        <v>38</v>
      </c>
      <c r="L14" s="18">
        <f>(B2/B4)*(F13-F14)/G14</f>
        <v>4.5954247767106174E-2</v>
      </c>
    </row>
    <row r="15" spans="1:13" x14ac:dyDescent="0.25">
      <c r="E15" s="15" t="s">
        <v>10</v>
      </c>
      <c r="F15" s="40">
        <v>0.14000000000000001</v>
      </c>
      <c r="G15" s="40">
        <v>1.708</v>
      </c>
      <c r="H15" s="7">
        <f t="shared" ref="H15:H20" si="0">A.*F15+B.</f>
        <v>1.7169187491749973</v>
      </c>
      <c r="I15" s="7">
        <f t="shared" ref="I15:I20" si="1">(H15-G15)^2</f>
        <v>7.9544086846515977E-5</v>
      </c>
      <c r="J15" s="7">
        <f t="shared" ref="J15:J20" si="2">1/G15</f>
        <v>0.58548009367681497</v>
      </c>
      <c r="K15" s="7">
        <v>0</v>
      </c>
      <c r="L15" s="18">
        <f>(B2/B4)*(Xo-F15)/G15</f>
        <v>0.61808463246757694</v>
      </c>
    </row>
    <row r="16" spans="1:13" x14ac:dyDescent="0.25">
      <c r="F16" s="40">
        <v>0.114</v>
      </c>
      <c r="G16" s="40">
        <v>1.405</v>
      </c>
      <c r="H16" s="7">
        <f t="shared" si="0"/>
        <v>1.4463897340962135</v>
      </c>
      <c r="I16" s="7">
        <f t="shared" si="1"/>
        <v>1.7131100885552579E-3</v>
      </c>
      <c r="J16" s="7">
        <f t="shared" si="2"/>
        <v>0.71174377224199292</v>
      </c>
      <c r="K16" s="7">
        <f t="shared" ref="K16:K22" si="3">K15+(J16+J15)*(F15-F16)/2</f>
        <v>1.686391025694451E-2</v>
      </c>
      <c r="L16" s="12">
        <f t="shared" ref="L16:L22" si="4">L$15+K16*B$2/B$4</f>
        <v>0.89274115131032139</v>
      </c>
    </row>
    <row r="17" spans="1:12" x14ac:dyDescent="0.25">
      <c r="A17" s="7" t="s">
        <v>33</v>
      </c>
      <c r="B17" s="30">
        <v>10.404962118414756</v>
      </c>
      <c r="F17" s="40">
        <v>9.6000000000000002E-2</v>
      </c>
      <c r="G17" s="40">
        <v>1.294</v>
      </c>
      <c r="H17" s="7">
        <f t="shared" si="0"/>
        <v>1.2591004159647479</v>
      </c>
      <c r="I17" s="7">
        <f t="shared" si="1"/>
        <v>1.2179809658336284E-3</v>
      </c>
      <c r="J17" s="7">
        <f t="shared" si="2"/>
        <v>0.77279752704791338</v>
      </c>
      <c r="K17" s="7">
        <f t="shared" si="3"/>
        <v>3.022478195055367E-2</v>
      </c>
      <c r="L17" s="12">
        <f t="shared" si="4"/>
        <v>1.1103449248218711</v>
      </c>
    </row>
    <row r="18" spans="1:12" x14ac:dyDescent="0.25">
      <c r="A18" s="7" t="s">
        <v>32</v>
      </c>
      <c r="B18" s="30">
        <v>0.26022405259693132</v>
      </c>
      <c r="F18" s="40">
        <v>5.6000000000000001E-2</v>
      </c>
      <c r="G18" s="40">
        <v>0.878</v>
      </c>
      <c r="H18" s="7">
        <f t="shared" si="0"/>
        <v>0.8429019312281576</v>
      </c>
      <c r="I18" s="7">
        <f t="shared" si="1"/>
        <v>1.231874431512979E-3</v>
      </c>
      <c r="J18" s="7">
        <f t="shared" si="2"/>
        <v>1.1389521640091116</v>
      </c>
      <c r="K18" s="7">
        <f t="shared" si="3"/>
        <v>6.8459775771694167E-2</v>
      </c>
      <c r="L18" s="12">
        <f t="shared" si="4"/>
        <v>1.7330646938958205</v>
      </c>
    </row>
    <row r="19" spans="1:12" x14ac:dyDescent="0.25">
      <c r="F19" s="40">
        <v>4.2000000000000003E-2</v>
      </c>
      <c r="G19" s="40">
        <v>0.73199999999999998</v>
      </c>
      <c r="H19" s="7">
        <f t="shared" si="0"/>
        <v>0.69723246157035113</v>
      </c>
      <c r="I19" s="7">
        <f t="shared" si="1"/>
        <v>1.2087817284571103E-3</v>
      </c>
      <c r="J19" s="7">
        <f t="shared" si="2"/>
        <v>1.3661202185792349</v>
      </c>
      <c r="K19" s="7">
        <f t="shared" si="3"/>
        <v>8.5995282449812596E-2</v>
      </c>
      <c r="L19" s="12">
        <f t="shared" si="4"/>
        <v>2.018659265200681</v>
      </c>
    </row>
    <row r="20" spans="1:12" x14ac:dyDescent="0.25">
      <c r="F20" s="40">
        <v>2.5999999999999999E-2</v>
      </c>
      <c r="G20" s="40">
        <v>0.53700000000000003</v>
      </c>
      <c r="H20" s="7">
        <f t="shared" si="0"/>
        <v>0.53075306767571495</v>
      </c>
      <c r="I20" s="7">
        <f t="shared" si="1"/>
        <v>3.902416346419781E-5</v>
      </c>
      <c r="J20" s="7">
        <f t="shared" si="2"/>
        <v>1.8621973929236497</v>
      </c>
      <c r="K20" s="7">
        <f t="shared" si="3"/>
        <v>0.11182182334183569</v>
      </c>
      <c r="L20" s="12">
        <f t="shared" si="4"/>
        <v>2.4392869670251613</v>
      </c>
    </row>
    <row r="21" spans="1:12" x14ac:dyDescent="0.25">
      <c r="E21" s="15" t="s">
        <v>11</v>
      </c>
      <c r="F21" s="42">
        <f>Xf</f>
        <v>2.0408163265306124E-2</v>
      </c>
      <c r="G21" s="42">
        <f>H21</f>
        <v>0.47257021827886514</v>
      </c>
      <c r="H21" s="13">
        <f>A.*Xf+B.</f>
        <v>0.47257021827886514</v>
      </c>
      <c r="I21" s="6">
        <f>H21-G21</f>
        <v>0</v>
      </c>
      <c r="J21" s="6">
        <f>1/H21</f>
        <v>2.116087644376051</v>
      </c>
      <c r="K21" s="6">
        <f t="shared" si="3"/>
        <v>0.12294478354816342</v>
      </c>
      <c r="L21" s="12">
        <f t="shared" si="4"/>
        <v>2.6204426707112809</v>
      </c>
    </row>
    <row r="22" spans="1:12" x14ac:dyDescent="0.25">
      <c r="F22" s="40">
        <v>1.6E-2</v>
      </c>
      <c r="G22" s="40">
        <v>0.36599999999999999</v>
      </c>
      <c r="H22" s="7">
        <f>A.*F22+B.</f>
        <v>0.42670344649156744</v>
      </c>
      <c r="I22" s="7">
        <f>(H22-G22)^2</f>
        <v>3.6849084159545921E-3</v>
      </c>
      <c r="J22" s="7">
        <f>1/G22</f>
        <v>2.7322404371584699</v>
      </c>
      <c r="K22" s="7">
        <f t="shared" si="3"/>
        <v>0.13363089442174972</v>
      </c>
      <c r="L22" s="12">
        <f t="shared" si="4"/>
        <v>2.7944835644178982</v>
      </c>
    </row>
    <row r="23" spans="1:12" x14ac:dyDescent="0.25">
      <c r="H23" s="7" t="s">
        <v>35</v>
      </c>
      <c r="I23" s="30">
        <f>SUM(I15:I22)</f>
        <v>9.1752238806242815E-3</v>
      </c>
    </row>
  </sheetData>
  <mergeCells count="4">
    <mergeCell ref="H2:I2"/>
    <mergeCell ref="A1:B1"/>
    <mergeCell ref="H3:I3"/>
    <mergeCell ref="H4:I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showGridLines="0" workbookViewId="0">
      <selection activeCell="I11" sqref="I11"/>
    </sheetView>
  </sheetViews>
  <sheetFormatPr defaultRowHeight="15" x14ac:dyDescent="0.25"/>
  <cols>
    <col min="2" max="2" width="9" customWidth="1"/>
    <col min="5" max="5" width="9.28515625" customWidth="1"/>
  </cols>
  <sheetData>
    <row r="1" spans="1:14" x14ac:dyDescent="0.25">
      <c r="A1" s="46" t="s">
        <v>57</v>
      </c>
      <c r="B1" s="46"/>
    </row>
    <row r="2" spans="1:14" x14ac:dyDescent="0.25">
      <c r="A2" s="5" t="s">
        <v>18</v>
      </c>
      <c r="B2" s="36">
        <v>400</v>
      </c>
      <c r="C2" t="s">
        <v>17</v>
      </c>
      <c r="H2" s="47" t="s">
        <v>58</v>
      </c>
      <c r="I2" s="47"/>
    </row>
    <row r="3" spans="1:14" x14ac:dyDescent="0.25">
      <c r="A3" s="5" t="s">
        <v>15</v>
      </c>
      <c r="B3" s="36">
        <v>18.600000000000001</v>
      </c>
      <c r="C3" t="s">
        <v>14</v>
      </c>
      <c r="H3" s="49" t="s">
        <v>59</v>
      </c>
      <c r="I3" s="49"/>
    </row>
    <row r="4" spans="1:14" x14ac:dyDescent="0.25">
      <c r="A4" s="24" t="s">
        <v>31</v>
      </c>
      <c r="B4" s="26">
        <f>B2/B3</f>
        <v>21.50537634408602</v>
      </c>
      <c r="C4" t="s">
        <v>30</v>
      </c>
      <c r="H4" s="48" t="s">
        <v>62</v>
      </c>
      <c r="I4" s="48"/>
    </row>
    <row r="5" spans="1:14" x14ac:dyDescent="0.25">
      <c r="A5" s="11" t="s">
        <v>29</v>
      </c>
      <c r="B5" s="43">
        <f>2.97*10^-6</f>
        <v>2.9699999999999999E-6</v>
      </c>
      <c r="C5" t="s">
        <v>28</v>
      </c>
    </row>
    <row r="6" spans="1:14" x14ac:dyDescent="0.25">
      <c r="A6" s="11" t="s">
        <v>27</v>
      </c>
      <c r="B6" s="43">
        <f>25.4*0.001</f>
        <v>2.5399999999999999E-2</v>
      </c>
      <c r="C6" t="s">
        <v>26</v>
      </c>
    </row>
    <row r="7" spans="1:14" x14ac:dyDescent="0.25">
      <c r="A7" s="11" t="s">
        <v>25</v>
      </c>
      <c r="B7" s="40">
        <v>0.04</v>
      </c>
      <c r="C7" t="s">
        <v>55</v>
      </c>
    </row>
    <row r="8" spans="1:14" x14ac:dyDescent="0.25">
      <c r="A8" s="11" t="s">
        <v>24</v>
      </c>
      <c r="B8" s="40">
        <v>0.38</v>
      </c>
      <c r="C8" t="s">
        <v>55</v>
      </c>
      <c r="E8" s="9" t="s">
        <v>51</v>
      </c>
      <c r="F8" s="14">
        <f>B8-B7</f>
        <v>0.34</v>
      </c>
    </row>
    <row r="9" spans="1:14" x14ac:dyDescent="0.25">
      <c r="A9" s="11" t="s">
        <v>23</v>
      </c>
      <c r="B9" s="40">
        <v>0.09</v>
      </c>
      <c r="C9" t="s">
        <v>55</v>
      </c>
      <c r="E9" s="9" t="s">
        <v>48</v>
      </c>
      <c r="F9" s="14">
        <f>B9-B7</f>
        <v>4.9999999999999996E-2</v>
      </c>
    </row>
    <row r="10" spans="1:14" x14ac:dyDescent="0.25">
      <c r="A10" s="11" t="s">
        <v>10</v>
      </c>
      <c r="B10" s="40">
        <v>0.19500000000000001</v>
      </c>
      <c r="C10" t="s">
        <v>55</v>
      </c>
      <c r="E10" s="9" t="s">
        <v>49</v>
      </c>
      <c r="F10" s="14">
        <f>B10-B7</f>
        <v>0.155</v>
      </c>
    </row>
    <row r="11" spans="1:14" x14ac:dyDescent="0.25">
      <c r="A11" s="11" t="s">
        <v>8</v>
      </c>
      <c r="B11" s="37">
        <v>1.51</v>
      </c>
      <c r="C11" t="s">
        <v>22</v>
      </c>
    </row>
    <row r="12" spans="1:14" x14ac:dyDescent="0.25">
      <c r="A12" s="10"/>
      <c r="B12" s="10"/>
    </row>
    <row r="14" spans="1:14" x14ac:dyDescent="0.25">
      <c r="F14" s="19" t="s">
        <v>16</v>
      </c>
      <c r="I14" s="19" t="s">
        <v>20</v>
      </c>
      <c r="L14" s="19" t="s">
        <v>2</v>
      </c>
    </row>
    <row r="15" spans="1:14" x14ac:dyDescent="0.25">
      <c r="F15" s="9" t="s">
        <v>13</v>
      </c>
      <c r="G15" s="32">
        <f>B4*(F8-F10)/B11</f>
        <v>2.6347646514277581</v>
      </c>
      <c r="H15" t="s">
        <v>0</v>
      </c>
      <c r="I15" s="9" t="s">
        <v>19</v>
      </c>
      <c r="J15" s="32">
        <f>(4*(B6/2)^2)*LN(8*F10/(PI()^2*F9))/(PI()^2*B5)</f>
        <v>20.27924812606004</v>
      </c>
      <c r="K15" t="s">
        <v>0</v>
      </c>
      <c r="L15" s="9" t="s">
        <v>1</v>
      </c>
      <c r="M15" s="8">
        <f>G15+J15</f>
        <v>22.914012777487798</v>
      </c>
      <c r="N15" t="s">
        <v>0</v>
      </c>
    </row>
  </sheetData>
  <sheetProtection algorithmName="SHA-512" hashValue="R2xoblY1qRnTuB0ZI/GPa2WxWn82T9t2LPe6Jqfq1Q5fHevrd2OVf9CTvtl9YJfMgFGMZVCgbUxARfv/lNe2yQ==" saltValue="0S7vUOFPbSmpM7xXIDd4JQ==" spinCount="100000" sheet="1" objects="1" scenarios="1"/>
  <mergeCells count="4">
    <mergeCell ref="H2:I2"/>
    <mergeCell ref="A1:B1"/>
    <mergeCell ref="H3:I3"/>
    <mergeCell ref="H4:I4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selection activeCell="K17" sqref="K17"/>
    </sheetView>
  </sheetViews>
  <sheetFormatPr defaultRowHeight="15" x14ac:dyDescent="0.25"/>
  <cols>
    <col min="6" max="6" width="9.42578125" customWidth="1"/>
  </cols>
  <sheetData>
    <row r="1" spans="1:6" x14ac:dyDescent="0.25">
      <c r="A1" s="46" t="s">
        <v>57</v>
      </c>
      <c r="B1" s="46"/>
    </row>
    <row r="2" spans="1:6" x14ac:dyDescent="0.25">
      <c r="A2" s="11" t="s">
        <v>27</v>
      </c>
      <c r="B2" s="43">
        <f>3*0.001</f>
        <v>3.0000000000000001E-3</v>
      </c>
      <c r="C2" s="22" t="s">
        <v>26</v>
      </c>
      <c r="D2" s="47" t="s">
        <v>46</v>
      </c>
      <c r="E2" s="47"/>
      <c r="F2" s="47"/>
    </row>
    <row r="3" spans="1:6" x14ac:dyDescent="0.25">
      <c r="B3" s="22"/>
      <c r="C3" s="22"/>
      <c r="D3" s="22"/>
      <c r="E3" s="22"/>
      <c r="F3" s="22"/>
    </row>
    <row r="5" spans="1:6" x14ac:dyDescent="0.25">
      <c r="B5" s="11" t="s">
        <v>1</v>
      </c>
      <c r="C5" s="11" t="s">
        <v>45</v>
      </c>
      <c r="D5" s="35" t="s">
        <v>44</v>
      </c>
      <c r="E5" s="34" t="s">
        <v>61</v>
      </c>
      <c r="F5" s="34" t="s">
        <v>47</v>
      </c>
    </row>
    <row r="6" spans="1:6" x14ac:dyDescent="0.25">
      <c r="B6" s="44">
        <v>0</v>
      </c>
      <c r="C6" s="44">
        <v>1</v>
      </c>
      <c r="D6" s="23">
        <f t="shared" ref="D6:D13" si="0">LN(C6)</f>
        <v>0</v>
      </c>
      <c r="E6" s="6">
        <f t="shared" ref="E6:E13" si="1">A..*B6+B..</f>
        <v>6.2249989302176623E-3</v>
      </c>
      <c r="F6" s="7" t="e">
        <f t="shared" ref="F6:F13" si="2">0.56*(B$2/2)^2/(B6*3600)</f>
        <v>#DIV/0!</v>
      </c>
    </row>
    <row r="7" spans="1:6" x14ac:dyDescent="0.25">
      <c r="B7" s="44">
        <v>0.15</v>
      </c>
      <c r="C7" s="44">
        <v>0.8</v>
      </c>
      <c r="D7" s="23">
        <f t="shared" si="0"/>
        <v>-0.22314355131420971</v>
      </c>
      <c r="E7" s="6">
        <f t="shared" si="1"/>
        <v>-0.22914925417116846</v>
      </c>
      <c r="F7" s="7">
        <f t="shared" si="2"/>
        <v>2.3333333333333335E-9</v>
      </c>
    </row>
    <row r="8" spans="1:6" x14ac:dyDescent="0.25">
      <c r="B8" s="44">
        <v>0.27</v>
      </c>
      <c r="C8" s="44">
        <v>0.63</v>
      </c>
      <c r="D8" s="23">
        <f t="shared" si="0"/>
        <v>-0.46203545959655867</v>
      </c>
      <c r="E8" s="6">
        <f t="shared" si="1"/>
        <v>-0.41744865665227743</v>
      </c>
      <c r="F8" s="7">
        <f t="shared" si="2"/>
        <v>1.2962962962962963E-9</v>
      </c>
    </row>
    <row r="9" spans="1:6" x14ac:dyDescent="0.25">
      <c r="B9" s="44">
        <v>0.4</v>
      </c>
      <c r="C9" s="44">
        <v>0.55000000000000004</v>
      </c>
      <c r="D9" s="23">
        <f t="shared" si="0"/>
        <v>-0.59783700075562041</v>
      </c>
      <c r="E9" s="6">
        <f t="shared" si="1"/>
        <v>-0.62143967600681205</v>
      </c>
      <c r="F9" s="7">
        <f t="shared" si="2"/>
        <v>8.7500000000000018E-10</v>
      </c>
    </row>
    <row r="10" spans="1:6" x14ac:dyDescent="0.25">
      <c r="B10" s="44">
        <v>0.6</v>
      </c>
      <c r="C10" s="44">
        <v>0.4</v>
      </c>
      <c r="D10" s="23">
        <f t="shared" si="0"/>
        <v>-0.916290731874155</v>
      </c>
      <c r="E10" s="6">
        <f t="shared" si="1"/>
        <v>-0.93527201347532685</v>
      </c>
      <c r="F10" s="7">
        <f t="shared" si="2"/>
        <v>5.8333333333333339E-10</v>
      </c>
    </row>
    <row r="11" spans="1:6" x14ac:dyDescent="0.25">
      <c r="B11" s="44">
        <v>0.8</v>
      </c>
      <c r="C11" s="44">
        <v>0.3</v>
      </c>
      <c r="D11" s="23">
        <f t="shared" si="0"/>
        <v>-1.2039728043259361</v>
      </c>
      <c r="E11" s="6">
        <f t="shared" si="1"/>
        <v>-1.2491043509438418</v>
      </c>
      <c r="F11" s="7">
        <f t="shared" si="2"/>
        <v>4.3750000000000009E-10</v>
      </c>
    </row>
    <row r="12" spans="1:6" x14ac:dyDescent="0.25">
      <c r="B12" s="44">
        <v>0.94</v>
      </c>
      <c r="C12" s="44">
        <v>0.23</v>
      </c>
      <c r="D12" s="23">
        <f t="shared" si="0"/>
        <v>-1.4696759700589417</v>
      </c>
      <c r="E12" s="6">
        <f t="shared" si="1"/>
        <v>-1.468786987171802</v>
      </c>
      <c r="F12" s="7">
        <f t="shared" si="2"/>
        <v>3.7234042553191494E-10</v>
      </c>
    </row>
    <row r="13" spans="1:6" x14ac:dyDescent="0.25">
      <c r="B13" s="44">
        <v>1.07</v>
      </c>
      <c r="C13" s="44">
        <v>0.18</v>
      </c>
      <c r="D13" s="23">
        <f t="shared" si="0"/>
        <v>-1.7147984280919266</v>
      </c>
      <c r="E13" s="6">
        <f t="shared" si="1"/>
        <v>-1.6727780065263369</v>
      </c>
      <c r="F13" s="7">
        <f t="shared" si="2"/>
        <v>3.2710280373831782E-10</v>
      </c>
    </row>
    <row r="15" spans="1:6" x14ac:dyDescent="0.25">
      <c r="C15" s="22"/>
      <c r="D15" s="22"/>
    </row>
    <row r="16" spans="1:6" x14ac:dyDescent="0.25">
      <c r="A16" s="6" t="s">
        <v>53</v>
      </c>
      <c r="B16" s="45">
        <f>SLOPE(D6:D13,B6:B13)</f>
        <v>-1.5691616873425742</v>
      </c>
      <c r="C16" s="22"/>
      <c r="D16" s="22"/>
    </row>
    <row r="17" spans="1:8" x14ac:dyDescent="0.25">
      <c r="A17" s="6" t="s">
        <v>54</v>
      </c>
      <c r="B17" s="45">
        <f>INTERCEPT(D6:D13,B6:B13)</f>
        <v>6.2249989302176623E-3</v>
      </c>
    </row>
    <row r="18" spans="1:8" x14ac:dyDescent="0.25">
      <c r="F18" s="19" t="s">
        <v>46</v>
      </c>
    </row>
    <row r="19" spans="1:8" x14ac:dyDescent="0.25">
      <c r="F19" s="11" t="s">
        <v>45</v>
      </c>
      <c r="G19" s="43">
        <v>0.2</v>
      </c>
    </row>
    <row r="20" spans="1:8" x14ac:dyDescent="0.25">
      <c r="F20" s="6" t="s">
        <v>44</v>
      </c>
      <c r="G20" s="6">
        <f>LN(G19)</f>
        <v>-1.6094379124341003</v>
      </c>
    </row>
    <row r="21" spans="1:8" x14ac:dyDescent="0.25">
      <c r="F21" s="9" t="s">
        <v>1</v>
      </c>
      <c r="G21" s="8">
        <f>(G20-B..)/A..</f>
        <v>1.029634437545117</v>
      </c>
      <c r="H21" t="s">
        <v>0</v>
      </c>
    </row>
    <row r="22" spans="1:8" x14ac:dyDescent="0.25">
      <c r="F22" s="17" t="s">
        <v>29</v>
      </c>
      <c r="G22" s="21">
        <f>0.56*(B2/2)^2/(G21*3600)</f>
        <v>3.399264702475179E-10</v>
      </c>
      <c r="H22" t="s">
        <v>28</v>
      </c>
    </row>
  </sheetData>
  <sheetProtection algorithmName="SHA-512" hashValue="tJQSW3bh2HMPekKaswCPGLYO8l2EQZhoZj6SZNX+b6Bs2Y3ygwWwhlXi8C8fQYqNyghwxeVqBixKKN/woXHvmA==" saltValue="Oag+Fh38RAhGq68AxP1inA==" spinCount="100000" sheet="1" objects="1" scenarios="1"/>
  <mergeCells count="2">
    <mergeCell ref="A1:B1"/>
    <mergeCell ref="D2:F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50" t="s">
        <v>63</v>
      </c>
      <c r="C3" s="51"/>
      <c r="D3" s="51"/>
      <c r="E3" s="52"/>
    </row>
    <row r="4" spans="2:5" x14ac:dyDescent="0.25">
      <c r="B4" s="53" t="s">
        <v>64</v>
      </c>
      <c r="C4" s="54" t="s">
        <v>65</v>
      </c>
      <c r="D4" s="54"/>
      <c r="E4" s="55"/>
    </row>
    <row r="5" spans="2:5" ht="15.75" thickBot="1" x14ac:dyDescent="0.3">
      <c r="B5" s="56" t="s">
        <v>66</v>
      </c>
      <c r="C5" s="57">
        <v>2017</v>
      </c>
      <c r="D5" s="58"/>
      <c r="E5" s="59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27</vt:i4>
      </vt:variant>
    </vt:vector>
  </HeadingPairs>
  <TitlesOfParts>
    <vt:vector size="32" baseType="lpstr">
      <vt:lpstr>fr.num</vt:lpstr>
      <vt:lpstr>fr.capilarity</vt:lpstr>
      <vt:lpstr>fr.diffusion</vt:lpstr>
      <vt:lpstr>dif.coef</vt:lpstr>
      <vt:lpstr>Credits</vt:lpstr>
      <vt:lpstr>Credits!A</vt:lpstr>
      <vt:lpstr>A</vt:lpstr>
      <vt:lpstr>A.</vt:lpstr>
      <vt:lpstr>A..</vt:lpstr>
      <vt:lpstr>B.</vt:lpstr>
      <vt:lpstr>B..</vt:lpstr>
      <vt:lpstr>Credits!ms</vt:lpstr>
      <vt:lpstr>ms</vt:lpstr>
      <vt:lpstr>Credits!Rc_</vt:lpstr>
      <vt:lpstr>Rc_</vt:lpstr>
      <vt:lpstr>Credits!tc</vt:lpstr>
      <vt:lpstr>tc</vt:lpstr>
      <vt:lpstr>Credits!Wf</vt:lpstr>
      <vt:lpstr>Wf</vt:lpstr>
      <vt:lpstr>Credits!Wo</vt:lpstr>
      <vt:lpstr>Wo</vt:lpstr>
      <vt:lpstr>fr.num!X1.</vt:lpstr>
      <vt:lpstr>fr.num!X2.</vt:lpstr>
      <vt:lpstr>Credits!Xc</vt:lpstr>
      <vt:lpstr>Xc</vt:lpstr>
      <vt:lpstr>Credits!Xf</vt:lpstr>
      <vt:lpstr>fr.num!Xf</vt:lpstr>
      <vt:lpstr>Xf</vt:lpstr>
      <vt:lpstr>Credits!Xi</vt:lpstr>
      <vt:lpstr>Xi</vt:lpstr>
      <vt:lpstr>Credits!Xo</vt:lpstr>
      <vt:lpstr>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2017-03-27T03:30:07Z</dcterms:modified>
</cp:coreProperties>
</file>