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filterPrivacy="1" defaultThemeVersion="124226"/>
  <workbookProtection workbookAlgorithmName="SHA-512" workbookHashValue="4BTzVhuxwXF5a+U+AeO54vuOeSnyqpl52Fuk2AUxupdj351vM6nen4qNiaLrPTNy4W4WN2CHePZgN3WOY9F5+Q==" workbookSaltValue="6bzfQiYILc8OQTLDjdo8Kw==" workbookSpinCount="100000" lockStructure="1"/>
  <bookViews>
    <workbookView xWindow="360" yWindow="300" windowWidth="18735" windowHeight="11700"/>
  </bookViews>
  <sheets>
    <sheet name="Plate-and-Frame Filter" sheetId="4" r:id="rId1"/>
    <sheet name="Credits" sheetId="5" r:id="rId2"/>
  </sheets>
  <externalReferences>
    <externalReference r:id="rId3"/>
  </externalReferences>
  <definedNames>
    <definedName name="A." localSheetId="1">[1]Operation!$C$3</definedName>
    <definedName name="A.">'Plate-and-Frame Filter'!#REF!</definedName>
    <definedName name="B." localSheetId="1">[1]Operation!$C$4</definedName>
    <definedName name="B.">'Plate-and-Frame Filter'!#REF!</definedName>
    <definedName name="C." localSheetId="1">[1]Operation!$C$5</definedName>
    <definedName name="C.">'Plate-and-Frame Filter'!#REF!</definedName>
    <definedName name="D." localSheetId="1">[1]Equilibrium!$R$3</definedName>
    <definedName name="D.">'Plate-and-Frame Filter'!#REF!</definedName>
    <definedName name="E." localSheetId="1">[1]Equilibrium!$R$4</definedName>
    <definedName name="E.">'Plate-and-Frame Filter'!$B$25</definedName>
    <definedName name="F." localSheetId="1">[1]Equilibrium!$R$5</definedName>
    <definedName name="F.">'Plate-and-Frame Filter'!$B$26</definedName>
    <definedName name="k_x.a">[1]Absorption_packed!#REF!</definedName>
    <definedName name="L.">[1]Absorption_packed!$B$6</definedName>
    <definedName name="MM.a">[1]Absorption_packed!#REF!</definedName>
    <definedName name="MM.b">[1]Absorption_packed!#REF!</definedName>
    <definedName name="MM.c">[1]Absorption_packed!#REF!</definedName>
    <definedName name="MM_a">[1]Absorption_packed!$E$7</definedName>
    <definedName name="MM_b">[1]Absorption_packed!$E$8</definedName>
    <definedName name="MM_c">[1]Absorption_packed!$E$9</definedName>
    <definedName name="S">[1]Absorption_packed!$E$2</definedName>
    <definedName name="solver_adj" localSheetId="0" hidden="1">'Plate-and-Frame Filter'!$B$25:$B$26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'Plate-and-Frame Filter'!#REF!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V.">[1]Absorption_packed!$B$2</definedName>
    <definedName name="x1.">[1]Absorption_packed!$B$9</definedName>
    <definedName name="x2.">[1]Absorption_packed!$B$7</definedName>
    <definedName name="y1.">[1]Absorption_packed!$B$3</definedName>
    <definedName name="y2.">[1]Absorption_packed!$B$4</definedName>
  </definedNames>
  <calcPr calcId="171027"/>
</workbook>
</file>

<file path=xl/calcChain.xml><?xml version="1.0" encoding="utf-8"?>
<calcChain xmlns="http://schemas.openxmlformats.org/spreadsheetml/2006/main">
  <c r="O25" i="4" l="1"/>
  <c r="O18" i="4"/>
  <c r="B11" i="4"/>
  <c r="B6" i="4"/>
  <c r="D16" i="4"/>
  <c r="E16" i="4" s="1"/>
  <c r="D17" i="4"/>
  <c r="E17" i="4" s="1"/>
  <c r="D18" i="4"/>
  <c r="E18" i="4" s="1"/>
  <c r="D19" i="4"/>
  <c r="E19" i="4" s="1"/>
  <c r="D20" i="4"/>
  <c r="E20" i="4" s="1"/>
  <c r="D21" i="4"/>
  <c r="E21" i="4" s="1"/>
  <c r="D22" i="4"/>
  <c r="E22" i="4" s="1"/>
  <c r="D23" i="4"/>
  <c r="E23" i="4" s="1"/>
  <c r="D24" i="4"/>
  <c r="E24" i="4" s="1"/>
  <c r="D15" i="4"/>
  <c r="E15" i="4" s="1"/>
  <c r="F4" i="4" l="1"/>
  <c r="F2" i="4"/>
  <c r="F3" i="4" l="1"/>
  <c r="F8" i="4"/>
  <c r="F5" i="4"/>
  <c r="F9" i="4"/>
  <c r="R22" i="4" l="1"/>
  <c r="O19" i="4"/>
  <c r="O22" i="4" s="1"/>
  <c r="R25" i="4" l="1"/>
  <c r="R26" i="4" s="1"/>
</calcChain>
</file>

<file path=xl/sharedStrings.xml><?xml version="1.0" encoding="utf-8"?>
<sst xmlns="http://schemas.openxmlformats.org/spreadsheetml/2006/main" count="63" uniqueCount="55">
  <si>
    <t>m²</t>
  </si>
  <si>
    <t>t (s)</t>
  </si>
  <si>
    <t>V (L)</t>
  </si>
  <si>
    <t>T</t>
  </si>
  <si>
    <t>K</t>
  </si>
  <si>
    <t>dP</t>
  </si>
  <si>
    <t>kPa</t>
  </si>
  <si>
    <t>A</t>
  </si>
  <si>
    <t>alpha</t>
  </si>
  <si>
    <t>Rm</t>
  </si>
  <si>
    <t>Cs</t>
  </si>
  <si>
    <t>kg/m³</t>
  </si>
  <si>
    <t>V (m³)</t>
  </si>
  <si>
    <t>t/V</t>
  </si>
  <si>
    <t>visc_w</t>
  </si>
  <si>
    <t>Pa.s</t>
  </si>
  <si>
    <t>Kp/2</t>
  </si>
  <si>
    <t>B</t>
  </si>
  <si>
    <t>m/kg</t>
  </si>
  <si>
    <t>m³</t>
  </si>
  <si>
    <t>N</t>
  </si>
  <si>
    <t>frames</t>
  </si>
  <si>
    <t>Kpnew</t>
  </si>
  <si>
    <t>s/m^6</t>
  </si>
  <si>
    <t>s/m³</t>
  </si>
  <si>
    <t>/m</t>
  </si>
  <si>
    <t>Bnew</t>
  </si>
  <si>
    <t>t</t>
  </si>
  <si>
    <t>s</t>
  </si>
  <si>
    <t>Constant-Pressure Filtration</t>
  </si>
  <si>
    <t>Time required:</t>
  </si>
  <si>
    <t>Constants:</t>
  </si>
  <si>
    <t>Washing rate:</t>
  </si>
  <si>
    <t>Initial data:</t>
  </si>
  <si>
    <t>(dV/dt)f</t>
  </si>
  <si>
    <t>m³/s</t>
  </si>
  <si>
    <t>Vwash</t>
  </si>
  <si>
    <t>ratio</t>
  </si>
  <si>
    <t>tc</t>
  </si>
  <si>
    <t>min</t>
  </si>
  <si>
    <t>tw</t>
  </si>
  <si>
    <t>tf</t>
  </si>
  <si>
    <t>Vf</t>
  </si>
  <si>
    <t>Ai</t>
  </si>
  <si>
    <t>Atotal</t>
  </si>
  <si>
    <t>Washing time:</t>
  </si>
  <si>
    <t>Filter Cleaning time:</t>
  </si>
  <si>
    <t>Filtering time:</t>
  </si>
  <si>
    <t>TOTAL time:</t>
  </si>
  <si>
    <t>Batch Plate and Frame filter</t>
  </si>
  <si>
    <t>Incompressible Cake</t>
  </si>
  <si>
    <t>ChemEng Brasil</t>
  </si>
  <si>
    <t>Autor:</t>
  </si>
  <si>
    <t>Lucas Joshua Pires</t>
  </si>
  <si>
    <t>Ano: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</si>
</sst>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0.000"/>
    <numFmt numFmtId="166" formatCode="0.0000"/>
    <numFmt numFmtId="167" formatCode="0.000E+00"/>
    <numFmt numFmtId="168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8" fontId="4" fillId="0" borderId="1" xfId="0" applyNumberFormat="1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1" fontId="3" fillId="6" borderId="1" xfId="0" applyNumberFormat="1" applyFont="1" applyFill="1" applyBorder="1" applyAlignment="1">
      <alignment horizontal="center"/>
    </xf>
    <xf numFmtId="11" fontId="2" fillId="6" borderId="1" xfId="0" applyNumberFormat="1" applyFont="1" applyFill="1" applyBorder="1" applyAlignment="1">
      <alignment horizontal="center"/>
    </xf>
    <xf numFmtId="164" fontId="2" fillId="6" borderId="1" xfId="0" applyNumberFormat="1" applyFont="1" applyFill="1" applyBorder="1" applyAlignment="1">
      <alignment horizontal="center"/>
    </xf>
    <xf numFmtId="2" fontId="3" fillId="6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3" borderId="1" xfId="0" applyFont="1" applyFill="1" applyBorder="1" applyAlignment="1" applyProtection="1">
      <alignment horizontal="center"/>
      <protection locked="0"/>
    </xf>
    <xf numFmtId="1" fontId="2" fillId="3" borderId="1" xfId="0" applyNumberFormat="1" applyFont="1" applyFill="1" applyBorder="1" applyAlignment="1" applyProtection="1">
      <alignment horizontal="center"/>
      <protection locked="0"/>
    </xf>
    <xf numFmtId="166" fontId="2" fillId="3" borderId="1" xfId="0" applyNumberFormat="1" applyFont="1" applyFill="1" applyBorder="1" applyAlignment="1" applyProtection="1">
      <alignment horizontal="center"/>
      <protection locked="0"/>
    </xf>
    <xf numFmtId="2" fontId="2" fillId="3" borderId="1" xfId="0" applyNumberFormat="1" applyFont="1" applyFill="1" applyBorder="1" applyAlignment="1" applyProtection="1">
      <alignment horizontal="center"/>
      <protection locked="0"/>
    </xf>
    <xf numFmtId="167" fontId="2" fillId="3" borderId="1" xfId="0" applyNumberFormat="1" applyFont="1" applyFill="1" applyBorder="1" applyAlignment="1" applyProtection="1">
      <alignment horizontal="center"/>
      <protection locked="0"/>
    </xf>
    <xf numFmtId="0" fontId="2" fillId="3" borderId="1" xfId="0" applyNumberFormat="1" applyFont="1" applyFill="1" applyBorder="1" applyAlignment="1" applyProtection="1">
      <alignment horizontal="center"/>
      <protection locked="0"/>
    </xf>
    <xf numFmtId="165" fontId="2" fillId="3" borderId="1" xfId="0" applyNumberFormat="1" applyFont="1" applyFill="1" applyBorder="1" applyAlignment="1" applyProtection="1">
      <alignment horizontal="center"/>
      <protection locked="0"/>
    </xf>
    <xf numFmtId="0" fontId="2" fillId="0" borderId="7" xfId="0" applyFont="1" applyBorder="1"/>
    <xf numFmtId="0" fontId="0" fillId="0" borderId="0" xfId="0" applyBorder="1"/>
    <xf numFmtId="0" fontId="0" fillId="0" borderId="8" xfId="0" applyBorder="1"/>
    <xf numFmtId="0" fontId="2" fillId="0" borderId="9" xfId="0" applyFont="1" applyBorder="1"/>
    <xf numFmtId="0" fontId="0" fillId="0" borderId="10" xfId="0" applyBorder="1" applyAlignment="1">
      <alignment horizontal="left"/>
    </xf>
    <xf numFmtId="0" fontId="0" fillId="0" borderId="10" xfId="0" applyBorder="1"/>
    <xf numFmtId="0" fontId="0" fillId="0" borderId="11" xfId="0" applyBorder="1"/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t/V</c:v>
          </c:tx>
          <c:xVal>
            <c:numRef>
              <c:f>'Plate-and-Frame Filter'!$D$15:$D$24</c:f>
              <c:numCache>
                <c:formatCode>0.000000</c:formatCode>
                <c:ptCount val="10"/>
                <c:pt idx="0">
                  <c:v>4.9799999999999996E-4</c:v>
                </c:pt>
                <c:pt idx="1">
                  <c:v>1E-3</c:v>
                </c:pt>
                <c:pt idx="2">
                  <c:v>1.5009999999999999E-3</c:v>
                </c:pt>
                <c:pt idx="3">
                  <c:v>2E-3</c:v>
                </c:pt>
                <c:pt idx="4">
                  <c:v>2.4980000000000002E-3</c:v>
                </c:pt>
                <c:pt idx="5">
                  <c:v>3.0019999999999999E-3</c:v>
                </c:pt>
                <c:pt idx="6">
                  <c:v>3.506E-3</c:v>
                </c:pt>
                <c:pt idx="7">
                  <c:v>4.0039999999999997E-3</c:v>
                </c:pt>
                <c:pt idx="8">
                  <c:v>4.5019999999999999E-3</c:v>
                </c:pt>
                <c:pt idx="9">
                  <c:v>5.0090000000000004E-3</c:v>
                </c:pt>
              </c:numCache>
            </c:numRef>
          </c:xVal>
          <c:yVal>
            <c:numRef>
              <c:f>'Plate-and-Frame Filter'!$E$15:$E$24</c:f>
              <c:numCache>
                <c:formatCode>0</c:formatCode>
                <c:ptCount val="10"/>
                <c:pt idx="0">
                  <c:v>8835.3413654618489</c:v>
                </c:pt>
                <c:pt idx="1">
                  <c:v>9500</c:v>
                </c:pt>
                <c:pt idx="2">
                  <c:v>10859.427048634245</c:v>
                </c:pt>
                <c:pt idx="3">
                  <c:v>12300</c:v>
                </c:pt>
                <c:pt idx="4">
                  <c:v>13891.11289031225</c:v>
                </c:pt>
                <c:pt idx="5">
                  <c:v>15356.429047301799</c:v>
                </c:pt>
                <c:pt idx="6">
                  <c:v>16828.294352538505</c:v>
                </c:pt>
                <c:pt idx="7">
                  <c:v>18381.61838161838</c:v>
                </c:pt>
                <c:pt idx="8">
                  <c:v>19857.840959573525</c:v>
                </c:pt>
                <c:pt idx="9">
                  <c:v>21421.441405470152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42-4233-A7B3-467B24050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31584"/>
        <c:axId val="167733504"/>
      </c:scatterChart>
      <c:valAx>
        <c:axId val="16773158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V (m³)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67733504"/>
        <c:crosses val="autoZero"/>
        <c:crossBetween val="midCat"/>
      </c:valAx>
      <c:valAx>
        <c:axId val="16773350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 / V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67731584"/>
        <c:crosses val="autoZero"/>
        <c:crossBetween val="midCat"/>
      </c:valAx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197" footer="0.3149606200000019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0</xdr:row>
      <xdr:rowOff>161925</xdr:rowOff>
    </xdr:from>
    <xdr:to>
      <xdr:col>19</xdr:col>
      <xdr:colOff>57150</xdr:colOff>
      <xdr:row>14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0</xdr:colOff>
      <xdr:row>7</xdr:row>
      <xdr:rowOff>0</xdr:rowOff>
    </xdr:from>
    <xdr:to>
      <xdr:col>11</xdr:col>
      <xdr:colOff>533400</xdr:colOff>
      <xdr:row>19</xdr:row>
      <xdr:rowOff>140110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bright="-5000" contrast="10000"/>
        </a:blip>
        <a:srcRect/>
        <a:stretch>
          <a:fillRect/>
        </a:stretch>
      </xdr:blipFill>
      <xdr:spPr bwMode="auto">
        <a:xfrm>
          <a:off x="4400550" y="1352550"/>
          <a:ext cx="2971800" cy="2426110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sorption_concentrated_packed_tow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orption_packed"/>
      <sheetName val="Equilibrium"/>
      <sheetName val="Operation"/>
      <sheetName val="Credits"/>
    </sheetNames>
    <sheetDataSet>
      <sheetData sheetId="0">
        <row r="2">
          <cell r="B2">
            <v>6.5300000000000004E-4</v>
          </cell>
          <cell r="E2">
            <v>9.2899999999999996E-2</v>
          </cell>
        </row>
        <row r="3">
          <cell r="B3">
            <v>0.2</v>
          </cell>
        </row>
        <row r="4">
          <cell r="B4">
            <v>0.02</v>
          </cell>
        </row>
        <row r="6">
          <cell r="B6">
            <v>4.2000000000000003E-2</v>
          </cell>
        </row>
        <row r="7">
          <cell r="B7">
            <v>0</v>
          </cell>
          <cell r="E7">
            <v>64.099999999999994</v>
          </cell>
        </row>
        <row r="8">
          <cell r="E8">
            <v>29</v>
          </cell>
        </row>
        <row r="9">
          <cell r="B9">
            <v>3.5569096465060041E-3</v>
          </cell>
          <cell r="E9">
            <v>18</v>
          </cell>
        </row>
      </sheetData>
      <sheetData sheetId="1">
        <row r="3">
          <cell r="R3">
            <v>11.467356902472577</v>
          </cell>
        </row>
        <row r="4">
          <cell r="R4">
            <v>32.564812758541194</v>
          </cell>
        </row>
        <row r="5">
          <cell r="R5">
            <v>-1.2661060792755242E-2</v>
          </cell>
        </row>
      </sheetData>
      <sheetData sheetId="2">
        <row r="3">
          <cell r="C3">
            <v>-2500</v>
          </cell>
        </row>
        <row r="4">
          <cell r="C4">
            <v>60</v>
          </cell>
        </row>
        <row r="5">
          <cell r="C5">
            <v>0.02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showGridLines="0" tabSelected="1" zoomScaleNormal="100" workbookViewId="0">
      <selection activeCell="S18" sqref="S18"/>
    </sheetView>
  </sheetViews>
  <sheetFormatPr defaultRowHeight="15" x14ac:dyDescent="0.25"/>
  <cols>
    <col min="1" max="1" width="9.140625" customWidth="1"/>
    <col min="2" max="2" width="9.5703125" bestFit="1" customWidth="1"/>
    <col min="4" max="4" width="9.28515625" bestFit="1" customWidth="1"/>
    <col min="5" max="5" width="9.7109375" customWidth="1"/>
    <col min="6" max="6" width="10.140625" customWidth="1"/>
    <col min="7" max="7" width="9" customWidth="1"/>
  </cols>
  <sheetData>
    <row r="1" spans="1:15" x14ac:dyDescent="0.25">
      <c r="A1" s="32" t="s">
        <v>33</v>
      </c>
      <c r="B1" s="32"/>
      <c r="E1" s="32" t="s">
        <v>31</v>
      </c>
      <c r="F1" s="32"/>
    </row>
    <row r="2" spans="1:15" x14ac:dyDescent="0.25">
      <c r="A2" s="1" t="s">
        <v>3</v>
      </c>
      <c r="B2" s="17">
        <v>298.2</v>
      </c>
      <c r="C2" t="s">
        <v>4</v>
      </c>
      <c r="E2" s="2" t="s">
        <v>16</v>
      </c>
      <c r="F2" s="11">
        <f>SLOPE(E15:E24,D15:D24)</f>
        <v>2884955.5388398292</v>
      </c>
      <c r="G2" t="s">
        <v>23</v>
      </c>
      <c r="I2" s="33" t="s">
        <v>29</v>
      </c>
      <c r="J2" s="33"/>
      <c r="K2" s="33"/>
    </row>
    <row r="3" spans="1:15" x14ac:dyDescent="0.25">
      <c r="A3" s="1" t="s">
        <v>5</v>
      </c>
      <c r="B3" s="18">
        <v>338</v>
      </c>
      <c r="C3" t="s">
        <v>6</v>
      </c>
      <c r="E3" s="3" t="s">
        <v>8</v>
      </c>
      <c r="F3" s="12">
        <f>1000*2*F2*B4^2*B3/(B6*B5)</f>
        <v>179188450234.77911</v>
      </c>
      <c r="G3" t="s">
        <v>18</v>
      </c>
      <c r="I3" s="34" t="s">
        <v>49</v>
      </c>
      <c r="J3" s="34"/>
      <c r="K3" s="34"/>
    </row>
    <row r="4" spans="1:15" x14ac:dyDescent="0.25">
      <c r="A4" s="1" t="s">
        <v>7</v>
      </c>
      <c r="B4" s="19">
        <v>4.3900000000000002E-2</v>
      </c>
      <c r="C4" t="s">
        <v>0</v>
      </c>
      <c r="E4" s="3" t="s">
        <v>17</v>
      </c>
      <c r="F4" s="13">
        <f>INTERCEPT(E15:E24,D15:D24)</f>
        <v>6783.7529022038616</v>
      </c>
      <c r="G4" t="s">
        <v>24</v>
      </c>
      <c r="I4" s="35" t="s">
        <v>50</v>
      </c>
      <c r="J4" s="35"/>
      <c r="K4" s="35"/>
    </row>
    <row r="5" spans="1:15" x14ac:dyDescent="0.25">
      <c r="A5" s="1" t="s">
        <v>10</v>
      </c>
      <c r="B5" s="20">
        <v>23.47</v>
      </c>
      <c r="C5" t="s">
        <v>11</v>
      </c>
      <c r="E5" s="3" t="s">
        <v>9</v>
      </c>
      <c r="F5" s="12">
        <f>1000*F4*B4*B3/B6</f>
        <v>112631400149.35811</v>
      </c>
      <c r="G5" t="s">
        <v>25</v>
      </c>
    </row>
    <row r="6" spans="1:15" x14ac:dyDescent="0.25">
      <c r="A6" s="1" t="s">
        <v>14</v>
      </c>
      <c r="B6" s="21">
        <f>8.937*10^-4</f>
        <v>8.9369999999999998E-4</v>
      </c>
      <c r="C6" t="s">
        <v>15</v>
      </c>
    </row>
    <row r="7" spans="1:15" x14ac:dyDescent="0.25">
      <c r="A7" s="36" t="s">
        <v>30</v>
      </c>
      <c r="B7" s="36"/>
      <c r="E7" s="8"/>
    </row>
    <row r="8" spans="1:15" x14ac:dyDescent="0.25">
      <c r="A8" s="1" t="s">
        <v>42</v>
      </c>
      <c r="B8" s="22">
        <v>3.37</v>
      </c>
      <c r="C8" t="s">
        <v>19</v>
      </c>
      <c r="E8" s="2" t="s">
        <v>22</v>
      </c>
      <c r="F8" s="14">
        <f>F2*2*(B4/B11)^2</f>
        <v>36.476207859873504</v>
      </c>
      <c r="G8" t="s">
        <v>23</v>
      </c>
    </row>
    <row r="9" spans="1:15" x14ac:dyDescent="0.25">
      <c r="A9" s="1" t="s">
        <v>20</v>
      </c>
      <c r="B9" s="22">
        <v>20</v>
      </c>
      <c r="C9" t="s">
        <v>21</v>
      </c>
      <c r="E9" s="2" t="s">
        <v>26</v>
      </c>
      <c r="F9" s="14">
        <f>F4*(B4/B11)</f>
        <v>17.056515029023455</v>
      </c>
      <c r="G9" t="s">
        <v>24</v>
      </c>
    </row>
    <row r="10" spans="1:15" x14ac:dyDescent="0.25">
      <c r="A10" s="1" t="s">
        <v>43</v>
      </c>
      <c r="B10" s="22">
        <v>0.873</v>
      </c>
      <c r="C10" t="s">
        <v>0</v>
      </c>
    </row>
    <row r="11" spans="1:15" x14ac:dyDescent="0.25">
      <c r="A11" s="2" t="s">
        <v>44</v>
      </c>
      <c r="B11" s="7">
        <f>B9*B10</f>
        <v>17.46</v>
      </c>
      <c r="C11" t="s">
        <v>0</v>
      </c>
    </row>
    <row r="14" spans="1:15" x14ac:dyDescent="0.25">
      <c r="B14" s="1" t="s">
        <v>1</v>
      </c>
      <c r="C14" s="1" t="s">
        <v>2</v>
      </c>
      <c r="D14" s="15" t="s">
        <v>12</v>
      </c>
      <c r="E14" s="16" t="s">
        <v>13</v>
      </c>
    </row>
    <row r="15" spans="1:15" x14ac:dyDescent="0.25">
      <c r="B15" s="17">
        <v>4.4000000000000004</v>
      </c>
      <c r="C15" s="23">
        <v>0.498</v>
      </c>
      <c r="D15" s="6">
        <f t="shared" ref="D15:D24" si="0">C15*0.001</f>
        <v>4.9799999999999996E-4</v>
      </c>
      <c r="E15" s="5">
        <f t="shared" ref="E15:E24" si="1">B15/D15</f>
        <v>8835.3413654618489</v>
      </c>
    </row>
    <row r="16" spans="1:15" x14ac:dyDescent="0.25">
      <c r="B16" s="17">
        <v>9.5</v>
      </c>
      <c r="C16" s="23">
        <v>1</v>
      </c>
      <c r="D16" s="6">
        <f t="shared" si="0"/>
        <v>1E-3</v>
      </c>
      <c r="E16" s="5">
        <f t="shared" si="1"/>
        <v>9500</v>
      </c>
      <c r="N16" s="32" t="s">
        <v>32</v>
      </c>
      <c r="O16" s="32"/>
    </row>
    <row r="17" spans="2:19" x14ac:dyDescent="0.25">
      <c r="B17" s="17">
        <v>16.3</v>
      </c>
      <c r="C17" s="23">
        <v>1.5009999999999999</v>
      </c>
      <c r="D17" s="6">
        <f t="shared" si="0"/>
        <v>1.5009999999999999E-3</v>
      </c>
      <c r="E17" s="5">
        <f t="shared" si="1"/>
        <v>10859.427048634245</v>
      </c>
      <c r="N17" s="1" t="s">
        <v>37</v>
      </c>
      <c r="O17" s="17">
        <v>0.1</v>
      </c>
    </row>
    <row r="18" spans="2:19" x14ac:dyDescent="0.25">
      <c r="B18" s="17">
        <v>24.6</v>
      </c>
      <c r="C18" s="23">
        <v>2</v>
      </c>
      <c r="D18" s="6">
        <f t="shared" si="0"/>
        <v>2E-3</v>
      </c>
      <c r="E18" s="5">
        <f t="shared" si="1"/>
        <v>12300</v>
      </c>
      <c r="N18" s="3" t="s">
        <v>36</v>
      </c>
      <c r="O18" s="3">
        <f>O17*B8</f>
        <v>0.33700000000000002</v>
      </c>
      <c r="P18" t="s">
        <v>19</v>
      </c>
    </row>
    <row r="19" spans="2:19" x14ac:dyDescent="0.25">
      <c r="B19" s="17">
        <v>34.700000000000003</v>
      </c>
      <c r="C19" s="23">
        <v>2.4980000000000002</v>
      </c>
      <c r="D19" s="6">
        <f t="shared" si="0"/>
        <v>2.4980000000000002E-3</v>
      </c>
      <c r="E19" s="5">
        <f t="shared" si="1"/>
        <v>13891.11289031225</v>
      </c>
      <c r="N19" s="3" t="s">
        <v>34</v>
      </c>
      <c r="O19" s="9">
        <f>(1/4)*1/(F8*B8+F9)</f>
        <v>1.7859523848449141E-3</v>
      </c>
      <c r="P19" t="s">
        <v>35</v>
      </c>
    </row>
    <row r="20" spans="2:19" x14ac:dyDescent="0.25">
      <c r="B20" s="17">
        <v>46.1</v>
      </c>
      <c r="C20" s="23">
        <v>3.0019999999999998</v>
      </c>
      <c r="D20" s="6">
        <f t="shared" si="0"/>
        <v>3.0019999999999999E-3</v>
      </c>
      <c r="E20" s="5">
        <f t="shared" si="1"/>
        <v>15356.429047301799</v>
      </c>
    </row>
    <row r="21" spans="2:19" x14ac:dyDescent="0.25">
      <c r="B21" s="17">
        <v>59</v>
      </c>
      <c r="C21" s="23">
        <v>3.5059999999999998</v>
      </c>
      <c r="D21" s="6">
        <f t="shared" si="0"/>
        <v>3.506E-3</v>
      </c>
      <c r="E21" s="5">
        <f t="shared" si="1"/>
        <v>16828.294352538505</v>
      </c>
      <c r="N21" s="32" t="s">
        <v>45</v>
      </c>
      <c r="O21" s="32"/>
      <c r="Q21" s="31" t="s">
        <v>47</v>
      </c>
      <c r="R21" s="31"/>
    </row>
    <row r="22" spans="2:19" x14ac:dyDescent="0.25">
      <c r="B22" s="17">
        <v>73.599999999999994</v>
      </c>
      <c r="C22" s="23">
        <v>4.0039999999999996</v>
      </c>
      <c r="D22" s="6">
        <f t="shared" si="0"/>
        <v>4.0039999999999997E-3</v>
      </c>
      <c r="E22" s="5">
        <f t="shared" si="1"/>
        <v>18381.61838161838</v>
      </c>
      <c r="N22" s="3" t="s">
        <v>40</v>
      </c>
      <c r="O22" s="4">
        <f>O18/O19</f>
        <v>188.69484027664262</v>
      </c>
      <c r="P22" t="s">
        <v>28</v>
      </c>
      <c r="Q22" s="3" t="s">
        <v>41</v>
      </c>
      <c r="R22" s="4">
        <f>(F8/2)*B8^2+F9*B8</f>
        <v>264.60877816970776</v>
      </c>
      <c r="S22" t="s">
        <v>28</v>
      </c>
    </row>
    <row r="23" spans="2:19" x14ac:dyDescent="0.25">
      <c r="B23" s="17">
        <v>89.4</v>
      </c>
      <c r="C23" s="23">
        <v>4.5019999999999998</v>
      </c>
      <c r="D23" s="6">
        <f t="shared" si="0"/>
        <v>4.5019999999999999E-3</v>
      </c>
      <c r="E23" s="5">
        <f t="shared" si="1"/>
        <v>19857.840959573525</v>
      </c>
    </row>
    <row r="24" spans="2:19" x14ac:dyDescent="0.25">
      <c r="B24" s="17">
        <v>107.3</v>
      </c>
      <c r="C24" s="23">
        <v>5.0090000000000003</v>
      </c>
      <c r="D24" s="6">
        <f t="shared" si="0"/>
        <v>5.0090000000000004E-3</v>
      </c>
      <c r="E24" s="5">
        <f t="shared" si="1"/>
        <v>21421.441405470152</v>
      </c>
      <c r="N24" s="32" t="s">
        <v>46</v>
      </c>
      <c r="O24" s="32"/>
      <c r="Q24" s="32" t="s">
        <v>48</v>
      </c>
      <c r="R24" s="32"/>
    </row>
    <row r="25" spans="2:19" x14ac:dyDescent="0.25">
      <c r="N25" s="1" t="s">
        <v>38</v>
      </c>
      <c r="O25" s="20">
        <f>20*60</f>
        <v>1200</v>
      </c>
      <c r="P25" t="s">
        <v>28</v>
      </c>
      <c r="Q25" s="3" t="s">
        <v>27</v>
      </c>
      <c r="R25" s="4">
        <f>R22+O25+O22</f>
        <v>1653.3036184463506</v>
      </c>
      <c r="S25" t="s">
        <v>28</v>
      </c>
    </row>
    <row r="26" spans="2:19" x14ac:dyDescent="0.25">
      <c r="R26" s="10">
        <f>R25/60</f>
        <v>27.555060307439177</v>
      </c>
      <c r="S26" t="s">
        <v>39</v>
      </c>
    </row>
  </sheetData>
  <sheetProtection algorithmName="SHA-512" hashValue="p+UH1q0tNzd8VuicZkcHDKxcs5vusyYD5Q1t7Ncn55FO4n61xYpZJI5c8pC+UAwNyogfeeWlrxtNv0oCdTpDag==" saltValue="XL+3oZfjfw86v+VEFpvmuw==" spinCount="100000" sheet="1" objects="1" scenarios="1"/>
  <mergeCells count="11">
    <mergeCell ref="A1:B1"/>
    <mergeCell ref="A7:B7"/>
    <mergeCell ref="E1:F1"/>
    <mergeCell ref="N16:O16"/>
    <mergeCell ref="N24:O24"/>
    <mergeCell ref="Q21:R21"/>
    <mergeCell ref="Q24:R24"/>
    <mergeCell ref="N21:O21"/>
    <mergeCell ref="I2:K2"/>
    <mergeCell ref="I3:K3"/>
    <mergeCell ref="I4:K4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workbookViewId="0">
      <selection activeCell="G3" sqref="G3"/>
    </sheetView>
  </sheetViews>
  <sheetFormatPr defaultRowHeight="15" x14ac:dyDescent="0.25"/>
  <sheetData>
    <row r="2" spans="2:5" ht="15.75" thickBot="1" x14ac:dyDescent="0.3"/>
    <row r="3" spans="2:5" x14ac:dyDescent="0.25">
      <c r="B3" s="37" t="s">
        <v>51</v>
      </c>
      <c r="C3" s="38"/>
      <c r="D3" s="38"/>
      <c r="E3" s="39"/>
    </row>
    <row r="4" spans="2:5" x14ac:dyDescent="0.25">
      <c r="B4" s="24" t="s">
        <v>52</v>
      </c>
      <c r="C4" s="25" t="s">
        <v>53</v>
      </c>
      <c r="D4" s="25"/>
      <c r="E4" s="26"/>
    </row>
    <row r="5" spans="2:5" ht="15.75" thickBot="1" x14ac:dyDescent="0.3">
      <c r="B5" s="27" t="s">
        <v>54</v>
      </c>
      <c r="C5" s="28">
        <v>2017</v>
      </c>
      <c r="D5" s="29"/>
      <c r="E5" s="30"/>
    </row>
  </sheetData>
  <sheetProtection algorithmName="SHA-512" hashValue="qM1nm1Wx3t6vojzoiK7CL8DHDIQiUVYo72MotQbmeK+DSwR/OnT2MGXWvauQIOtOLR/08SFUvwelRbGHRIdtHA==" saltValue="SWX+d6wIdJ8D3NFLgyyBQQ==" spinCount="100000" sheet="1" objects="1" scenarios="1"/>
  <mergeCells count="1">
    <mergeCell ref="B3:E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Plate-and-Frame Filter</vt:lpstr>
      <vt:lpstr>Credits</vt:lpstr>
      <vt:lpstr>E.</vt:lpstr>
      <vt:lpstr>F.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2017-03-27T03:19:57Z</dcterms:modified>
</cp:coreProperties>
</file>