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workbookProtection workbookAlgorithmName="SHA-512" workbookHashValue="XRXZieUfGK7m5DbC+9ZggSI0n+7T6MSvCrmwDjGJo6bFhCjluQZmOKYYJNYP6BgpBOx8mUYYEYHBlyxGZ3jVog==" workbookSaltValue="vQK/ZSerWLoR/tx3QRRcLA==" workbookSpinCount="100000" lockStructure="1"/>
  <bookViews>
    <workbookView xWindow="360" yWindow="300" windowWidth="18735" windowHeight="11700" activeTab="1" xr2:uid="{00000000-000D-0000-FFFF-FFFF00000000}"/>
  </bookViews>
  <sheets>
    <sheet name="Label" sheetId="2" r:id="rId1"/>
    <sheet name="Main" sheetId="1" r:id="rId2"/>
    <sheet name="Credits" sheetId="3" r:id="rId3"/>
  </sheets>
  <externalReferences>
    <externalReference r:id="rId4"/>
  </externalReferences>
  <definedNames>
    <definedName name="A.">[1]Operation!$C$3</definedName>
    <definedName name="ae">Main!#REF!</definedName>
    <definedName name="ai">Main!$M$10</definedName>
    <definedName name="ao">Main!$P$10</definedName>
    <definedName name="Area">Main!$T$13</definedName>
    <definedName name="at">Main!$M$8</definedName>
    <definedName name="B">Main!$P$8</definedName>
    <definedName name="B.">[1]Operation!$C$4</definedName>
    <definedName name="C.">[1]Operation!$C$5</definedName>
    <definedName name="Cpc">Main!$C$13</definedName>
    <definedName name="Cpe">Main!#REF!</definedName>
    <definedName name="Cph">Main!$F$13</definedName>
    <definedName name="Cpi">Main!$M$12</definedName>
    <definedName name="Cpo">Main!$P$12</definedName>
    <definedName name="D.">[1]Equilibrium!$R$3</definedName>
    <definedName name="D_shell">Main!#REF!</definedName>
    <definedName name="Deq">Main!$T$4</definedName>
    <definedName name="Dh">Main!#REF!</definedName>
    <definedName name="Dshell">Main!$P$4</definedName>
    <definedName name="dT">Main!$J$16</definedName>
    <definedName name="dTc">Main!$C$10</definedName>
    <definedName name="Dte">Main!#REF!</definedName>
    <definedName name="dTh">Main!$F$10</definedName>
    <definedName name="Dti">Main!#REF!</definedName>
    <definedName name="dTlm">Main!$J$10</definedName>
    <definedName name="Dtube_e">Main!$M$5</definedName>
    <definedName name="Dtube_i">Main!$M$4</definedName>
    <definedName name="E.">[1]Equilibrium!$R$4</definedName>
    <definedName name="eu">Main!#REF!</definedName>
    <definedName name="F">Main!$J$15</definedName>
    <definedName name="F." localSheetId="2">[1]Equilibrium!$R$5</definedName>
    <definedName name="F.">Main!$J$15</definedName>
    <definedName name="Ge">Main!$P$17</definedName>
    <definedName name="Gi">Main!$M$17</definedName>
    <definedName name="Go">Main!$P$17</definedName>
    <definedName name="h_i">Main!$M$25</definedName>
    <definedName name="h_o">Main!$P$25</definedName>
    <definedName name="hi">Main!$M$21</definedName>
    <definedName name="hi2_">Main!#REF!</definedName>
    <definedName name="hii">Main!$M$22</definedName>
    <definedName name="ho">Main!$P$21</definedName>
    <definedName name="ho2_">Main!#REF!</definedName>
    <definedName name="k_x.a">[1]Absorption_packed!#REF!</definedName>
    <definedName name="kc">Main!$C$14</definedName>
    <definedName name="ke">Main!#REF!</definedName>
    <definedName name="kh">Main!$F$14</definedName>
    <definedName name="ki">Main!$M$13</definedName>
    <definedName name="ko">Main!$P$13</definedName>
    <definedName name="L.">[1]Absorption_packed!$B$6</definedName>
    <definedName name="L_">Main!$M$7</definedName>
    <definedName name="Lt">Main!$M$7</definedName>
    <definedName name="mc">Main!$C$4</definedName>
    <definedName name="me">Main!#REF!</definedName>
    <definedName name="mh">Main!$F$4</definedName>
    <definedName name="mi">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Main!$P$11</definedName>
    <definedName name="np">Main!$P$6</definedName>
    <definedName name="nt">Main!$M$6</definedName>
    <definedName name="P">Main!$P$7</definedName>
    <definedName name="phi_i">Main!$M$24</definedName>
    <definedName name="phi_o">Main!$P$24</definedName>
    <definedName name="Pr_i">Main!$M$19</definedName>
    <definedName name="Pr_o">Main!$P$19</definedName>
    <definedName name="Q">Main!$J$12</definedName>
    <definedName name="R.">Main!$J$13</definedName>
    <definedName name="R_">Main!$J$13</definedName>
    <definedName name="ral">Main!$T$5</definedName>
    <definedName name="Rd">Main!$T$3</definedName>
    <definedName name="Rd_true">Main!$T$15</definedName>
    <definedName name="Rdc">Main!#REF!</definedName>
    <definedName name="Rdh">Main!#REF!</definedName>
    <definedName name="Rdshell">Main!$P$3</definedName>
    <definedName name="Rdtube">Main!$M$3</definedName>
    <definedName name="Re_e">Main!$P$18</definedName>
    <definedName name="Re_i">Main!$M$18</definedName>
    <definedName name="Re_o">Main!$P$18</definedName>
    <definedName name="ro_c">Main!$C$16</definedName>
    <definedName name="ro_e">Main!#REF!</definedName>
    <definedName name="ro_h">Main!$F$16</definedName>
    <definedName name="ro_i">Main!$M$15</definedName>
    <definedName name="ro_o">Main!$P$15</definedName>
    <definedName name="S" localSheetId="2">[1]Absorption_packed!$E$2</definedName>
    <definedName name="S">Main!#REF!</definedName>
    <definedName name="S.">Main!$J$14</definedName>
    <definedName name="Squared">Main!$J$4</definedName>
    <definedName name="Tc1_">Main!$C$7</definedName>
    <definedName name="Tc2_">Main!$C$8</definedName>
    <definedName name="Tcm">Main!$C$9</definedName>
    <definedName name="Th1_">Main!$F$7</definedName>
    <definedName name="Th2_">Main!$F$8</definedName>
    <definedName name="Thm">Main!$F$9</definedName>
    <definedName name="Triangular">Main!$J$3</definedName>
    <definedName name="Tw">Main!$P$22</definedName>
    <definedName name="U">Main!$T$14</definedName>
    <definedName name="u_i">Main!$M$23</definedName>
    <definedName name="u_o">Main!$P$23</definedName>
    <definedName name="uc">Main!$C$15</definedName>
    <definedName name="Uclean">Main!$T$10</definedName>
    <definedName name="Udirty">Main!$T$11</definedName>
    <definedName name="uh">Main!$F$15</definedName>
    <definedName name="ui">Main!$M$14</definedName>
    <definedName name="uii">Main!$M$23</definedName>
    <definedName name="uo">Main!$P$14</definedName>
    <definedName name="uoo">Main!$P$23</definedName>
    <definedName name="V.">[1]Absorption_packed!$B$2</definedName>
    <definedName name="Vc">Main!$C$3</definedName>
    <definedName name="Vh">Main!$F$3</definedName>
    <definedName name="vi">Main!$M$20</definedName>
    <definedName name="vo">Main!$P$20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 iterate="1"/>
</workbook>
</file>

<file path=xl/calcChain.xml><?xml version="1.0" encoding="utf-8"?>
<calcChain xmlns="http://schemas.openxmlformats.org/spreadsheetml/2006/main">
  <c r="M17" i="1" l="1"/>
  <c r="M20" i="1" s="1"/>
  <c r="P20" i="1"/>
  <c r="T13" i="1" l="1"/>
  <c r="T3" i="1"/>
  <c r="M8" i="1"/>
  <c r="M10" i="1" s="1"/>
  <c r="J4" i="1"/>
  <c r="C4" i="1"/>
  <c r="J12" i="1" s="1"/>
  <c r="F4" i="1" s="1"/>
  <c r="F3" i="1" s="1"/>
  <c r="J14" i="1"/>
  <c r="J13" i="1"/>
  <c r="F10" i="1"/>
  <c r="C10" i="1"/>
  <c r="F9" i="1"/>
  <c r="C9" i="1"/>
  <c r="P7" i="1"/>
  <c r="P8" i="1"/>
  <c r="T4" i="1" l="1"/>
  <c r="P10" i="1"/>
  <c r="P15" i="1"/>
  <c r="P13" i="1"/>
  <c r="P11" i="1"/>
  <c r="P14" i="1"/>
  <c r="P12" i="1"/>
  <c r="M15" i="1"/>
  <c r="M14" i="1"/>
  <c r="M11" i="1"/>
  <c r="M13" i="1"/>
  <c r="M12" i="1"/>
  <c r="J15" i="1"/>
  <c r="J10" i="1"/>
  <c r="M18" i="1" l="1"/>
  <c r="M23" i="1"/>
  <c r="M24" i="1" s="1"/>
  <c r="P23" i="1"/>
  <c r="P24" i="1" s="1"/>
  <c r="M19" i="1"/>
  <c r="P17" i="1"/>
  <c r="P19" i="1"/>
  <c r="J16" i="1"/>
  <c r="T14" i="1" s="1"/>
  <c r="M21" i="1" l="1"/>
  <c r="M22" i="1" s="1"/>
  <c r="M25" i="1" s="1"/>
  <c r="P18" i="1"/>
  <c r="P21" i="1" l="1"/>
  <c r="P25" i="1" s="1"/>
  <c r="T10" i="1" s="1"/>
  <c r="T11" i="1" l="1"/>
  <c r="T15" i="1"/>
  <c r="P22" i="1"/>
</calcChain>
</file>

<file path=xl/sharedStrings.xml><?xml version="1.0" encoding="utf-8"?>
<sst xmlns="http://schemas.openxmlformats.org/spreadsheetml/2006/main" count="295" uniqueCount="164">
  <si>
    <t>Vc</t>
  </si>
  <si>
    <t>ro_c</t>
  </si>
  <si>
    <t>mc</t>
  </si>
  <si>
    <t>Vh</t>
  </si>
  <si>
    <t>ro_h</t>
  </si>
  <si>
    <t>mh</t>
  </si>
  <si>
    <t>Rd</t>
  </si>
  <si>
    <t>at</t>
  </si>
  <si>
    <t>nt</t>
  </si>
  <si>
    <t>np</t>
  </si>
  <si>
    <t>hr.ft².°F/BTU</t>
  </si>
  <si>
    <t>P</t>
  </si>
  <si>
    <t>B</t>
  </si>
  <si>
    <t>ft</t>
  </si>
  <si>
    <t>passes</t>
  </si>
  <si>
    <t>tubes</t>
  </si>
  <si>
    <t>Flowrate (cold)</t>
  </si>
  <si>
    <t>Flowrate (hot)</t>
  </si>
  <si>
    <t>Cpc</t>
  </si>
  <si>
    <t>Cph</t>
  </si>
  <si>
    <t>Tc1</t>
  </si>
  <si>
    <t>Tc2</t>
  </si>
  <si>
    <t>Th1</t>
  </si>
  <si>
    <t>Th2</t>
  </si>
  <si>
    <t>°F</t>
  </si>
  <si>
    <t>lb/ft³</t>
  </si>
  <si>
    <t>BTU/lb.°F</t>
  </si>
  <si>
    <t>kc</t>
  </si>
  <si>
    <t>uc</t>
  </si>
  <si>
    <t>kh</t>
  </si>
  <si>
    <t>uh</t>
  </si>
  <si>
    <t>BTU/hr.ft².°F</t>
  </si>
  <si>
    <t>cP</t>
  </si>
  <si>
    <t>dTc</t>
  </si>
  <si>
    <t>dTh</t>
  </si>
  <si>
    <t>Thm</t>
  </si>
  <si>
    <t>Tcm</t>
  </si>
  <si>
    <t>ft²</t>
  </si>
  <si>
    <t>Temperatures (cold)</t>
  </si>
  <si>
    <t>Temperatures (hot)</t>
  </si>
  <si>
    <t>Parameters (cold)</t>
  </si>
  <si>
    <t>Parameters (hot)</t>
  </si>
  <si>
    <t>BTU/hr</t>
  </si>
  <si>
    <t>Q</t>
  </si>
  <si>
    <t>dTlm</t>
  </si>
  <si>
    <t>F</t>
  </si>
  <si>
    <t>dT</t>
  </si>
  <si>
    <t>R.</t>
  </si>
  <si>
    <t>S.</t>
  </si>
  <si>
    <t>ai</t>
  </si>
  <si>
    <t>Dtube_e</t>
  </si>
  <si>
    <t>Dtube_i</t>
  </si>
  <si>
    <t>Dshell</t>
  </si>
  <si>
    <t>lb/hr</t>
  </si>
  <si>
    <t>mi</t>
  </si>
  <si>
    <t>ft³/hr</t>
  </si>
  <si>
    <t>Cpi</t>
  </si>
  <si>
    <t>ki</t>
  </si>
  <si>
    <t>ui</t>
  </si>
  <si>
    <t>ro_i</t>
  </si>
  <si>
    <t>Rdtube</t>
  </si>
  <si>
    <t>Rdshell</t>
  </si>
  <si>
    <t>cold temperature in</t>
  </si>
  <si>
    <t>cold temperature out</t>
  </si>
  <si>
    <t>average cold temperature</t>
  </si>
  <si>
    <t>cold temperature difference</t>
  </si>
  <si>
    <t>hot temperature in</t>
  </si>
  <si>
    <t>hot temperature out</t>
  </si>
  <si>
    <t>average hot temperature</t>
  </si>
  <si>
    <t>hot temperature difference</t>
  </si>
  <si>
    <t>cold fluid volumetric flow rate</t>
  </si>
  <si>
    <t>cold fluid mass flow rate</t>
  </si>
  <si>
    <t>hot fluid volumetric flow rate</t>
  </si>
  <si>
    <t>hot fluid mass flow rate</t>
  </si>
  <si>
    <t>cold fluid specific mass</t>
  </si>
  <si>
    <t>cold fluid specific heat</t>
  </si>
  <si>
    <t>cold fluid thermal capacity</t>
  </si>
  <si>
    <t>hot fluid specific heat</t>
  </si>
  <si>
    <t>hot fluid thermal capacity</t>
  </si>
  <si>
    <t>hot fluid specific mass</t>
  </si>
  <si>
    <t>R</t>
  </si>
  <si>
    <t>S</t>
  </si>
  <si>
    <t>log mean temperature difference</t>
  </si>
  <si>
    <t>exchanged heat</t>
  </si>
  <si>
    <t>R factor</t>
  </si>
  <si>
    <t>S factor</t>
  </si>
  <si>
    <t>correcting F factor</t>
  </si>
  <si>
    <t>true temperature difference</t>
  </si>
  <si>
    <t>fouling factor for tube</t>
  </si>
  <si>
    <t>fouling factor for shell</t>
  </si>
  <si>
    <t>internal tube diameter</t>
  </si>
  <si>
    <t>external tube diameter</t>
  </si>
  <si>
    <t>shell diameter</t>
  </si>
  <si>
    <t>Lt</t>
  </si>
  <si>
    <t>tube length</t>
  </si>
  <si>
    <t>number of tubes</t>
  </si>
  <si>
    <t>tube cross-sectional area</t>
  </si>
  <si>
    <t>cold fluid dynamic viscosity</t>
  </si>
  <si>
    <t>hot fluid dynamic viscosity</t>
  </si>
  <si>
    <t>average fouling factor</t>
  </si>
  <si>
    <t>number of passes</t>
  </si>
  <si>
    <t>Baffle spacing</t>
  </si>
  <si>
    <t>Pitch spacing</t>
  </si>
  <si>
    <t>Gi</t>
  </si>
  <si>
    <t>Re_i</t>
  </si>
  <si>
    <t>Triangular</t>
  </si>
  <si>
    <t>Squared</t>
  </si>
  <si>
    <t>Deq</t>
  </si>
  <si>
    <t>lb/ft².hr</t>
  </si>
  <si>
    <t>Inner</t>
  </si>
  <si>
    <t>Outer</t>
  </si>
  <si>
    <t>ao</t>
  </si>
  <si>
    <t>mo</t>
  </si>
  <si>
    <t>Cpo</t>
  </si>
  <si>
    <t>ko</t>
  </si>
  <si>
    <t>uo</t>
  </si>
  <si>
    <t>ro_o</t>
  </si>
  <si>
    <t>Go</t>
  </si>
  <si>
    <t>Re_o</t>
  </si>
  <si>
    <t>Pr_i</t>
  </si>
  <si>
    <t>Pr_o</t>
  </si>
  <si>
    <t>vi</t>
  </si>
  <si>
    <t>vo</t>
  </si>
  <si>
    <t>hi</t>
  </si>
  <si>
    <t>ho</t>
  </si>
  <si>
    <t>hii</t>
  </si>
  <si>
    <t>phi_i</t>
  </si>
  <si>
    <t>phi_o</t>
  </si>
  <si>
    <t>h'i</t>
  </si>
  <si>
    <t>h'o</t>
  </si>
  <si>
    <t>SHELL-AND-TUBE HEAT EXCHANGER DESIGN</t>
  </si>
  <si>
    <t>Pitch type</t>
  </si>
  <si>
    <t>u'i</t>
  </si>
  <si>
    <t>u'o</t>
  </si>
  <si>
    <t>Uclean</t>
  </si>
  <si>
    <t>Udirty</t>
  </si>
  <si>
    <t>Area</t>
  </si>
  <si>
    <t>U</t>
  </si>
  <si>
    <t>Rd_true</t>
  </si>
  <si>
    <t>ral</t>
  </si>
  <si>
    <t>Outer Fluid Properties</t>
  </si>
  <si>
    <t>Inner Fluid Properties</t>
  </si>
  <si>
    <t>cross-sectional area</t>
  </si>
  <si>
    <t>mass flow rate</t>
  </si>
  <si>
    <t>specific heat</t>
  </si>
  <si>
    <t>thermal capacity</t>
  </si>
  <si>
    <t>dynamic viscosity</t>
  </si>
  <si>
    <t>specific mass</t>
  </si>
  <si>
    <t>mass flux</t>
  </si>
  <si>
    <t>Reynolds number</t>
  </si>
  <si>
    <t>Prandtl number</t>
  </si>
  <si>
    <t>velocity</t>
  </si>
  <si>
    <t>convection heat transfer coefficient</t>
  </si>
  <si>
    <t>corrected dynamic viscosity</t>
  </si>
  <si>
    <t>dynamic viscosity ratio</t>
  </si>
  <si>
    <t>true convection heat transfer coefficient</t>
  </si>
  <si>
    <t>convection heat transfer coefficient (fix)</t>
  </si>
  <si>
    <t>Tw</t>
  </si>
  <si>
    <t>wall temperature</t>
  </si>
  <si>
    <t>ChemEng Brasil</t>
  </si>
  <si>
    <t>Autor:</t>
  </si>
  <si>
    <t>Lucas Joshua Pires</t>
  </si>
  <si>
    <t>Ano:</t>
  </si>
  <si>
    <t>ft/h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</si>
</sst>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10" xfId="0" applyBorder="1"/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2" fillId="0" borderId="0" xfId="0" applyFont="1" applyFill="1" applyBorder="1"/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0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6" xfId="0" applyFont="1" applyBorder="1"/>
    <xf numFmtId="0" fontId="0" fillId="0" borderId="7" xfId="0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295276</xdr:colOff>
      <xdr:row>17</xdr:row>
      <xdr:rowOff>0</xdr:rowOff>
    </xdr:from>
    <xdr:to>
      <xdr:col>9</xdr:col>
      <xdr:colOff>592668</xdr:colOff>
      <xdr:row>25</xdr:row>
      <xdr:rowOff>19774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6" y="3238500"/>
          <a:ext cx="5313892" cy="1554357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6"/>
  <sheetViews>
    <sheetView showGridLines="0" zoomScale="85" zoomScaleNormal="85" workbookViewId="0">
      <selection activeCell="H18" sqref="H18"/>
    </sheetView>
  </sheetViews>
  <sheetFormatPr defaultRowHeight="15" x14ac:dyDescent="0.25"/>
  <sheetData>
    <row r="2" spans="2:20" ht="15.75" x14ac:dyDescent="0.25">
      <c r="B2" s="76" t="s">
        <v>130</v>
      </c>
      <c r="C2" s="76"/>
      <c r="D2" s="76"/>
      <c r="E2" s="76"/>
      <c r="F2" s="76"/>
    </row>
    <row r="3" spans="2:20" ht="15.75" thickBot="1" x14ac:dyDescent="0.3"/>
    <row r="4" spans="2:20" x14ac:dyDescent="0.25">
      <c r="B4" s="45" t="s">
        <v>0</v>
      </c>
      <c r="C4" s="13" t="s">
        <v>70</v>
      </c>
      <c r="D4" s="14"/>
      <c r="E4" s="14"/>
      <c r="F4" s="47" t="s">
        <v>3</v>
      </c>
      <c r="G4" s="13" t="s">
        <v>72</v>
      </c>
      <c r="H4" s="14"/>
      <c r="I4" s="15"/>
      <c r="K4" s="42" t="s">
        <v>60</v>
      </c>
      <c r="L4" s="13" t="s">
        <v>88</v>
      </c>
      <c r="M4" s="14"/>
      <c r="N4" s="14"/>
      <c r="O4" s="21"/>
      <c r="P4" s="42" t="s">
        <v>61</v>
      </c>
      <c r="Q4" s="13" t="s">
        <v>89</v>
      </c>
      <c r="R4" s="14"/>
      <c r="S4" s="14"/>
      <c r="T4" s="15"/>
    </row>
    <row r="5" spans="2:20" ht="15.75" thickBot="1" x14ac:dyDescent="0.3">
      <c r="B5" s="46" t="s">
        <v>2</v>
      </c>
      <c r="C5" s="16" t="s">
        <v>71</v>
      </c>
      <c r="D5" s="17"/>
      <c r="E5" s="17"/>
      <c r="F5" s="48" t="s">
        <v>5</v>
      </c>
      <c r="G5" s="16" t="s">
        <v>73</v>
      </c>
      <c r="H5" s="17"/>
      <c r="I5" s="18"/>
      <c r="K5" s="44" t="s">
        <v>51</v>
      </c>
      <c r="L5" s="19" t="s">
        <v>90</v>
      </c>
      <c r="M5" s="9"/>
      <c r="N5" s="9"/>
      <c r="O5" s="22"/>
      <c r="P5" s="44" t="s">
        <v>52</v>
      </c>
      <c r="Q5" s="19" t="s">
        <v>92</v>
      </c>
      <c r="R5" s="9"/>
      <c r="S5" s="9"/>
      <c r="T5" s="20"/>
    </row>
    <row r="6" spans="2:20" ht="15.75" thickBot="1" x14ac:dyDescent="0.3">
      <c r="B6" s="1"/>
      <c r="C6" s="12"/>
      <c r="F6" s="1"/>
      <c r="K6" s="44" t="s">
        <v>50</v>
      </c>
      <c r="L6" s="19" t="s">
        <v>91</v>
      </c>
      <c r="M6" s="9"/>
      <c r="N6" s="9"/>
      <c r="O6" s="20"/>
      <c r="P6" s="44" t="s">
        <v>6</v>
      </c>
      <c r="Q6" s="19" t="s">
        <v>99</v>
      </c>
      <c r="R6" s="9"/>
      <c r="S6" s="9"/>
      <c r="T6" s="20"/>
    </row>
    <row r="7" spans="2:20" x14ac:dyDescent="0.25">
      <c r="B7" s="45" t="s">
        <v>20</v>
      </c>
      <c r="C7" s="13" t="s">
        <v>62</v>
      </c>
      <c r="D7" s="14"/>
      <c r="E7" s="14"/>
      <c r="F7" s="47" t="s">
        <v>22</v>
      </c>
      <c r="G7" s="13" t="s">
        <v>66</v>
      </c>
      <c r="H7" s="14"/>
      <c r="I7" s="15"/>
      <c r="K7" s="44" t="s">
        <v>8</v>
      </c>
      <c r="L7" s="19" t="s">
        <v>95</v>
      </c>
      <c r="M7" s="9"/>
      <c r="N7" s="9"/>
      <c r="O7" s="20"/>
      <c r="P7" s="44" t="s">
        <v>9</v>
      </c>
      <c r="Q7" s="19" t="s">
        <v>100</v>
      </c>
      <c r="R7" s="9"/>
      <c r="S7" s="9"/>
      <c r="T7" s="20"/>
    </row>
    <row r="8" spans="2:20" x14ac:dyDescent="0.25">
      <c r="B8" s="50" t="s">
        <v>21</v>
      </c>
      <c r="C8" s="19" t="s">
        <v>63</v>
      </c>
      <c r="D8" s="9"/>
      <c r="E8" s="9"/>
      <c r="F8" s="49" t="s">
        <v>23</v>
      </c>
      <c r="G8" s="19" t="s">
        <v>67</v>
      </c>
      <c r="H8" s="9"/>
      <c r="I8" s="20"/>
      <c r="K8" s="44" t="s">
        <v>93</v>
      </c>
      <c r="L8" s="19" t="s">
        <v>94</v>
      </c>
      <c r="M8" s="9"/>
      <c r="N8" s="9"/>
      <c r="O8" s="20"/>
      <c r="P8" s="44" t="s">
        <v>11</v>
      </c>
      <c r="Q8" s="19" t="s">
        <v>102</v>
      </c>
      <c r="R8" s="9"/>
      <c r="S8" s="9"/>
      <c r="T8" s="20"/>
    </row>
    <row r="9" spans="2:20" ht="15.75" thickBot="1" x14ac:dyDescent="0.3">
      <c r="B9" s="50" t="s">
        <v>36</v>
      </c>
      <c r="C9" s="19" t="s">
        <v>64</v>
      </c>
      <c r="D9" s="9"/>
      <c r="E9" s="9"/>
      <c r="F9" s="49" t="s">
        <v>35</v>
      </c>
      <c r="G9" s="19" t="s">
        <v>68</v>
      </c>
      <c r="H9" s="9"/>
      <c r="I9" s="20"/>
      <c r="K9" s="43" t="s">
        <v>7</v>
      </c>
      <c r="L9" s="16" t="s">
        <v>96</v>
      </c>
      <c r="M9" s="17"/>
      <c r="N9" s="17"/>
      <c r="O9" s="18"/>
      <c r="P9" s="43" t="s">
        <v>12</v>
      </c>
      <c r="Q9" s="16" t="s">
        <v>101</v>
      </c>
      <c r="R9" s="17"/>
      <c r="S9" s="17"/>
      <c r="T9" s="18"/>
    </row>
    <row r="10" spans="2:20" ht="15.75" thickBot="1" x14ac:dyDescent="0.3">
      <c r="B10" s="46" t="s">
        <v>33</v>
      </c>
      <c r="C10" s="16" t="s">
        <v>65</v>
      </c>
      <c r="D10" s="17"/>
      <c r="E10" s="17"/>
      <c r="F10" s="48" t="s">
        <v>34</v>
      </c>
      <c r="G10" s="16" t="s">
        <v>69</v>
      </c>
      <c r="H10" s="17"/>
      <c r="I10" s="18"/>
    </row>
    <row r="11" spans="2:20" ht="15.75" thickBot="1" x14ac:dyDescent="0.3">
      <c r="L11" s="77" t="s">
        <v>141</v>
      </c>
      <c r="M11" s="77"/>
      <c r="N11" s="77"/>
      <c r="Q11" s="77" t="s">
        <v>140</v>
      </c>
      <c r="R11" s="77"/>
      <c r="S11" s="77"/>
    </row>
    <row r="12" spans="2:20" x14ac:dyDescent="0.25">
      <c r="B12" s="45" t="s">
        <v>18</v>
      </c>
      <c r="C12" s="13" t="s">
        <v>75</v>
      </c>
      <c r="D12" s="14"/>
      <c r="E12" s="14"/>
      <c r="F12" s="47" t="s">
        <v>19</v>
      </c>
      <c r="G12" s="13" t="s">
        <v>77</v>
      </c>
      <c r="H12" s="14"/>
      <c r="I12" s="15"/>
      <c r="K12" s="42" t="s">
        <v>49</v>
      </c>
      <c r="L12" s="13" t="s">
        <v>142</v>
      </c>
      <c r="M12" s="14"/>
      <c r="N12" s="14"/>
      <c r="O12" s="15"/>
      <c r="P12" s="42" t="s">
        <v>111</v>
      </c>
      <c r="Q12" s="13" t="s">
        <v>142</v>
      </c>
      <c r="R12" s="14"/>
      <c r="S12" s="14"/>
      <c r="T12" s="15"/>
    </row>
    <row r="13" spans="2:20" x14ac:dyDescent="0.25">
      <c r="B13" s="50" t="s">
        <v>27</v>
      </c>
      <c r="C13" s="19" t="s">
        <v>76</v>
      </c>
      <c r="D13" s="9"/>
      <c r="E13" s="9"/>
      <c r="F13" s="49" t="s">
        <v>29</v>
      </c>
      <c r="G13" s="19" t="s">
        <v>78</v>
      </c>
      <c r="H13" s="9"/>
      <c r="I13" s="20"/>
      <c r="K13" s="44" t="s">
        <v>54</v>
      </c>
      <c r="L13" s="19" t="s">
        <v>143</v>
      </c>
      <c r="M13" s="9"/>
      <c r="N13" s="9"/>
      <c r="O13" s="20"/>
      <c r="P13" s="44" t="s">
        <v>112</v>
      </c>
      <c r="Q13" s="19" t="s">
        <v>143</v>
      </c>
      <c r="R13" s="9"/>
      <c r="S13" s="9"/>
      <c r="T13" s="20"/>
    </row>
    <row r="14" spans="2:20" x14ac:dyDescent="0.25">
      <c r="B14" s="50" t="s">
        <v>28</v>
      </c>
      <c r="C14" s="19" t="s">
        <v>97</v>
      </c>
      <c r="D14" s="9"/>
      <c r="E14" s="9"/>
      <c r="F14" s="49" t="s">
        <v>30</v>
      </c>
      <c r="G14" s="19" t="s">
        <v>98</v>
      </c>
      <c r="H14" s="9"/>
      <c r="I14" s="20"/>
      <c r="K14" s="44" t="s">
        <v>56</v>
      </c>
      <c r="L14" s="19" t="s">
        <v>144</v>
      </c>
      <c r="M14" s="9"/>
      <c r="N14" s="9"/>
      <c r="O14" s="20"/>
      <c r="P14" s="44" t="s">
        <v>113</v>
      </c>
      <c r="Q14" s="19" t="s">
        <v>144</v>
      </c>
      <c r="R14" s="9"/>
      <c r="S14" s="9"/>
      <c r="T14" s="20"/>
    </row>
    <row r="15" spans="2:20" ht="15.75" thickBot="1" x14ac:dyDescent="0.3">
      <c r="B15" s="46" t="s">
        <v>1</v>
      </c>
      <c r="C15" s="16" t="s">
        <v>74</v>
      </c>
      <c r="D15" s="17"/>
      <c r="E15" s="17"/>
      <c r="F15" s="48" t="s">
        <v>4</v>
      </c>
      <c r="G15" s="16" t="s">
        <v>79</v>
      </c>
      <c r="H15" s="17"/>
      <c r="I15" s="18"/>
      <c r="K15" s="44" t="s">
        <v>57</v>
      </c>
      <c r="L15" s="19" t="s">
        <v>145</v>
      </c>
      <c r="M15" s="9"/>
      <c r="N15" s="9"/>
      <c r="O15" s="20"/>
      <c r="P15" s="44" t="s">
        <v>114</v>
      </c>
      <c r="Q15" s="19" t="s">
        <v>145</v>
      </c>
      <c r="R15" s="9"/>
      <c r="S15" s="9"/>
      <c r="T15" s="20"/>
    </row>
    <row r="16" spans="2:20" x14ac:dyDescent="0.25">
      <c r="K16" s="44" t="s">
        <v>58</v>
      </c>
      <c r="L16" s="19" t="s">
        <v>146</v>
      </c>
      <c r="M16" s="9"/>
      <c r="N16" s="9"/>
      <c r="O16" s="20"/>
      <c r="P16" s="44" t="s">
        <v>115</v>
      </c>
      <c r="Q16" s="19" t="s">
        <v>146</v>
      </c>
      <c r="R16" s="9"/>
      <c r="S16" s="9"/>
      <c r="T16" s="20"/>
    </row>
    <row r="17" spans="2:20" ht="15.75" thickBot="1" x14ac:dyDescent="0.3">
      <c r="K17" s="44" t="s">
        <v>59</v>
      </c>
      <c r="L17" s="19" t="s">
        <v>147</v>
      </c>
      <c r="M17" s="9"/>
      <c r="N17" s="9"/>
      <c r="O17" s="20"/>
      <c r="P17" s="44" t="s">
        <v>116</v>
      </c>
      <c r="Q17" s="19" t="s">
        <v>147</v>
      </c>
      <c r="R17" s="9"/>
      <c r="S17" s="9"/>
      <c r="T17" s="20"/>
    </row>
    <row r="18" spans="2:20" x14ac:dyDescent="0.25">
      <c r="B18" s="51" t="s">
        <v>44</v>
      </c>
      <c r="C18" s="13" t="s">
        <v>82</v>
      </c>
      <c r="D18" s="14"/>
      <c r="E18" s="14"/>
      <c r="F18" s="15"/>
      <c r="K18" s="44" t="s">
        <v>103</v>
      </c>
      <c r="L18" s="55" t="s">
        <v>148</v>
      </c>
      <c r="M18" s="9"/>
      <c r="N18" s="9"/>
      <c r="O18" s="20"/>
      <c r="P18" s="44" t="s">
        <v>117</v>
      </c>
      <c r="Q18" s="55" t="s">
        <v>148</v>
      </c>
      <c r="R18" s="9"/>
      <c r="S18" s="9"/>
      <c r="T18" s="20"/>
    </row>
    <row r="19" spans="2:20" x14ac:dyDescent="0.25">
      <c r="B19" s="52" t="s">
        <v>43</v>
      </c>
      <c r="C19" s="19" t="s">
        <v>83</v>
      </c>
      <c r="D19" s="9"/>
      <c r="E19" s="9"/>
      <c r="F19" s="20"/>
      <c r="K19" s="44" t="s">
        <v>104</v>
      </c>
      <c r="L19" s="55" t="s">
        <v>149</v>
      </c>
      <c r="M19" s="9"/>
      <c r="N19" s="9"/>
      <c r="O19" s="20"/>
      <c r="P19" s="44" t="s">
        <v>118</v>
      </c>
      <c r="Q19" s="55" t="s">
        <v>149</v>
      </c>
      <c r="R19" s="9"/>
      <c r="S19" s="9"/>
      <c r="T19" s="20"/>
    </row>
    <row r="20" spans="2:20" x14ac:dyDescent="0.25">
      <c r="B20" s="52" t="s">
        <v>80</v>
      </c>
      <c r="C20" s="19" t="s">
        <v>84</v>
      </c>
      <c r="D20" s="9"/>
      <c r="E20" s="9"/>
      <c r="F20" s="20"/>
      <c r="K20" s="44" t="s">
        <v>119</v>
      </c>
      <c r="L20" s="19" t="s">
        <v>150</v>
      </c>
      <c r="M20" s="9"/>
      <c r="N20" s="9"/>
      <c r="O20" s="20"/>
      <c r="P20" s="44" t="s">
        <v>120</v>
      </c>
      <c r="Q20" s="19" t="s">
        <v>150</v>
      </c>
      <c r="R20" s="9"/>
      <c r="S20" s="9"/>
      <c r="T20" s="20"/>
    </row>
    <row r="21" spans="2:20" x14ac:dyDescent="0.25">
      <c r="B21" s="52" t="s">
        <v>81</v>
      </c>
      <c r="C21" s="19" t="s">
        <v>85</v>
      </c>
      <c r="D21" s="9"/>
      <c r="E21" s="9"/>
      <c r="F21" s="20"/>
      <c r="K21" s="44" t="s">
        <v>121</v>
      </c>
      <c r="L21" s="19" t="s">
        <v>151</v>
      </c>
      <c r="M21" s="9"/>
      <c r="N21" s="9"/>
      <c r="O21" s="20"/>
      <c r="P21" s="44" t="s">
        <v>122</v>
      </c>
      <c r="Q21" s="19" t="s">
        <v>151</v>
      </c>
      <c r="R21" s="9"/>
      <c r="S21" s="9"/>
      <c r="T21" s="20"/>
    </row>
    <row r="22" spans="2:20" x14ac:dyDescent="0.25">
      <c r="B22" s="52" t="s">
        <v>45</v>
      </c>
      <c r="C22" s="19" t="s">
        <v>86</v>
      </c>
      <c r="D22" s="9"/>
      <c r="E22" s="9"/>
      <c r="F22" s="20"/>
      <c r="K22" s="44" t="s">
        <v>123</v>
      </c>
      <c r="L22" s="19" t="s">
        <v>152</v>
      </c>
      <c r="M22" s="9"/>
      <c r="N22" s="9"/>
      <c r="O22" s="20"/>
      <c r="P22" s="44" t="s">
        <v>124</v>
      </c>
      <c r="Q22" s="19" t="s">
        <v>152</v>
      </c>
      <c r="R22" s="9"/>
      <c r="S22" s="9"/>
      <c r="T22" s="20"/>
    </row>
    <row r="23" spans="2:20" ht="15.75" thickBot="1" x14ac:dyDescent="0.3">
      <c r="B23" s="53" t="s">
        <v>46</v>
      </c>
      <c r="C23" s="16" t="s">
        <v>87</v>
      </c>
      <c r="D23" s="17"/>
      <c r="E23" s="17"/>
      <c r="F23" s="18"/>
      <c r="K23" s="44" t="s">
        <v>125</v>
      </c>
      <c r="L23" s="19" t="s">
        <v>156</v>
      </c>
      <c r="M23" s="9"/>
      <c r="N23" s="9"/>
      <c r="O23" s="20"/>
      <c r="P23" s="44" t="s">
        <v>157</v>
      </c>
      <c r="Q23" s="19" t="s">
        <v>158</v>
      </c>
      <c r="R23" s="9"/>
      <c r="S23" s="9"/>
      <c r="T23" s="20"/>
    </row>
    <row r="24" spans="2:20" x14ac:dyDescent="0.25">
      <c r="K24" s="44" t="s">
        <v>132</v>
      </c>
      <c r="L24" s="19" t="s">
        <v>153</v>
      </c>
      <c r="M24" s="9"/>
      <c r="N24" s="9"/>
      <c r="O24" s="20"/>
      <c r="P24" s="44" t="s">
        <v>133</v>
      </c>
      <c r="Q24" s="19" t="s">
        <v>153</v>
      </c>
      <c r="R24" s="9"/>
      <c r="S24" s="9"/>
      <c r="T24" s="20"/>
    </row>
    <row r="25" spans="2:20" x14ac:dyDescent="0.25">
      <c r="K25" s="44" t="s">
        <v>126</v>
      </c>
      <c r="L25" s="19" t="s">
        <v>154</v>
      </c>
      <c r="M25" s="9"/>
      <c r="N25" s="9"/>
      <c r="O25" s="20"/>
      <c r="P25" s="44" t="s">
        <v>127</v>
      </c>
      <c r="Q25" s="19" t="s">
        <v>154</v>
      </c>
      <c r="R25" s="9"/>
      <c r="S25" s="9"/>
      <c r="T25" s="20"/>
    </row>
    <row r="26" spans="2:20" ht="15.75" thickBot="1" x14ac:dyDescent="0.3">
      <c r="K26" s="43" t="s">
        <v>128</v>
      </c>
      <c r="L26" s="16" t="s">
        <v>155</v>
      </c>
      <c r="M26" s="17"/>
      <c r="N26" s="17"/>
      <c r="O26" s="18"/>
      <c r="P26" s="43" t="s">
        <v>129</v>
      </c>
      <c r="Q26" s="16" t="s">
        <v>155</v>
      </c>
      <c r="R26" s="17"/>
      <c r="S26" s="17"/>
      <c r="T26" s="18"/>
    </row>
  </sheetData>
  <sheetProtection algorithmName="SHA-512" hashValue="bQLopwdS/QV/hzGOuO9pB29BzUbQo5VvGjKi0lPU9iaf+90dkY5bEhT3/AUdKLmq8S40RvsnGOnckmN9kqIdWg==" saltValue="rJ4mAfoEStPrVui+SLYUCQ==" spinCount="100000" sheet="1" objects="1" scenarios="1"/>
  <mergeCells count="3">
    <mergeCell ref="B2:F2"/>
    <mergeCell ref="L11:N11"/>
    <mergeCell ref="Q11:S1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5"/>
  <sheetViews>
    <sheetView showGridLines="0" tabSelected="1" zoomScale="85" zoomScaleNormal="85" workbookViewId="0">
      <selection activeCell="J10" sqref="J10"/>
    </sheetView>
  </sheetViews>
  <sheetFormatPr defaultRowHeight="15" x14ac:dyDescent="0.25"/>
  <cols>
    <col min="1" max="1" width="4.5703125" customWidth="1"/>
    <col min="4" max="4" width="12.42578125" customWidth="1"/>
    <col min="7" max="7" width="11.85546875" customWidth="1"/>
    <col min="8" max="8" width="4.85546875" customWidth="1"/>
    <col min="11" max="11" width="9" customWidth="1"/>
    <col min="13" max="13" width="9.42578125" customWidth="1"/>
    <col min="14" max="14" width="12.28515625" customWidth="1"/>
    <col min="15" max="15" width="9.28515625" customWidth="1"/>
    <col min="17" max="17" width="12.42578125" customWidth="1"/>
    <col min="18" max="18" width="4.5703125" customWidth="1"/>
    <col min="20" max="20" width="12" customWidth="1"/>
    <col min="21" max="21" width="11.85546875" customWidth="1"/>
  </cols>
  <sheetData>
    <row r="1" spans="2:21" ht="15.75" thickBot="1" x14ac:dyDescent="0.3"/>
    <row r="2" spans="2:21" x14ac:dyDescent="0.25">
      <c r="B2" s="80" t="s">
        <v>16</v>
      </c>
      <c r="C2" s="81"/>
      <c r="D2" s="14"/>
      <c r="E2" s="81" t="s">
        <v>17</v>
      </c>
      <c r="F2" s="81"/>
      <c r="G2" s="15"/>
      <c r="H2" s="9"/>
      <c r="I2" s="80" t="s">
        <v>131</v>
      </c>
      <c r="J2" s="83"/>
      <c r="L2" s="80" t="s">
        <v>109</v>
      </c>
      <c r="M2" s="81"/>
      <c r="N2" s="14"/>
      <c r="O2" s="82" t="s">
        <v>110</v>
      </c>
      <c r="P2" s="82"/>
      <c r="Q2" s="15"/>
    </row>
    <row r="3" spans="2:21" x14ac:dyDescent="0.25">
      <c r="B3" s="23" t="s">
        <v>0</v>
      </c>
      <c r="C3" s="56">
        <v>1000</v>
      </c>
      <c r="D3" s="9" t="s">
        <v>55</v>
      </c>
      <c r="E3" s="10" t="s">
        <v>3</v>
      </c>
      <c r="F3" s="10">
        <f>mh/ro_h</f>
        <v>500</v>
      </c>
      <c r="G3" s="20" t="s">
        <v>55</v>
      </c>
      <c r="H3" s="9"/>
      <c r="I3" s="24" t="s">
        <v>105</v>
      </c>
      <c r="J3" s="57">
        <v>1</v>
      </c>
      <c r="L3" s="23" t="s">
        <v>60</v>
      </c>
      <c r="M3" s="56">
        <v>1E-3</v>
      </c>
      <c r="N3" s="9" t="s">
        <v>10</v>
      </c>
      <c r="O3" s="2" t="s">
        <v>61</v>
      </c>
      <c r="P3" s="58">
        <v>2E-3</v>
      </c>
      <c r="Q3" s="20" t="s">
        <v>10</v>
      </c>
      <c r="S3" s="5" t="s">
        <v>6</v>
      </c>
      <c r="T3" s="62">
        <f>Rdtube+Rdshell</f>
        <v>3.0000000000000001E-3</v>
      </c>
      <c r="U3" t="s">
        <v>10</v>
      </c>
    </row>
    <row r="4" spans="2:21" ht="15.75" thickBot="1" x14ac:dyDescent="0.3">
      <c r="B4" s="40" t="s">
        <v>2</v>
      </c>
      <c r="C4" s="41">
        <f>Vc*ro_c</f>
        <v>50000</v>
      </c>
      <c r="D4" s="17" t="s">
        <v>53</v>
      </c>
      <c r="E4" s="41" t="s">
        <v>5</v>
      </c>
      <c r="F4" s="41">
        <f>Q/(Cph*(Th1_-Th2_))</f>
        <v>30000</v>
      </c>
      <c r="G4" s="18" t="s">
        <v>53</v>
      </c>
      <c r="H4" s="9"/>
      <c r="I4" s="29" t="s">
        <v>106</v>
      </c>
      <c r="J4" s="54">
        <f>1-Triangular</f>
        <v>0</v>
      </c>
      <c r="L4" s="24" t="s">
        <v>51</v>
      </c>
      <c r="M4" s="58">
        <v>4.9000000000000002E-2</v>
      </c>
      <c r="N4" s="9" t="s">
        <v>13</v>
      </c>
      <c r="O4" s="2" t="s">
        <v>52</v>
      </c>
      <c r="P4" s="58">
        <v>1.7709999999999999</v>
      </c>
      <c r="Q4" s="20" t="s">
        <v>13</v>
      </c>
      <c r="S4" s="7" t="s">
        <v>107</v>
      </c>
      <c r="T4" s="63">
        <f>IF(Triangular&gt;Squared,(3.44*P^2-PI()*Dtube_e^2)/(PI()*Dtube_e),(4*P^2-PI()*Dtube_e^2)/(PI()*Dtube_e))</f>
        <v>6.0646282310958775E-2</v>
      </c>
      <c r="U4" t="s">
        <v>13</v>
      </c>
    </row>
    <row r="5" spans="2:21" ht="15.75" thickBot="1" x14ac:dyDescent="0.3">
      <c r="B5" s="9"/>
      <c r="D5" s="9"/>
      <c r="E5" s="9"/>
      <c r="F5" s="9"/>
      <c r="L5" s="24" t="s">
        <v>50</v>
      </c>
      <c r="M5" s="58">
        <v>6.2E-2</v>
      </c>
      <c r="N5" s="9" t="s">
        <v>13</v>
      </c>
      <c r="O5" s="9"/>
      <c r="P5" s="9"/>
      <c r="Q5" s="20"/>
      <c r="S5" s="7" t="s">
        <v>139</v>
      </c>
      <c r="T5" s="5">
        <v>0.5</v>
      </c>
      <c r="U5" t="s">
        <v>13</v>
      </c>
    </row>
    <row r="6" spans="2:21" x14ac:dyDescent="0.25">
      <c r="B6" s="80" t="s">
        <v>38</v>
      </c>
      <c r="C6" s="81"/>
      <c r="D6" s="14"/>
      <c r="E6" s="81" t="s">
        <v>39</v>
      </c>
      <c r="F6" s="81"/>
      <c r="G6" s="15"/>
      <c r="H6" s="9"/>
      <c r="L6" s="24" t="s">
        <v>8</v>
      </c>
      <c r="M6" s="58">
        <v>302</v>
      </c>
      <c r="N6" s="9" t="s">
        <v>15</v>
      </c>
      <c r="O6" s="2" t="s">
        <v>9</v>
      </c>
      <c r="P6" s="58">
        <v>2</v>
      </c>
      <c r="Q6" s="20" t="s">
        <v>14</v>
      </c>
    </row>
    <row r="7" spans="2:21" x14ac:dyDescent="0.25">
      <c r="B7" s="23" t="s">
        <v>20</v>
      </c>
      <c r="C7" s="56">
        <v>80</v>
      </c>
      <c r="D7" s="9" t="s">
        <v>24</v>
      </c>
      <c r="E7" s="8" t="s">
        <v>22</v>
      </c>
      <c r="F7" s="56">
        <v>150</v>
      </c>
      <c r="G7" s="20" t="s">
        <v>24</v>
      </c>
      <c r="H7" s="9"/>
      <c r="L7" s="24" t="s">
        <v>93</v>
      </c>
      <c r="M7" s="58">
        <v>16</v>
      </c>
      <c r="N7" s="9" t="s">
        <v>13</v>
      </c>
      <c r="O7" s="2" t="s">
        <v>11</v>
      </c>
      <c r="P7" s="58">
        <f>1/12</f>
        <v>8.3333333333333329E-2</v>
      </c>
      <c r="Q7" s="20" t="s">
        <v>13</v>
      </c>
    </row>
    <row r="8" spans="2:21" ht="15.75" thickBot="1" x14ac:dyDescent="0.3">
      <c r="B8" s="24" t="s">
        <v>21</v>
      </c>
      <c r="C8" s="58">
        <v>110</v>
      </c>
      <c r="D8" s="9" t="s">
        <v>24</v>
      </c>
      <c r="E8" s="2" t="s">
        <v>23</v>
      </c>
      <c r="F8" s="58">
        <v>100</v>
      </c>
      <c r="G8" s="20" t="s">
        <v>24</v>
      </c>
      <c r="H8" s="9"/>
      <c r="L8" s="25" t="s">
        <v>7</v>
      </c>
      <c r="M8" s="26">
        <f>Dtube_i^2*PI()/4</f>
        <v>1.8857409903172736E-3</v>
      </c>
      <c r="N8" s="17" t="s">
        <v>37</v>
      </c>
      <c r="O8" s="27" t="s">
        <v>12</v>
      </c>
      <c r="P8" s="59">
        <f>5/12</f>
        <v>0.41666666666666669</v>
      </c>
      <c r="Q8" s="18" t="s">
        <v>13</v>
      </c>
    </row>
    <row r="9" spans="2:21" ht="15.75" thickBot="1" x14ac:dyDescent="0.3">
      <c r="B9" s="28" t="s">
        <v>36</v>
      </c>
      <c r="C9" s="4">
        <f>AVERAGE(C7:C8)</f>
        <v>95</v>
      </c>
      <c r="D9" s="9" t="s">
        <v>24</v>
      </c>
      <c r="E9" s="5" t="s">
        <v>35</v>
      </c>
      <c r="F9" s="4">
        <f>AVERAGE(F7:F8)</f>
        <v>125</v>
      </c>
      <c r="G9" s="20" t="s">
        <v>24</v>
      </c>
      <c r="H9" s="9"/>
    </row>
    <row r="10" spans="2:21" ht="15.75" thickBot="1" x14ac:dyDescent="0.3">
      <c r="B10" s="40" t="s">
        <v>33</v>
      </c>
      <c r="C10" s="26">
        <f>Th2_-Tc1_</f>
        <v>20</v>
      </c>
      <c r="D10" s="17" t="s">
        <v>24</v>
      </c>
      <c r="E10" s="41" t="s">
        <v>34</v>
      </c>
      <c r="F10" s="26">
        <f>Th1_-Tc2_</f>
        <v>40</v>
      </c>
      <c r="G10" s="18" t="s">
        <v>24</v>
      </c>
      <c r="H10" s="9"/>
      <c r="I10" s="5" t="s">
        <v>44</v>
      </c>
      <c r="J10" s="65">
        <f>(dTh-dTc)/LN(dTh/dTc)</f>
        <v>28.85390081777927</v>
      </c>
      <c r="K10" t="s">
        <v>24</v>
      </c>
      <c r="L10" s="30" t="s">
        <v>49</v>
      </c>
      <c r="M10" s="72">
        <f>at*nt/np</f>
        <v>0.28474688953790833</v>
      </c>
      <c r="N10" s="14" t="s">
        <v>37</v>
      </c>
      <c r="O10" s="31" t="s">
        <v>111</v>
      </c>
      <c r="P10" s="72">
        <f>Dshell*B*(P-Dtube_e)/P</f>
        <v>0.18890666666666664</v>
      </c>
      <c r="Q10" s="15" t="s">
        <v>37</v>
      </c>
      <c r="S10" s="4" t="s">
        <v>134</v>
      </c>
      <c r="T10" s="66">
        <f>h_i*h_o/(h_i+h_o)</f>
        <v>53.63421738491585</v>
      </c>
      <c r="U10" t="s">
        <v>31</v>
      </c>
    </row>
    <row r="11" spans="2:21" ht="15.75" thickBot="1" x14ac:dyDescent="0.3">
      <c r="E11" s="9"/>
      <c r="F11" s="9"/>
      <c r="G11" s="9"/>
      <c r="H11" s="9"/>
      <c r="L11" s="32" t="s">
        <v>54</v>
      </c>
      <c r="M11" s="7">
        <f>IF(mc&gt;mh, mc, mh)</f>
        <v>50000</v>
      </c>
      <c r="N11" s="9" t="s">
        <v>53</v>
      </c>
      <c r="O11" s="7" t="s">
        <v>112</v>
      </c>
      <c r="P11" s="7">
        <f>IF(mc&gt;mh, mh, mc)</f>
        <v>30000</v>
      </c>
      <c r="Q11" s="20" t="s">
        <v>53</v>
      </c>
      <c r="S11" s="4" t="s">
        <v>135</v>
      </c>
      <c r="T11" s="66">
        <f>1/(1/Uclean+Rd)</f>
        <v>46.200443495727711</v>
      </c>
      <c r="U11" t="s">
        <v>31</v>
      </c>
    </row>
    <row r="12" spans="2:21" x14ac:dyDescent="0.25">
      <c r="B12" s="78" t="s">
        <v>40</v>
      </c>
      <c r="C12" s="79"/>
      <c r="D12" s="14"/>
      <c r="E12" s="79" t="s">
        <v>41</v>
      </c>
      <c r="F12" s="79"/>
      <c r="G12" s="15"/>
      <c r="H12" s="9"/>
      <c r="I12" s="2" t="s">
        <v>43</v>
      </c>
      <c r="J12" s="3">
        <f>mc*Cpc*(Tc2_-Tc1_)</f>
        <v>1500000</v>
      </c>
      <c r="K12" t="s">
        <v>42</v>
      </c>
      <c r="L12" s="32" t="s">
        <v>56</v>
      </c>
      <c r="M12" s="7">
        <f>IF(mc&gt;mh, Cpc, Cph)</f>
        <v>1</v>
      </c>
      <c r="N12" s="9" t="s">
        <v>26</v>
      </c>
      <c r="O12" s="7" t="s">
        <v>113</v>
      </c>
      <c r="P12" s="7">
        <f>IF(mc&gt;mh, Cph, Cpc)</f>
        <v>1</v>
      </c>
      <c r="Q12" s="20" t="s">
        <v>26</v>
      </c>
    </row>
    <row r="13" spans="2:21" x14ac:dyDescent="0.25">
      <c r="B13" s="24" t="s">
        <v>18</v>
      </c>
      <c r="C13" s="58">
        <v>1</v>
      </c>
      <c r="D13" s="9" t="s">
        <v>26</v>
      </c>
      <c r="E13" s="2" t="s">
        <v>19</v>
      </c>
      <c r="F13" s="58">
        <v>1</v>
      </c>
      <c r="G13" s="20" t="s">
        <v>26</v>
      </c>
      <c r="H13" s="9"/>
      <c r="I13" s="6" t="s">
        <v>47</v>
      </c>
      <c r="J13" s="64">
        <f>(Th1_-Th2_)/(Tc2_-Tc1_)</f>
        <v>1.6666666666666667</v>
      </c>
      <c r="L13" s="32" t="s">
        <v>57</v>
      </c>
      <c r="M13" s="7">
        <f>IF(mc&gt;mh,kc, kh)</f>
        <v>1</v>
      </c>
      <c r="N13" s="9" t="s">
        <v>31</v>
      </c>
      <c r="O13" s="7" t="s">
        <v>114</v>
      </c>
      <c r="P13" s="7">
        <f>IF(mc&gt;mh, kh, kc)</f>
        <v>1</v>
      </c>
      <c r="Q13" s="20" t="s">
        <v>31</v>
      </c>
      <c r="S13" s="2" t="s">
        <v>136</v>
      </c>
      <c r="T13" s="3">
        <f>nt*ral*Lt</f>
        <v>2416</v>
      </c>
      <c r="U13" t="s">
        <v>37</v>
      </c>
    </row>
    <row r="14" spans="2:21" x14ac:dyDescent="0.25">
      <c r="B14" s="24" t="s">
        <v>27</v>
      </c>
      <c r="C14" s="58">
        <v>1</v>
      </c>
      <c r="D14" s="9" t="s">
        <v>31</v>
      </c>
      <c r="E14" s="2" t="s">
        <v>29</v>
      </c>
      <c r="F14" s="58">
        <v>1</v>
      </c>
      <c r="G14" s="20" t="s">
        <v>31</v>
      </c>
      <c r="H14" s="9"/>
      <c r="I14" s="6" t="s">
        <v>48</v>
      </c>
      <c r="J14" s="64">
        <f>(Tc2_-Tc1_)/(Th1_-Tc1_)</f>
        <v>0.42857142857142855</v>
      </c>
      <c r="L14" s="32" t="s">
        <v>58</v>
      </c>
      <c r="M14" s="7">
        <f>IF(mc&gt;mh, uc, uh)</f>
        <v>0.5</v>
      </c>
      <c r="N14" s="9" t="s">
        <v>32</v>
      </c>
      <c r="O14" s="7" t="s">
        <v>115</v>
      </c>
      <c r="P14" s="7">
        <f>IF(mc&gt;mh, uh, uc)</f>
        <v>0.5</v>
      </c>
      <c r="Q14" s="20" t="s">
        <v>32</v>
      </c>
      <c r="S14" s="2" t="s">
        <v>137</v>
      </c>
      <c r="T14" s="61">
        <f>Q/(Area*dT)</f>
        <v>45.234431657646972</v>
      </c>
      <c r="U14" t="s">
        <v>31</v>
      </c>
    </row>
    <row r="15" spans="2:21" ht="15.75" thickBot="1" x14ac:dyDescent="0.3">
      <c r="B15" s="24" t="s">
        <v>28</v>
      </c>
      <c r="C15" s="58">
        <v>0.5</v>
      </c>
      <c r="D15" s="9" t="s">
        <v>32</v>
      </c>
      <c r="E15" s="2" t="s">
        <v>30</v>
      </c>
      <c r="F15" s="58">
        <v>0.5</v>
      </c>
      <c r="G15" s="20" t="s">
        <v>32</v>
      </c>
      <c r="H15" s="9"/>
      <c r="I15" s="6" t="s">
        <v>45</v>
      </c>
      <c r="J15" s="64">
        <f>(SQRT(R.^2+1)*LN(((1-S.)/(1-R.*S.))))/((R.-1)*LN((2-S.*(R.+1-SQRT(R.^2+1)))/((2-S.*(R.+1+SQRT(R.^2+1))))))</f>
        <v>0.47568631394831673</v>
      </c>
      <c r="L15" s="33" t="s">
        <v>59</v>
      </c>
      <c r="M15" s="34">
        <f>IF(mc&gt;mh, ro_c, ro_h)</f>
        <v>50</v>
      </c>
      <c r="N15" s="17" t="s">
        <v>25</v>
      </c>
      <c r="O15" s="34" t="s">
        <v>116</v>
      </c>
      <c r="P15" s="34">
        <f>IF(mc&gt;mh, ro_h, ro_c)</f>
        <v>60</v>
      </c>
      <c r="Q15" s="18" t="s">
        <v>25</v>
      </c>
      <c r="S15" s="2" t="s">
        <v>138</v>
      </c>
      <c r="T15" s="60">
        <f>(Uclean-U)/(Uclean*U)</f>
        <v>3.4622396183958538E-3</v>
      </c>
      <c r="U15" t="s">
        <v>10</v>
      </c>
    </row>
    <row r="16" spans="2:21" ht="15.75" thickBot="1" x14ac:dyDescent="0.3">
      <c r="B16" s="29" t="s">
        <v>1</v>
      </c>
      <c r="C16" s="59">
        <v>50</v>
      </c>
      <c r="D16" s="17" t="s">
        <v>25</v>
      </c>
      <c r="E16" s="27" t="s">
        <v>4</v>
      </c>
      <c r="F16" s="59">
        <v>60</v>
      </c>
      <c r="G16" s="18" t="s">
        <v>25</v>
      </c>
      <c r="H16" s="9"/>
      <c r="I16" s="4" t="s">
        <v>46</v>
      </c>
      <c r="J16" s="64">
        <f>F*dTlm</f>
        <v>13.725405723039742</v>
      </c>
      <c r="K16" t="s">
        <v>24</v>
      </c>
    </row>
    <row r="17" spans="12:17" x14ac:dyDescent="0.25">
      <c r="L17" s="35" t="s">
        <v>103</v>
      </c>
      <c r="M17" s="67">
        <f>mi/ai</f>
        <v>175594.54321394264</v>
      </c>
      <c r="N17" s="14" t="s">
        <v>108</v>
      </c>
      <c r="O17" s="36" t="s">
        <v>117</v>
      </c>
      <c r="P17" s="67">
        <f>mo/ao</f>
        <v>158808.58272162621</v>
      </c>
      <c r="Q17" s="15" t="s">
        <v>108</v>
      </c>
    </row>
    <row r="18" spans="12:17" x14ac:dyDescent="0.25">
      <c r="L18" s="37" t="s">
        <v>104</v>
      </c>
      <c r="M18" s="68">
        <f>Dtube_i*Gi/(ui*2.41908833)</f>
        <v>7113.5332354591528</v>
      </c>
      <c r="N18" s="9"/>
      <c r="O18" s="6" t="s">
        <v>118</v>
      </c>
      <c r="P18" s="68">
        <f>Deq*Go/(uo*2.41908833)</f>
        <v>7962.6279220147308</v>
      </c>
      <c r="Q18" s="20"/>
    </row>
    <row r="19" spans="12:17" x14ac:dyDescent="0.25">
      <c r="L19" s="37" t="s">
        <v>119</v>
      </c>
      <c r="M19" s="68">
        <f>Cpi*ui/ki</f>
        <v>0.5</v>
      </c>
      <c r="N19" s="9"/>
      <c r="O19" s="6" t="s">
        <v>120</v>
      </c>
      <c r="P19" s="68">
        <f>Cpo*uo/ko</f>
        <v>0.5</v>
      </c>
      <c r="Q19" s="20"/>
    </row>
    <row r="20" spans="12:17" x14ac:dyDescent="0.25">
      <c r="L20" s="37" t="s">
        <v>121</v>
      </c>
      <c r="M20" s="68">
        <f>Gi/ro_i</f>
        <v>3511.8908642788529</v>
      </c>
      <c r="N20" s="9" t="s">
        <v>163</v>
      </c>
      <c r="O20" s="6" t="s">
        <v>122</v>
      </c>
      <c r="P20" s="68">
        <f>Go/ro_o</f>
        <v>2646.8097120271036</v>
      </c>
      <c r="Q20" s="20" t="s">
        <v>163</v>
      </c>
    </row>
    <row r="21" spans="12:17" x14ac:dyDescent="0.25">
      <c r="L21" s="37" t="s">
        <v>123</v>
      </c>
      <c r="M21" s="68">
        <f>0.027*(ki/Dtube_i)*Re_i^0.8*Pr_i^1/3</f>
        <v>110.83699065378759</v>
      </c>
      <c r="N21" s="9" t="s">
        <v>31</v>
      </c>
      <c r="O21" s="6" t="s">
        <v>124</v>
      </c>
      <c r="P21" s="68">
        <f>0.36*ko/Deq*(Re_o)^0.55*(Pr_o)^1/3</f>
        <v>138.33373387774068</v>
      </c>
      <c r="Q21" s="20" t="s">
        <v>31</v>
      </c>
    </row>
    <row r="22" spans="12:17" x14ac:dyDescent="0.25">
      <c r="L22" s="37" t="s">
        <v>125</v>
      </c>
      <c r="M22" s="68">
        <f>hi*Dtube_i/Dtube_e</f>
        <v>87.596976484445037</v>
      </c>
      <c r="N22" s="9" t="s">
        <v>31</v>
      </c>
      <c r="O22" s="11" t="s">
        <v>157</v>
      </c>
      <c r="P22" s="70">
        <f>Tcm+(ho/(hii+ho))*(Thm-Tcm)</f>
        <v>113.36851665574549</v>
      </c>
      <c r="Q22" s="20" t="s">
        <v>24</v>
      </c>
    </row>
    <row r="23" spans="12:17" x14ac:dyDescent="0.25">
      <c r="L23" s="37" t="s">
        <v>132</v>
      </c>
      <c r="M23" s="68">
        <f>ui</f>
        <v>0.5</v>
      </c>
      <c r="N23" s="9" t="s">
        <v>32</v>
      </c>
      <c r="O23" s="4" t="s">
        <v>133</v>
      </c>
      <c r="P23" s="71">
        <f>uo</f>
        <v>0.5</v>
      </c>
      <c r="Q23" s="20" t="s">
        <v>32</v>
      </c>
    </row>
    <row r="24" spans="12:17" x14ac:dyDescent="0.25">
      <c r="L24" s="37" t="s">
        <v>126</v>
      </c>
      <c r="M24" s="68">
        <f>(ui/u_i)^0.14</f>
        <v>1</v>
      </c>
      <c r="N24" s="9"/>
      <c r="O24" s="6" t="s">
        <v>127</v>
      </c>
      <c r="P24" s="68">
        <f>(uo/u_o)^0.14</f>
        <v>1</v>
      </c>
      <c r="Q24" s="20"/>
    </row>
    <row r="25" spans="12:17" ht="15.75" thickBot="1" x14ac:dyDescent="0.3">
      <c r="L25" s="38" t="s">
        <v>128</v>
      </c>
      <c r="M25" s="69">
        <f>hii*phi_i</f>
        <v>87.596976484445037</v>
      </c>
      <c r="N25" s="17" t="s">
        <v>31</v>
      </c>
      <c r="O25" s="39" t="s">
        <v>129</v>
      </c>
      <c r="P25" s="69">
        <f>ho*phi_o</f>
        <v>138.33373387774068</v>
      </c>
      <c r="Q25" s="18" t="s">
        <v>31</v>
      </c>
    </row>
  </sheetData>
  <sheetProtection algorithmName="SHA-512" hashValue="WiHXZcmQKnUfiZl2TA+m53GZlS27+v7UPMn4S5lHlANErtUEtJaJaqX+rJOpiW1c7RLz/AZsBySZTIEOlVIM8Q==" saltValue="MxbfjUyxJtUwK7hUaXO7Mg==" spinCount="100000" sheet="1" objects="1" scenarios="1"/>
  <mergeCells count="9">
    <mergeCell ref="B12:C12"/>
    <mergeCell ref="E12:F12"/>
    <mergeCell ref="L2:M2"/>
    <mergeCell ref="O2:P2"/>
    <mergeCell ref="B2:C2"/>
    <mergeCell ref="E2:F2"/>
    <mergeCell ref="B6:C6"/>
    <mergeCell ref="E6:F6"/>
    <mergeCell ref="I2:J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84" t="s">
        <v>159</v>
      </c>
      <c r="C3" s="82"/>
      <c r="D3" s="82"/>
      <c r="E3" s="85"/>
    </row>
    <row r="4" spans="2:5" x14ac:dyDescent="0.25">
      <c r="B4" s="73" t="s">
        <v>160</v>
      </c>
      <c r="C4" s="9" t="s">
        <v>161</v>
      </c>
      <c r="D4" s="9"/>
      <c r="E4" s="20"/>
    </row>
    <row r="5" spans="2:5" ht="15.75" thickBot="1" x14ac:dyDescent="0.3">
      <c r="B5" s="74" t="s">
        <v>162</v>
      </c>
      <c r="C5" s="75">
        <v>2017</v>
      </c>
      <c r="D5" s="17"/>
      <c r="E5" s="1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84</vt:i4>
      </vt:variant>
    </vt:vector>
  </HeadingPairs>
  <TitlesOfParts>
    <vt:vector size="87" baseType="lpstr">
      <vt:lpstr>Label</vt:lpstr>
      <vt:lpstr>Main</vt:lpstr>
      <vt:lpstr>Credits</vt:lpstr>
      <vt:lpstr>ai</vt:lpstr>
      <vt:lpstr>ao</vt:lpstr>
      <vt:lpstr>Area</vt:lpstr>
      <vt:lpstr>at</vt:lpstr>
      <vt:lpstr>B</vt:lpstr>
      <vt:lpstr>Cpc</vt:lpstr>
      <vt:lpstr>Cph</vt:lpstr>
      <vt:lpstr>Cpi</vt:lpstr>
      <vt:lpstr>Cpo</vt:lpstr>
      <vt:lpstr>Deq</vt:lpstr>
      <vt:lpstr>Dshell</vt:lpstr>
      <vt:lpstr>dT</vt:lpstr>
      <vt:lpstr>dTc</vt:lpstr>
      <vt:lpstr>dTh</vt:lpstr>
      <vt:lpstr>dTlm</vt:lpstr>
      <vt:lpstr>Dtube_e</vt:lpstr>
      <vt:lpstr>Dtube_i</vt:lpstr>
      <vt:lpstr>F</vt:lpstr>
      <vt:lpstr>F.</vt:lpstr>
      <vt:lpstr>Ge</vt:lpstr>
      <vt:lpstr>Gi</vt:lpstr>
      <vt:lpstr>Go</vt:lpstr>
      <vt:lpstr>h_i</vt:lpstr>
      <vt:lpstr>h_o</vt:lpstr>
      <vt:lpstr>hi</vt:lpstr>
      <vt:lpstr>hii</vt:lpstr>
      <vt:lpstr>ho</vt:lpstr>
      <vt:lpstr>kc</vt:lpstr>
      <vt:lpstr>kh</vt:lpstr>
      <vt:lpstr>ki</vt:lpstr>
      <vt:lpstr>ko</vt:lpstr>
      <vt:lpstr>L_</vt:lpstr>
      <vt:lpstr>Lt</vt:lpstr>
      <vt:lpstr>mc</vt:lpstr>
      <vt:lpstr>mh</vt:lpstr>
      <vt:lpstr>mi</vt:lpstr>
      <vt:lpstr>mo</vt:lpstr>
      <vt:lpstr>np</vt:lpstr>
      <vt:lpstr>nt</vt:lpstr>
      <vt:lpstr>P</vt:lpstr>
      <vt:lpstr>phi_i</vt:lpstr>
      <vt:lpstr>phi_o</vt:lpstr>
      <vt:lpstr>Pr_i</vt:lpstr>
      <vt:lpstr>Pr_o</vt:lpstr>
      <vt:lpstr>Q</vt:lpstr>
      <vt:lpstr>R.</vt:lpstr>
      <vt:lpstr>R_</vt:lpstr>
      <vt:lpstr>ral</vt:lpstr>
      <vt:lpstr>Rd</vt:lpstr>
      <vt:lpstr>Rd_true</vt:lpstr>
      <vt:lpstr>Rdshell</vt:lpstr>
      <vt:lpstr>Rdtube</vt:lpstr>
      <vt:lpstr>Re_e</vt:lpstr>
      <vt:lpstr>Re_i</vt:lpstr>
      <vt:lpstr>Re_o</vt:lpstr>
      <vt:lpstr>ro_c</vt:lpstr>
      <vt:lpstr>ro_h</vt:lpstr>
      <vt:lpstr>ro_i</vt:lpstr>
      <vt:lpstr>ro_o</vt:lpstr>
      <vt:lpstr>S.</vt:lpstr>
      <vt:lpstr>Squared</vt:lpstr>
      <vt:lpstr>Tc1_</vt:lpstr>
      <vt:lpstr>Tc2_</vt:lpstr>
      <vt:lpstr>Tcm</vt:lpstr>
      <vt:lpstr>Th1_</vt:lpstr>
      <vt:lpstr>Th2_</vt:lpstr>
      <vt:lpstr>Thm</vt:lpstr>
      <vt:lpstr>Triangular</vt:lpstr>
      <vt:lpstr>Tw</vt:lpstr>
      <vt:lpstr>U</vt:lpstr>
      <vt:lpstr>u_i</vt:lpstr>
      <vt:lpstr>u_o</vt:lpstr>
      <vt:lpstr>uc</vt:lpstr>
      <vt:lpstr>Uclean</vt:lpstr>
      <vt:lpstr>Udirty</vt:lpstr>
      <vt:lpstr>uh</vt:lpstr>
      <vt:lpstr>ui</vt:lpstr>
      <vt:lpstr>uii</vt:lpstr>
      <vt:lpstr>uo</vt:lpstr>
      <vt:lpstr>uoo</vt:lpstr>
      <vt:lpstr>Vc</vt:lpstr>
      <vt:lpstr>Vh</vt:lpstr>
      <vt:lpstr>vi</vt:lpstr>
      <vt:lpstr>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2017-09-25T22:47:24Z</dcterms:modified>
</cp:coreProperties>
</file>