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/>
  <mc:AlternateContent xmlns:mc="http://schemas.openxmlformats.org/markup-compatibility/2006">
    <mc:Choice Requires="x15">
      <x15ac:absPath xmlns:x15ac="http://schemas.microsoft.com/office/spreadsheetml/2010/11/ac" url="C:\Users\Johni\Dropbox\planilhas\xlSheets\unit_operations\"/>
    </mc:Choice>
  </mc:AlternateContent>
  <xr:revisionPtr revIDLastSave="0" documentId="13_ncr:1_{0E986090-788F-4671-9354-E539BF63EF23}" xr6:coauthVersionLast="32" xr6:coauthVersionMax="32" xr10:uidLastSave="{00000000-0000-0000-0000-000000000000}"/>
  <workbookProtection workbookAlgorithmName="SHA-512" workbookHashValue="hGGHQvwn6dhLOe9yZcdJ5eBcw6KtZN1iJ+L7lkUKJ0GduYUtpGyZNwAJLsQb0ftYcIsjg7A3KUvdt405FJOI+A==" workbookSaltValue="YlxTAN23ZCdBSbTqRJk4cA==" workbookSpinCount="100000" lockStructure="1"/>
  <bookViews>
    <workbookView xWindow="0" yWindow="0" windowWidth="7500" windowHeight="13335" xr2:uid="{00000000-000D-0000-FFFF-FFFF00000000}"/>
  </bookViews>
  <sheets>
    <sheet name="Rectification" sheetId="5" r:id="rId1"/>
    <sheet name="Equilibrium" sheetId="10" r:id="rId2"/>
    <sheet name="Figures" sheetId="11" r:id="rId3"/>
    <sheet name="Credits" sheetId="12" r:id="rId4"/>
  </sheets>
  <externalReferences>
    <externalReference r:id="rId5"/>
    <externalReference r:id="rId6"/>
  </externalReferences>
  <definedNames>
    <definedName name="A" localSheetId="3">[1]Absorption_packed!#REF!</definedName>
    <definedName name="A">Equilibrium!#REF!</definedName>
    <definedName name="A." localSheetId="3">[1]Absorption_packed!#REF!</definedName>
    <definedName name="A.">Equilibrium!#REF!</definedName>
    <definedName name="A..">#REF!</definedName>
    <definedName name="AA">Equilibrium!$B$23</definedName>
    <definedName name="alfa">Rectification!$B$5</definedName>
    <definedName name="B" localSheetId="3">#REF!</definedName>
    <definedName name="B">Equilibrium!#REF!</definedName>
    <definedName name="B." localSheetId="3">[1]Absorption_packed!#REF!</definedName>
    <definedName name="B.">Equilibrium!#REF!</definedName>
    <definedName name="B..">#REF!</definedName>
    <definedName name="BB">Equilibrium!$B$24</definedName>
    <definedName name="C." localSheetId="3">[1]Absorption_packed!#REF!</definedName>
    <definedName name="C.">Equilibrium!#REF!</definedName>
    <definedName name="C_" localSheetId="3">#REF!</definedName>
    <definedName name="C_">Equilibrium!#REF!</definedName>
    <definedName name="CC">Equilibrium!$B$25</definedName>
    <definedName name="const1">#REF!</definedName>
    <definedName name="const10">#REF!</definedName>
    <definedName name="const11">#REF!</definedName>
    <definedName name="const12">#REF!</definedName>
    <definedName name="const13">#REF!</definedName>
    <definedName name="const14">#REF!</definedName>
    <definedName name="const15">#REF!</definedName>
    <definedName name="const16">#REF!</definedName>
    <definedName name="const17">#REF!</definedName>
    <definedName name="const18">#REF!</definedName>
    <definedName name="const19">#REF!</definedName>
    <definedName name="const2">#REF!</definedName>
    <definedName name="const20">#REF!</definedName>
    <definedName name="const3">#REF!</definedName>
    <definedName name="const4">#REF!</definedName>
    <definedName name="const5">#REF!</definedName>
    <definedName name="const6">#REF!</definedName>
    <definedName name="const7">#REF!</definedName>
    <definedName name="const8">#REF!</definedName>
    <definedName name="const9">#REF!</definedName>
    <definedName name="Cpl1.">Rectification!#REF!</definedName>
    <definedName name="Cpl2.">Rectification!#REF!</definedName>
    <definedName name="Cplm">Rectification!#REF!</definedName>
    <definedName name="D." localSheetId="3">[1]Absorption_packed!#REF!</definedName>
    <definedName name="D." localSheetId="1">Equilibrium!#REF!</definedName>
    <definedName name="D.">Rectification!$E$13</definedName>
    <definedName name="DD">Equilibrium!$B$26</definedName>
    <definedName name="dm">#REF!</definedName>
    <definedName name="dV">#REF!</definedName>
    <definedName name="F">Rectification!$B$2</definedName>
    <definedName name="fv">Rectification!#REF!</definedName>
    <definedName name="HG">[1]Absorption_packed!$F$38</definedName>
    <definedName name="HL">[1]Absorption_packed!$F$40</definedName>
    <definedName name="hlv1.">Rectification!#REF!</definedName>
    <definedName name="hlv2.">Rectification!#REF!</definedName>
    <definedName name="hlvm">Rectification!#REF!</definedName>
    <definedName name="HOG">[1]Absorption_packed!$F$39</definedName>
    <definedName name="HOL">[1]Absorption_packed!$F$41</definedName>
    <definedName name="k_x">[1]Absorption_packed!#REF!</definedName>
    <definedName name="k_x.a">[1]Absorption_packed!$E$7</definedName>
    <definedName name="K_x.a.">[1]Absorption_packed!$M$35</definedName>
    <definedName name="k_y">[1]Absorption_packed!#REF!</definedName>
    <definedName name="K_y.">[1]Absorption_packed!#REF!</definedName>
    <definedName name="k_y.a">[1]Absorption_packed!$E$6</definedName>
    <definedName name="K_y.a.">[1]Absorption_packed!$I$35</definedName>
    <definedName name="ky">[1]Absorption_packed!#REF!</definedName>
    <definedName name="Ky.">[1]Absorption_packed!#REF!</definedName>
    <definedName name="L.">[1]Absorption_packed!$B$6</definedName>
    <definedName name="L_">[1]Absorption_packed!#REF!</definedName>
    <definedName name="L_V">[1]Absorption_packed!#REF!</definedName>
    <definedName name="LA">#REF!</definedName>
    <definedName name="Lm">[1]Absorption_packed!$I$17</definedName>
    <definedName name="Ln">[1]Absorption_packed!#REF!</definedName>
    <definedName name="Ln." localSheetId="3">#REF!</definedName>
    <definedName name="Ln.">Rectification!$E$14</definedName>
    <definedName name="Lo">[1]Absorption_packed!#REF!</definedName>
    <definedName name="Lo." localSheetId="3">#REF!</definedName>
    <definedName name="Lo.">Rectification!$E$12</definedName>
    <definedName name="m">[1]Absorption_packed!$B$12</definedName>
    <definedName name="m_cal">#REF!</definedName>
    <definedName name="m_empty">[2]Dados!#REF!</definedName>
    <definedName name="m_pic">#REF!</definedName>
    <definedName name="m_prov">#REF!</definedName>
    <definedName name="m1_">#REF!</definedName>
    <definedName name="MM1.">Rectification!$L$27</definedName>
    <definedName name="MM2.">Rectification!$L$28</definedName>
    <definedName name="mo">[2]Dados!#REF!</definedName>
    <definedName name="Nd">#REF!</definedName>
    <definedName name="NG">[1]Absorption_packed!$I$38</definedName>
    <definedName name="NL">[1]Absorption_packed!$I$40</definedName>
    <definedName name="NM">#REF!</definedName>
    <definedName name="Nn">#REF!</definedName>
    <definedName name="Nn_1">#REF!</definedName>
    <definedName name="No">#REF!</definedName>
    <definedName name="NOG">[1]Absorption_packed!$I$39</definedName>
    <definedName name="NOL">[1]Absorption_packed!$I$41</definedName>
    <definedName name="P">Rectification!$B$3</definedName>
    <definedName name="q">Rectification!$B$4</definedName>
    <definedName name="R.">Rectification!$B$11</definedName>
    <definedName name="R_">Rectification!$B$11</definedName>
    <definedName name="rho_1">#REF!</definedName>
    <definedName name="rho_2">#REF!</definedName>
    <definedName name="S">[1]Absorption_packed!$E$2</definedName>
    <definedName name="slope_n">#REF!</definedName>
    <definedName name="solver_adj" localSheetId="1" hidden="1">Equilibrium!$B$23:$B$26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"0.075"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Equilibrium!$G$21</definedName>
    <definedName name="solver_pre" localSheetId="1" hidden="1">0.000001</definedName>
    <definedName name="solver_rbv" localSheetId="1" hidden="1">1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5</definedName>
    <definedName name="solver_typ" localSheetId="1" hidden="1">3</definedName>
    <definedName name="solver_val" localSheetId="1" hidden="1">0</definedName>
    <definedName name="solver_ver" localSheetId="1" hidden="1">3</definedName>
    <definedName name="Td">Rectification!#REF!</definedName>
    <definedName name="Tf">Rectification!#REF!</definedName>
    <definedName name="Tn">Rectification!#REF!</definedName>
    <definedName name="Tw">Rectification!#REF!</definedName>
    <definedName name="V">[1]Absorption_packed!#REF!</definedName>
    <definedName name="V.">[1]Absorption_packed!$B$2</definedName>
    <definedName name="V1." localSheetId="3">#REF!</definedName>
    <definedName name="V1.">Rectification!$E$11</definedName>
    <definedName name="V1_">#REF!</definedName>
    <definedName name="Vm">[1]Absorption_packed!$I$14</definedName>
    <definedName name="Vn_1">[1]Absorption_packed!#REF!</definedName>
    <definedName name="Vn_1." localSheetId="3">#REF!</definedName>
    <definedName name="Vn_1.">Rectification!$E$15</definedName>
    <definedName name="W.">Rectification!$E$16</definedName>
    <definedName name="x1.">[1]Absorption_packed!$B$9</definedName>
    <definedName name="x1_.">[1]Absorption_packed!$I$8</definedName>
    <definedName name="x2.">[1]Absorption_packed!$B$7</definedName>
    <definedName name="x2_.">[1]Absorption_packed!$I$9</definedName>
    <definedName name="xai1.">[1]Absorption_packed!$E$13</definedName>
    <definedName name="xai2.">[1]Absorption_packed!$E$16</definedName>
    <definedName name="xaL">[1]Absorption_packed!#REF!</definedName>
    <definedName name="xaM">#REF!</definedName>
    <definedName name="xan">#REF!</definedName>
    <definedName name="xao">#REF!</definedName>
    <definedName name="xco">#REF!</definedName>
    <definedName name="xd">Rectification!$B$13</definedName>
    <definedName name="xf">Rectification!$B$12</definedName>
    <definedName name="xn" localSheetId="3">[1]Absorption_packed!#REF!</definedName>
    <definedName name="xn">Rectification!#REF!</definedName>
    <definedName name="xo">[1]Absorption_packed!#REF!</definedName>
    <definedName name="xw">Rectification!$B$14</definedName>
    <definedName name="y1.">[1]Absorption_packed!$B$3</definedName>
    <definedName name="y1_">[1]Absorption_packed!#REF!</definedName>
    <definedName name="y1_.">[1]Absorption_packed!$I$6</definedName>
    <definedName name="y2.">[1]Absorption_packed!$B$4</definedName>
    <definedName name="y2_.">[1]Absorption_packed!$I$7</definedName>
    <definedName name="ya1.">#REF!</definedName>
    <definedName name="ya1_">#REF!</definedName>
    <definedName name="ya10.">#REF!</definedName>
    <definedName name="ya2.">#REF!</definedName>
    <definedName name="ya3.">#REF!</definedName>
    <definedName name="ya4.">#REF!</definedName>
    <definedName name="ya5.">#REF!</definedName>
    <definedName name="ya6.">#REF!</definedName>
    <definedName name="ya7.">#REF!</definedName>
    <definedName name="ya8.">#REF!</definedName>
    <definedName name="ya9.">#REF!</definedName>
    <definedName name="yad">#REF!</definedName>
    <definedName name="yai1.">[1]Absorption_packed!$E$14</definedName>
    <definedName name="yai2.">[1]Absorption_packed!$E$17</definedName>
    <definedName name="yaM">#REF!</definedName>
    <definedName name="yan">#REF!</definedName>
    <definedName name="yan_1">#REF!</definedName>
    <definedName name="yao">#REF!</definedName>
    <definedName name="ycn_1">#REF!</definedName>
    <definedName name="yco">#REF!</definedName>
    <definedName name="yn_1">[1]Absorption_packed!#REF!</definedName>
    <definedName name="yw">Rectification!#REF!</definedName>
  </definedNames>
  <calcPr calcId="179017" iterate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3" i="5" l="1"/>
  <c r="N23" i="5"/>
  <c r="N24" i="5"/>
  <c r="M25" i="5"/>
  <c r="B14" i="5" s="1"/>
  <c r="N25" i="5" l="1"/>
  <c r="M23" i="5"/>
  <c r="B12" i="5" s="1"/>
  <c r="M24" i="5"/>
  <c r="B13" i="5" s="1"/>
  <c r="I5" i="5" l="1"/>
  <c r="J5" i="5" s="1"/>
  <c r="I4" i="5"/>
  <c r="J4" i="5" s="1"/>
  <c r="F5" i="10"/>
  <c r="F6" i="10"/>
  <c r="G6" i="10" s="1"/>
  <c r="F7" i="10"/>
  <c r="D7" i="10" s="1"/>
  <c r="F8" i="10"/>
  <c r="D8" i="10" s="1"/>
  <c r="F9" i="10"/>
  <c r="D9" i="10" s="1"/>
  <c r="F10" i="10"/>
  <c r="G10" i="10" s="1"/>
  <c r="F11" i="10"/>
  <c r="D11" i="10" s="1"/>
  <c r="F12" i="10"/>
  <c r="D12" i="10" s="1"/>
  <c r="F13" i="10"/>
  <c r="D13" i="10" s="1"/>
  <c r="F14" i="10"/>
  <c r="G14" i="10" s="1"/>
  <c r="F15" i="10"/>
  <c r="D15" i="10" s="1"/>
  <c r="F16" i="10"/>
  <c r="D16" i="10" s="1"/>
  <c r="F17" i="10"/>
  <c r="D17" i="10" s="1"/>
  <c r="F18" i="10"/>
  <c r="G18" i="10" s="1"/>
  <c r="F19" i="10"/>
  <c r="D19" i="10" s="1"/>
  <c r="F20" i="10"/>
  <c r="D20" i="10" s="1"/>
  <c r="F4" i="10"/>
  <c r="D4" i="10" s="1"/>
  <c r="B5" i="5"/>
  <c r="E28" i="5"/>
  <c r="H22" i="5"/>
  <c r="I22" i="5" s="1"/>
  <c r="E5" i="10"/>
  <c r="E6" i="10"/>
  <c r="E7" i="10"/>
  <c r="G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4" i="10"/>
  <c r="I21" i="5"/>
  <c r="G22" i="5"/>
  <c r="H21" i="5"/>
  <c r="F21" i="5"/>
  <c r="G21" i="5" s="1"/>
  <c r="D22" i="5"/>
  <c r="E22" i="5" s="1"/>
  <c r="B15" i="5"/>
  <c r="E21" i="5"/>
  <c r="G5" i="10" l="1"/>
  <c r="I24" i="5"/>
  <c r="I23" i="5"/>
  <c r="G15" i="10"/>
  <c r="G11" i="10"/>
  <c r="G19" i="10"/>
  <c r="G17" i="10"/>
  <c r="G9" i="10"/>
  <c r="D5" i="10"/>
  <c r="G20" i="10"/>
  <c r="G16" i="10"/>
  <c r="G12" i="10"/>
  <c r="G4" i="10"/>
  <c r="G13" i="10"/>
  <c r="G8" i="10"/>
  <c r="J6" i="5"/>
  <c r="J8" i="5" s="1"/>
  <c r="D18" i="10"/>
  <c r="D14" i="10"/>
  <c r="D10" i="10"/>
  <c r="D6" i="10"/>
  <c r="G21" i="10" l="1"/>
  <c r="B2" i="5"/>
  <c r="E13" i="5" l="1"/>
  <c r="E16" i="5" s="1"/>
  <c r="E15" i="5" l="1"/>
  <c r="E14" i="5" s="1"/>
  <c r="P25" i="5"/>
  <c r="O25" i="5" s="1"/>
  <c r="O24" i="5" s="1"/>
  <c r="P24" i="5"/>
  <c r="E12" i="5"/>
  <c r="E11" i="5" s="1"/>
  <c r="H14" i="5"/>
  <c r="H15" i="5"/>
  <c r="H16" i="5"/>
  <c r="D28" i="5"/>
  <c r="F28" i="5"/>
  <c r="G28" i="5"/>
  <c r="H28" i="5"/>
  <c r="D29" i="5"/>
  <c r="E29" i="5"/>
  <c r="F29" i="5"/>
  <c r="G29" i="5"/>
  <c r="H29" i="5"/>
  <c r="D30" i="5"/>
  <c r="E30" i="5"/>
  <c r="F30" i="5"/>
  <c r="G30" i="5"/>
  <c r="H30" i="5"/>
  <c r="D31" i="5"/>
  <c r="E31" i="5"/>
  <c r="F31" i="5"/>
  <c r="G31" i="5"/>
  <c r="H31" i="5"/>
  <c r="D32" i="5"/>
  <c r="E32" i="5"/>
  <c r="F32" i="5"/>
  <c r="G32" i="5"/>
  <c r="H32" i="5"/>
  <c r="D33" i="5"/>
  <c r="E33" i="5"/>
  <c r="F33" i="5"/>
  <c r="G33" i="5"/>
  <c r="H33" i="5"/>
  <c r="D34" i="5"/>
  <c r="E34" i="5"/>
  <c r="F34" i="5"/>
  <c r="G34" i="5"/>
  <c r="H34" i="5"/>
  <c r="D35" i="5"/>
  <c r="E35" i="5"/>
  <c r="F35" i="5"/>
  <c r="G35" i="5"/>
  <c r="H35" i="5"/>
  <c r="D36" i="5"/>
  <c r="E36" i="5"/>
  <c r="F36" i="5"/>
  <c r="G36" i="5"/>
  <c r="H36" i="5"/>
  <c r="D37" i="5"/>
  <c r="E37" i="5"/>
  <c r="F37" i="5"/>
  <c r="G37" i="5"/>
  <c r="H37" i="5"/>
  <c r="D38" i="5"/>
  <c r="E38" i="5"/>
  <c r="F38" i="5"/>
  <c r="G38" i="5"/>
  <c r="H38" i="5"/>
  <c r="D39" i="5"/>
  <c r="E39" i="5"/>
  <c r="F39" i="5"/>
  <c r="G39" i="5"/>
  <c r="H39" i="5"/>
  <c r="D40" i="5"/>
  <c r="E40" i="5"/>
  <c r="F40" i="5"/>
  <c r="G40" i="5"/>
  <c r="H40" i="5"/>
  <c r="D41" i="5"/>
  <c r="E41" i="5"/>
  <c r="F41" i="5"/>
  <c r="G41" i="5"/>
  <c r="H41" i="5"/>
  <c r="D42" i="5"/>
  <c r="E42" i="5"/>
  <c r="F42" i="5"/>
  <c r="G42" i="5"/>
  <c r="H42" i="5"/>
  <c r="D43" i="5"/>
  <c r="E43" i="5"/>
  <c r="F43" i="5"/>
  <c r="G43" i="5"/>
  <c r="H43" i="5"/>
  <c r="D44" i="5"/>
  <c r="E44" i="5"/>
  <c r="F44" i="5"/>
  <c r="G44" i="5"/>
  <c r="H44" i="5"/>
  <c r="D45" i="5"/>
  <c r="E45" i="5"/>
  <c r="F45" i="5"/>
  <c r="G45" i="5"/>
  <c r="H45" i="5"/>
  <c r="D46" i="5"/>
  <c r="E46" i="5"/>
  <c r="F46" i="5"/>
  <c r="G46" i="5"/>
  <c r="H46" i="5"/>
  <c r="D47" i="5"/>
  <c r="E47" i="5"/>
  <c r="F47" i="5"/>
  <c r="G47" i="5"/>
  <c r="H47" i="5"/>
</calcChain>
</file>

<file path=xl/sharedStrings.xml><?xml version="1.0" encoding="utf-8"?>
<sst xmlns="http://schemas.openxmlformats.org/spreadsheetml/2006/main" count="85" uniqueCount="76">
  <si>
    <t>q</t>
  </si>
  <si>
    <t>xf</t>
  </si>
  <si>
    <t>xd</t>
  </si>
  <si>
    <t>xw</t>
  </si>
  <si>
    <t>y(0)</t>
  </si>
  <si>
    <t>bar</t>
  </si>
  <si>
    <t>F</t>
  </si>
  <si>
    <t>P</t>
  </si>
  <si>
    <t>T</t>
  </si>
  <si>
    <t>x</t>
  </si>
  <si>
    <t>y</t>
  </si>
  <si>
    <t>-</t>
  </si>
  <si>
    <t>SE</t>
  </si>
  <si>
    <t>E</t>
  </si>
  <si>
    <t>Nstages</t>
  </si>
  <si>
    <t>Feed tray</t>
  </si>
  <si>
    <t>V1.</t>
  </si>
  <si>
    <t>Lo.</t>
  </si>
  <si>
    <t>D.</t>
  </si>
  <si>
    <t>Ln.</t>
  </si>
  <si>
    <t>Vn+1.</t>
  </si>
  <si>
    <t>W.</t>
  </si>
  <si>
    <t>Enriching line:</t>
  </si>
  <si>
    <t>Stripping line:</t>
  </si>
  <si>
    <t>q feed line:</t>
  </si>
  <si>
    <t>Stages:</t>
  </si>
  <si>
    <t>slope_S</t>
  </si>
  <si>
    <t>diff x</t>
  </si>
  <si>
    <t>interc_S</t>
  </si>
  <si>
    <t>diff F</t>
  </si>
  <si>
    <t>Initial Data:</t>
  </si>
  <si>
    <t>Rectification</t>
  </si>
  <si>
    <t>R</t>
  </si>
  <si>
    <t>xq</t>
  </si>
  <si>
    <t>yq</t>
  </si>
  <si>
    <t>xe</t>
  </si>
  <si>
    <t>ye</t>
  </si>
  <si>
    <t>xs</t>
  </si>
  <si>
    <t>ys</t>
  </si>
  <si>
    <t>Coefficients:</t>
  </si>
  <si>
    <t>McCabe-Thiele Method</t>
  </si>
  <si>
    <t>Equilibrium Data:</t>
  </si>
  <si>
    <t>Nplates</t>
  </si>
  <si>
    <t>x1</t>
  </si>
  <si>
    <t>y1</t>
  </si>
  <si>
    <t>y1'</t>
  </si>
  <si>
    <t>Ethanol</t>
  </si>
  <si>
    <t>Water</t>
  </si>
  <si>
    <t>alpha</t>
  </si>
  <si>
    <t>alpha'</t>
  </si>
  <si>
    <t>BB</t>
  </si>
  <si>
    <t>AA</t>
  </si>
  <si>
    <t>CC</t>
  </si>
  <si>
    <t>DD</t>
  </si>
  <si>
    <t>angle</t>
  </si>
  <si>
    <t>α</t>
  </si>
  <si>
    <t>D</t>
  </si>
  <si>
    <t>Nmin</t>
  </si>
  <si>
    <t>mol</t>
  </si>
  <si>
    <t>Fenske equation:</t>
  </si>
  <si>
    <t>av</t>
  </si>
  <si>
    <t>W</t>
  </si>
  <si>
    <t>°</t>
  </si>
  <si>
    <t>ChemEng Brasil</t>
  </si>
  <si>
    <t>Autor:</t>
  </si>
  <si>
    <t>Lucas Joshua Pires</t>
  </si>
  <si>
    <t>Ano:</t>
  </si>
  <si>
    <t>et</t>
  </si>
  <si>
    <t>h2o</t>
  </si>
  <si>
    <t>Bottom</t>
  </si>
  <si>
    <t>Feed</t>
  </si>
  <si>
    <t>Top</t>
  </si>
  <si>
    <t>MM</t>
  </si>
  <si>
    <t>w</t>
  </si>
  <si>
    <t>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</si>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</sst>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0.0"/>
    <numFmt numFmtId="166" formatCode="0.0000"/>
    <numFmt numFmtId="167" formatCode="0.0%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0"/>
      <name val="Verdana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0" fontId="0" fillId="0" borderId="0" xfId="0" applyFont="1" applyFill="1"/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4" borderId="4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4" fontId="0" fillId="6" borderId="11" xfId="0" applyNumberFormat="1" applyFill="1" applyBorder="1" applyAlignment="1">
      <alignment horizontal="center"/>
    </xf>
    <xf numFmtId="164" fontId="0" fillId="6" borderId="12" xfId="0" applyNumberFormat="1" applyFill="1" applyBorder="1" applyAlignment="1">
      <alignment horizontal="center"/>
    </xf>
    <xf numFmtId="164" fontId="0" fillId="6" borderId="13" xfId="0" applyNumberForma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center"/>
    </xf>
    <xf numFmtId="166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2" fontId="3" fillId="4" borderId="4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3" fillId="3" borderId="1" xfId="0" applyNumberFormat="1" applyFont="1" applyFill="1" applyBorder="1" applyAlignment="1" applyProtection="1">
      <alignment horizontal="center" vertical="center"/>
      <protection locked="0"/>
    </xf>
    <xf numFmtId="165" fontId="3" fillId="3" borderId="1" xfId="0" applyNumberFormat="1" applyFont="1" applyFill="1" applyBorder="1" applyAlignment="1" applyProtection="1">
      <alignment horizontal="center"/>
      <protection locked="0"/>
    </xf>
    <xf numFmtId="165" fontId="6" fillId="3" borderId="1" xfId="0" applyNumberFormat="1" applyFont="1" applyFill="1" applyBorder="1" applyAlignment="1" applyProtection="1">
      <alignment horizontal="center"/>
      <protection locked="0"/>
    </xf>
    <xf numFmtId="11" fontId="0" fillId="5" borderId="5" xfId="0" applyNumberFormat="1" applyFill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horizontal="center"/>
      <protection locked="0"/>
    </xf>
    <xf numFmtId="2" fontId="3" fillId="3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6" fillId="3" borderId="1" xfId="0" applyNumberFormat="1" applyFont="1" applyFill="1" applyBorder="1" applyAlignment="1" applyProtection="1">
      <alignment horizontal="center"/>
      <protection locked="0"/>
    </xf>
    <xf numFmtId="164" fontId="0" fillId="0" borderId="1" xfId="0" applyNumberFormat="1" applyFont="1" applyBorder="1" applyAlignment="1">
      <alignment horizontal="center"/>
    </xf>
    <xf numFmtId="164" fontId="3" fillId="3" borderId="1" xfId="0" applyNumberFormat="1" applyFont="1" applyFill="1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0" fontId="3" fillId="0" borderId="18" xfId="0" applyFont="1" applyBorder="1"/>
    <xf numFmtId="0" fontId="0" fillId="0" borderId="0" xfId="0" applyBorder="1"/>
    <xf numFmtId="0" fontId="0" fillId="0" borderId="19" xfId="0" applyBorder="1"/>
    <xf numFmtId="0" fontId="3" fillId="0" borderId="20" xfId="0" applyFont="1" applyBorder="1"/>
    <xf numFmtId="0" fontId="0" fillId="0" borderId="21" xfId="0" applyBorder="1" applyAlignment="1">
      <alignment horizontal="left"/>
    </xf>
    <xf numFmtId="0" fontId="0" fillId="0" borderId="21" xfId="0" applyBorder="1"/>
    <xf numFmtId="0" fontId="0" fillId="0" borderId="22" xfId="0" applyBorder="1"/>
    <xf numFmtId="0" fontId="3" fillId="0" borderId="2" xfId="0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167" fontId="0" fillId="0" borderId="0" xfId="3" applyNumberFormat="1" applyFont="1"/>
    <xf numFmtId="0" fontId="0" fillId="0" borderId="0" xfId="0" applyFill="1" applyBorder="1" applyAlignment="1">
      <alignment horizontal="center"/>
    </xf>
    <xf numFmtId="2" fontId="3" fillId="3" borderId="1" xfId="2" applyNumberFormat="1" applyFont="1" applyFill="1" applyBorder="1" applyAlignment="1" applyProtection="1">
      <alignment horizontal="center" vertical="center"/>
      <protection locked="0"/>
    </xf>
    <xf numFmtId="2" fontId="0" fillId="0" borderId="0" xfId="2" applyNumberFormat="1" applyFont="1" applyAlignment="1">
      <alignment horizontal="center"/>
    </xf>
  </cellXfs>
  <cellStyles count="4">
    <cellStyle name="Normal" xfId="0" builtinId="0"/>
    <cellStyle name="Normal 2" xfId="1" xr:uid="{00000000-0005-0000-0000-000001000000}"/>
    <cellStyle name="Porcentagem" xfId="3" builtinId="5"/>
    <cellStyle name="Vírgula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45</c:v>
          </c:tx>
          <c:spPr>
            <a:ln w="25400" cap="flat" cmpd="sng" algn="ctr">
              <a:solidFill>
                <a:schemeClr val="tx1">
                  <a:lumMod val="75000"/>
                  <a:lumOff val="25000"/>
                </a:schemeClr>
              </a:solidFill>
              <a:prstDash val="solid"/>
            </a:ln>
            <a:effectLst/>
          </c:spPr>
          <c:marker>
            <c:symbol val="none"/>
          </c:marker>
          <c:xVal>
            <c:numRef>
              <c:f>Equilibrium!$B$4:$B$20</c:f>
              <c:numCache>
                <c:formatCode>0.000</c:formatCode>
                <c:ptCount val="17"/>
                <c:pt idx="0">
                  <c:v>0</c:v>
                </c:pt>
                <c:pt idx="1">
                  <c:v>1.9E-2</c:v>
                </c:pt>
                <c:pt idx="2">
                  <c:v>7.2099999999999997E-2</c:v>
                </c:pt>
                <c:pt idx="3">
                  <c:v>9.6600000000000005E-2</c:v>
                </c:pt>
                <c:pt idx="4">
                  <c:v>0.12379999999999999</c:v>
                </c:pt>
                <c:pt idx="5">
                  <c:v>0.1661</c:v>
                </c:pt>
                <c:pt idx="6">
                  <c:v>0.23769999999999999</c:v>
                </c:pt>
                <c:pt idx="7">
                  <c:v>0.26079999999999998</c:v>
                </c:pt>
                <c:pt idx="8">
                  <c:v>0.32729999999999998</c:v>
                </c:pt>
                <c:pt idx="9">
                  <c:v>0.39650000000000002</c:v>
                </c:pt>
                <c:pt idx="10">
                  <c:v>0.50790000000000002</c:v>
                </c:pt>
                <c:pt idx="11">
                  <c:v>0.51980000000000004</c:v>
                </c:pt>
                <c:pt idx="12">
                  <c:v>0.57320000000000004</c:v>
                </c:pt>
                <c:pt idx="13">
                  <c:v>0.67630000000000001</c:v>
                </c:pt>
                <c:pt idx="14">
                  <c:v>0.74719999999999998</c:v>
                </c:pt>
                <c:pt idx="15">
                  <c:v>0.89429999999999998</c:v>
                </c:pt>
                <c:pt idx="16">
                  <c:v>1</c:v>
                </c:pt>
              </c:numCache>
            </c:numRef>
          </c:xVal>
          <c:yVal>
            <c:numRef>
              <c:f>Equilibrium!$B$4:$B$20</c:f>
              <c:numCache>
                <c:formatCode>0.000</c:formatCode>
                <c:ptCount val="17"/>
                <c:pt idx="0">
                  <c:v>0</c:v>
                </c:pt>
                <c:pt idx="1">
                  <c:v>1.9E-2</c:v>
                </c:pt>
                <c:pt idx="2">
                  <c:v>7.2099999999999997E-2</c:v>
                </c:pt>
                <c:pt idx="3">
                  <c:v>9.6600000000000005E-2</c:v>
                </c:pt>
                <c:pt idx="4">
                  <c:v>0.12379999999999999</c:v>
                </c:pt>
                <c:pt idx="5">
                  <c:v>0.1661</c:v>
                </c:pt>
                <c:pt idx="6">
                  <c:v>0.23769999999999999</c:v>
                </c:pt>
                <c:pt idx="7">
                  <c:v>0.26079999999999998</c:v>
                </c:pt>
                <c:pt idx="8">
                  <c:v>0.32729999999999998</c:v>
                </c:pt>
                <c:pt idx="9">
                  <c:v>0.39650000000000002</c:v>
                </c:pt>
                <c:pt idx="10">
                  <c:v>0.50790000000000002</c:v>
                </c:pt>
                <c:pt idx="11">
                  <c:v>0.51980000000000004</c:v>
                </c:pt>
                <c:pt idx="12">
                  <c:v>0.57320000000000004</c:v>
                </c:pt>
                <c:pt idx="13">
                  <c:v>0.67630000000000001</c:v>
                </c:pt>
                <c:pt idx="14">
                  <c:v>0.74719999999999998</c:v>
                </c:pt>
                <c:pt idx="15">
                  <c:v>0.89429999999999998</c:v>
                </c:pt>
                <c:pt idx="1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5A-492A-9BD0-693F0CE39BC2}"/>
            </c:ext>
          </c:extLst>
        </c:ser>
        <c:ser>
          <c:idx val="2"/>
          <c:order val="1"/>
          <c:tx>
            <c:v>model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Equilibrium!$B$4:$B$20</c:f>
              <c:numCache>
                <c:formatCode>0.000</c:formatCode>
                <c:ptCount val="17"/>
                <c:pt idx="0">
                  <c:v>0</c:v>
                </c:pt>
                <c:pt idx="1">
                  <c:v>1.9E-2</c:v>
                </c:pt>
                <c:pt idx="2">
                  <c:v>7.2099999999999997E-2</c:v>
                </c:pt>
                <c:pt idx="3">
                  <c:v>9.6600000000000005E-2</c:v>
                </c:pt>
                <c:pt idx="4">
                  <c:v>0.12379999999999999</c:v>
                </c:pt>
                <c:pt idx="5">
                  <c:v>0.1661</c:v>
                </c:pt>
                <c:pt idx="6">
                  <c:v>0.23769999999999999</c:v>
                </c:pt>
                <c:pt idx="7">
                  <c:v>0.26079999999999998</c:v>
                </c:pt>
                <c:pt idx="8">
                  <c:v>0.32729999999999998</c:v>
                </c:pt>
                <c:pt idx="9">
                  <c:v>0.39650000000000002</c:v>
                </c:pt>
                <c:pt idx="10">
                  <c:v>0.50790000000000002</c:v>
                </c:pt>
                <c:pt idx="11">
                  <c:v>0.51980000000000004</c:v>
                </c:pt>
                <c:pt idx="12">
                  <c:v>0.57320000000000004</c:v>
                </c:pt>
                <c:pt idx="13">
                  <c:v>0.67630000000000001</c:v>
                </c:pt>
                <c:pt idx="14">
                  <c:v>0.74719999999999998</c:v>
                </c:pt>
                <c:pt idx="15">
                  <c:v>0.89429999999999998</c:v>
                </c:pt>
                <c:pt idx="16">
                  <c:v>1</c:v>
                </c:pt>
              </c:numCache>
            </c:numRef>
          </c:xVal>
          <c:yVal>
            <c:numRef>
              <c:f>Equilibrium!$D$4:$D$20</c:f>
              <c:numCache>
                <c:formatCode>0.000</c:formatCode>
                <c:ptCount val="17"/>
                <c:pt idx="0">
                  <c:v>0</c:v>
                </c:pt>
                <c:pt idx="1">
                  <c:v>0.17070938453601289</c:v>
                </c:pt>
                <c:pt idx="2">
                  <c:v>0.38659557142352069</c:v>
                </c:pt>
                <c:pt idx="3">
                  <c:v>0.43494953702504102</c:v>
                </c:pt>
                <c:pt idx="4">
                  <c:v>0.47224332422972626</c:v>
                </c:pt>
                <c:pt idx="5">
                  <c:v>0.51068653342023573</c:v>
                </c:pt>
                <c:pt idx="6">
                  <c:v>0.54963222846062643</c:v>
                </c:pt>
                <c:pt idx="7">
                  <c:v>0.55890025100973562</c:v>
                </c:pt>
                <c:pt idx="8">
                  <c:v>0.5824631504972243</c:v>
                </c:pt>
                <c:pt idx="9">
                  <c:v>0.60658423610566847</c:v>
                </c:pt>
                <c:pt idx="10">
                  <c:v>0.65165942380194608</c:v>
                </c:pt>
                <c:pt idx="11">
                  <c:v>0.65709605919027636</c:v>
                </c:pt>
                <c:pt idx="12">
                  <c:v>0.68309366637578539</c:v>
                </c:pt>
                <c:pt idx="13">
                  <c:v>0.74083973246637647</c:v>
                </c:pt>
                <c:pt idx="14">
                  <c:v>0.7865242682921656</c:v>
                </c:pt>
                <c:pt idx="15">
                  <c:v>0.89926046867766385</c:v>
                </c:pt>
                <c:pt idx="1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5A-492A-9BD0-693F0CE39BC2}"/>
            </c:ext>
          </c:extLst>
        </c:ser>
        <c:ser>
          <c:idx val="3"/>
          <c:order val="2"/>
          <c:tx>
            <c:v>q_line</c:v>
          </c:tx>
          <c:spPr>
            <a:ln w="25400" cap="flat" cmpd="sng" algn="ctr">
              <a:solidFill>
                <a:schemeClr val="accent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(Rectification!$D$21,Rectification!$D$22)</c:f>
              <c:numCache>
                <c:formatCode>0.000</c:formatCode>
                <c:ptCount val="2"/>
                <c:pt idx="0">
                  <c:v>1</c:v>
                </c:pt>
                <c:pt idx="1">
                  <c:v>0.5140845070422535</c:v>
                </c:pt>
              </c:numCache>
            </c:numRef>
          </c:xVal>
          <c:yVal>
            <c:numRef>
              <c:f>(Rectification!$E$21,Rectification!$E$22)</c:f>
              <c:numCache>
                <c:formatCode>0.000</c:formatCode>
                <c:ptCount val="2"/>
                <c:pt idx="0">
                  <c:v>1.4859154929577465</c:v>
                </c:pt>
                <c:pt idx="1">
                  <c:v>0.5140845070422535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5A-492A-9BD0-693F0CE39BC2}"/>
            </c:ext>
          </c:extLst>
        </c:ser>
        <c:ser>
          <c:idx val="4"/>
          <c:order val="3"/>
          <c:tx>
            <c:v>e_line</c:v>
          </c:tx>
          <c:spPr>
            <a:ln w="19050" cap="flat" cmpd="sng" algn="ctr">
              <a:solidFill>
                <a:schemeClr val="dk1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Rectification!$F$21:$F$22</c:f>
              <c:numCache>
                <c:formatCode>0.000</c:formatCode>
                <c:ptCount val="2"/>
                <c:pt idx="0">
                  <c:v>0.88144329896907203</c:v>
                </c:pt>
                <c:pt idx="1">
                  <c:v>0</c:v>
                </c:pt>
              </c:numCache>
            </c:numRef>
          </c:xVal>
          <c:yVal>
            <c:numRef>
              <c:f>Rectification!$G$21:$G$22</c:f>
              <c:numCache>
                <c:formatCode>0.000</c:formatCode>
                <c:ptCount val="2"/>
                <c:pt idx="0">
                  <c:v>0.88144329896907192</c:v>
                </c:pt>
                <c:pt idx="1">
                  <c:v>4.1973490427098671E-2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5A-492A-9BD0-693F0CE39BC2}"/>
            </c:ext>
          </c:extLst>
        </c:ser>
        <c:ser>
          <c:idx val="5"/>
          <c:order val="4"/>
          <c:tx>
            <c:v>s_line</c:v>
          </c:tx>
          <c:spPr>
            <a:ln w="19050" cap="flat" cmpd="sng" algn="ctr">
              <a:solidFill>
                <a:schemeClr val="dk1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Rectification!$H$21:$H$22</c:f>
              <c:numCache>
                <c:formatCode>0.000</c:formatCode>
                <c:ptCount val="2"/>
                <c:pt idx="0">
                  <c:v>0.15550755939524841</c:v>
                </c:pt>
                <c:pt idx="1">
                  <c:v>0.53078263394801795</c:v>
                </c:pt>
              </c:numCache>
            </c:numRef>
          </c:xVal>
          <c:yVal>
            <c:numRef>
              <c:f>Rectification!$I$21:$I$22</c:f>
              <c:numCache>
                <c:formatCode>0.000</c:formatCode>
                <c:ptCount val="2"/>
                <c:pt idx="0">
                  <c:v>0.15550755939524841</c:v>
                </c:pt>
                <c:pt idx="1">
                  <c:v>0.54748076085378239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5A-492A-9BD0-693F0CE39BC2}"/>
            </c:ext>
          </c:extLst>
        </c:ser>
        <c:ser>
          <c:idx val="6"/>
          <c:order val="5"/>
          <c:tx>
            <c:v>1y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Rectification!$D$28:$E$28</c:f>
              <c:numCache>
                <c:formatCode>0.000</c:formatCode>
                <c:ptCount val="2"/>
                <c:pt idx="0">
                  <c:v>0.8732840862092407</c:v>
                </c:pt>
                <c:pt idx="1">
                  <c:v>0.88144329896907203</c:v>
                </c:pt>
              </c:numCache>
            </c:numRef>
          </c:xVal>
          <c:yVal>
            <c:numRef>
              <c:f>(Rectification!$E$28,Rectification!$E$28)</c:f>
              <c:numCache>
                <c:formatCode>0.000</c:formatCode>
                <c:ptCount val="2"/>
                <c:pt idx="0">
                  <c:v>0.88144329896907203</c:v>
                </c:pt>
                <c:pt idx="1">
                  <c:v>0.88144329896907203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5A-492A-9BD0-693F0CE39BC2}"/>
            </c:ext>
          </c:extLst>
        </c:ser>
        <c:ser>
          <c:idx val="7"/>
          <c:order val="6"/>
          <c:tx>
            <c:v>1x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(Rectification!$D$28,Rectification!$D$28)</c:f>
              <c:numCache>
                <c:formatCode>0.000</c:formatCode>
                <c:ptCount val="2"/>
                <c:pt idx="0">
                  <c:v>0.8732840862092407</c:v>
                </c:pt>
                <c:pt idx="1">
                  <c:v>0.8732840862092407</c:v>
                </c:pt>
              </c:numCache>
            </c:numRef>
          </c:xVal>
          <c:yVal>
            <c:numRef>
              <c:f>Rectification!$E$28:$E$29</c:f>
              <c:numCache>
                <c:formatCode>0.000</c:formatCode>
                <c:ptCount val="2"/>
                <c:pt idx="0">
                  <c:v>0.88144329896907203</c:v>
                </c:pt>
                <c:pt idx="1">
                  <c:v>0.87367262015018499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25A-492A-9BD0-693F0CE39BC2}"/>
            </c:ext>
          </c:extLst>
        </c:ser>
        <c:ser>
          <c:idx val="8"/>
          <c:order val="7"/>
          <c:tx>
            <c:v>2y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(Rectification!$D$28,Rectification!$D$29)</c:f>
              <c:numCache>
                <c:formatCode>0.000</c:formatCode>
                <c:ptCount val="2"/>
                <c:pt idx="0">
                  <c:v>0.8732840862092407</c:v>
                </c:pt>
                <c:pt idx="1">
                  <c:v>0.86387712954025009</c:v>
                </c:pt>
              </c:numCache>
            </c:numRef>
          </c:xVal>
          <c:yVal>
            <c:numRef>
              <c:f>(Rectification!$E$29,Rectification!$E$29)</c:f>
              <c:numCache>
                <c:formatCode>0.000</c:formatCode>
                <c:ptCount val="2"/>
                <c:pt idx="0">
                  <c:v>0.87367262015018499</c:v>
                </c:pt>
                <c:pt idx="1">
                  <c:v>0.87367262015018499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25A-492A-9BD0-693F0CE39BC2}"/>
            </c:ext>
          </c:extLst>
        </c:ser>
        <c:ser>
          <c:idx val="9"/>
          <c:order val="8"/>
          <c:tx>
            <c:v>2x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(Rectification!$D$29,Rectification!$D$29)</c:f>
              <c:numCache>
                <c:formatCode>0.000</c:formatCode>
                <c:ptCount val="2"/>
                <c:pt idx="0">
                  <c:v>0.86387712954025009</c:v>
                </c:pt>
                <c:pt idx="1">
                  <c:v>0.86387712954025009</c:v>
                </c:pt>
              </c:numCache>
            </c:numRef>
          </c:xVal>
          <c:yVal>
            <c:numRef>
              <c:f>Rectification!$E$29:$E$30</c:f>
              <c:numCache>
                <c:formatCode>0.000</c:formatCode>
                <c:ptCount val="2"/>
                <c:pt idx="0">
                  <c:v>0.87367262015018499</c:v>
                </c:pt>
                <c:pt idx="1">
                  <c:v>0.86471361379876532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25A-492A-9BD0-693F0CE39BC2}"/>
            </c:ext>
          </c:extLst>
        </c:ser>
        <c:ser>
          <c:idx val="10"/>
          <c:order val="9"/>
          <c:tx>
            <c:v>3y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Rectification!$D$29:$D$30</c:f>
              <c:numCache>
                <c:formatCode>0.000</c:formatCode>
                <c:ptCount val="2"/>
                <c:pt idx="0">
                  <c:v>0.86387712954025009</c:v>
                </c:pt>
                <c:pt idx="1">
                  <c:v>0.85284435340870846</c:v>
                </c:pt>
              </c:numCache>
            </c:numRef>
          </c:xVal>
          <c:yVal>
            <c:numRef>
              <c:f>(Rectification!$E$30,Rectification!$E$30)</c:f>
              <c:numCache>
                <c:formatCode>0.000</c:formatCode>
                <c:ptCount val="2"/>
                <c:pt idx="0">
                  <c:v>0.86471361379876532</c:v>
                </c:pt>
                <c:pt idx="1">
                  <c:v>0.86471361379876532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25A-492A-9BD0-693F0CE39BC2}"/>
            </c:ext>
          </c:extLst>
        </c:ser>
        <c:ser>
          <c:idx val="11"/>
          <c:order val="10"/>
          <c:tx>
            <c:v>3x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(Rectification!$D$30,Rectification!$D$30)</c:f>
              <c:numCache>
                <c:formatCode>0.000</c:formatCode>
                <c:ptCount val="2"/>
                <c:pt idx="0">
                  <c:v>0.85284435340870846</c:v>
                </c:pt>
                <c:pt idx="1">
                  <c:v>0.85284435340870846</c:v>
                </c:pt>
              </c:numCache>
            </c:numRef>
          </c:xVal>
          <c:yVal>
            <c:numRef>
              <c:f>(Rectification!$E$30,Rectification!$E$31)</c:f>
              <c:numCache>
                <c:formatCode>0.000</c:formatCode>
                <c:ptCount val="2"/>
                <c:pt idx="0">
                  <c:v>0.86471361379876532</c:v>
                </c:pt>
                <c:pt idx="1">
                  <c:v>0.85420620795920188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25A-492A-9BD0-693F0CE39BC2}"/>
            </c:ext>
          </c:extLst>
        </c:ser>
        <c:ser>
          <c:idx val="12"/>
          <c:order val="11"/>
          <c:tx>
            <c:v>4y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(Rectification!$D$30,Rectification!$D$31)</c:f>
              <c:numCache>
                <c:formatCode>0.000</c:formatCode>
                <c:ptCount val="2"/>
                <c:pt idx="0">
                  <c:v>0.85284435340870846</c:v>
                </c:pt>
                <c:pt idx="1">
                  <c:v>0.83964291451058015</c:v>
                </c:pt>
              </c:numCache>
            </c:numRef>
          </c:xVal>
          <c:yVal>
            <c:numRef>
              <c:f>(Rectification!$E$31,Rectification!$E$31)</c:f>
              <c:numCache>
                <c:formatCode>0.000</c:formatCode>
                <c:ptCount val="2"/>
                <c:pt idx="0">
                  <c:v>0.85420620795920188</c:v>
                </c:pt>
                <c:pt idx="1">
                  <c:v>0.85420620795920188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25A-492A-9BD0-693F0CE39BC2}"/>
            </c:ext>
          </c:extLst>
        </c:ser>
        <c:ser>
          <c:idx val="13"/>
          <c:order val="12"/>
          <c:tx>
            <c:v>4x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(Rectification!$D$31,Rectification!$D$31)</c:f>
              <c:numCache>
                <c:formatCode>0.000</c:formatCode>
                <c:ptCount val="2"/>
                <c:pt idx="0">
                  <c:v>0.83964291451058015</c:v>
                </c:pt>
                <c:pt idx="1">
                  <c:v>0.83964291451058015</c:v>
                </c:pt>
              </c:numCache>
            </c:numRef>
          </c:xVal>
          <c:yVal>
            <c:numRef>
              <c:f>(Rectification!$E$31,Rectification!$E$32)</c:f>
              <c:numCache>
                <c:formatCode>0.000</c:formatCode>
                <c:ptCount val="2"/>
                <c:pt idx="0">
                  <c:v>0.85420620795920188</c:v>
                </c:pt>
                <c:pt idx="1">
                  <c:v>0.84163340900860351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25A-492A-9BD0-693F0CE39BC2}"/>
            </c:ext>
          </c:extLst>
        </c:ser>
        <c:ser>
          <c:idx val="14"/>
          <c:order val="13"/>
          <c:tx>
            <c:v>5y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(Rectification!$D$31,Rectification!$D$32)</c:f>
              <c:numCache>
                <c:formatCode>0.000</c:formatCode>
                <c:ptCount val="2"/>
                <c:pt idx="0">
                  <c:v>0.83964291451058015</c:v>
                </c:pt>
                <c:pt idx="1">
                  <c:v>0.82346377851231112</c:v>
                </c:pt>
              </c:numCache>
            </c:numRef>
          </c:xVal>
          <c:yVal>
            <c:numRef>
              <c:f>(Rectification!$E$32,Rectification!$E$32)</c:f>
              <c:numCache>
                <c:formatCode>0.000</c:formatCode>
                <c:ptCount val="2"/>
                <c:pt idx="0">
                  <c:v>0.84163340900860351</c:v>
                </c:pt>
                <c:pt idx="1">
                  <c:v>0.84163340900860351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25A-492A-9BD0-693F0CE39BC2}"/>
            </c:ext>
          </c:extLst>
        </c:ser>
        <c:ser>
          <c:idx val="15"/>
          <c:order val="14"/>
          <c:tx>
            <c:v>5x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(Rectification!$D$32,Rectification!$D$32)</c:f>
              <c:numCache>
                <c:formatCode>0.000</c:formatCode>
                <c:ptCount val="2"/>
                <c:pt idx="0">
                  <c:v>0.82346377851231112</c:v>
                </c:pt>
                <c:pt idx="1">
                  <c:v>0.82346377851231112</c:v>
                </c:pt>
              </c:numCache>
            </c:numRef>
          </c:xVal>
          <c:yVal>
            <c:numRef>
              <c:f>(Rectification!$E$32,Rectification!$E$33)</c:f>
              <c:numCache>
                <c:formatCode>0.000</c:formatCode>
                <c:ptCount val="2"/>
                <c:pt idx="0">
                  <c:v>0.84163340900860351</c:v>
                </c:pt>
                <c:pt idx="1">
                  <c:v>0.82622470805787107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25A-492A-9BD0-693F0CE39BC2}"/>
            </c:ext>
          </c:extLst>
        </c:ser>
        <c:ser>
          <c:idx val="16"/>
          <c:order val="15"/>
          <c:tx>
            <c:v>6y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(Rectification!$D$32,Rectification!$D$33)</c:f>
              <c:numCache>
                <c:formatCode>0.000</c:formatCode>
                <c:ptCount val="2"/>
                <c:pt idx="0">
                  <c:v>0.82346377851231112</c:v>
                </c:pt>
                <c:pt idx="1">
                  <c:v>0.8030445311783927</c:v>
                </c:pt>
              </c:numCache>
            </c:numRef>
          </c:xVal>
          <c:yVal>
            <c:numRef>
              <c:f>(Rectification!$E$33,Rectification!$E$33)</c:f>
              <c:numCache>
                <c:formatCode>0.000</c:formatCode>
                <c:ptCount val="2"/>
                <c:pt idx="0">
                  <c:v>0.82622470805787107</c:v>
                </c:pt>
                <c:pt idx="1">
                  <c:v>0.82622470805787107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25A-492A-9BD0-693F0CE39BC2}"/>
            </c:ext>
          </c:extLst>
        </c:ser>
        <c:ser>
          <c:idx val="17"/>
          <c:order val="16"/>
          <c:tx>
            <c:v>6x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(Rectification!$D$33,Rectification!$D$33)</c:f>
              <c:numCache>
                <c:formatCode>0.000</c:formatCode>
                <c:ptCount val="2"/>
                <c:pt idx="0">
                  <c:v>0.8030445311783927</c:v>
                </c:pt>
                <c:pt idx="1">
                  <c:v>0.8030445311783927</c:v>
                </c:pt>
              </c:numCache>
            </c:numRef>
          </c:xVal>
          <c:yVal>
            <c:numRef>
              <c:f>(Rectification!$E$33,Rectification!$E$34)</c:f>
              <c:numCache>
                <c:formatCode>0.000</c:formatCode>
                <c:ptCount val="2"/>
                <c:pt idx="0">
                  <c:v>0.82622470805787107</c:v>
                </c:pt>
                <c:pt idx="1">
                  <c:v>0.80677780583509162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25A-492A-9BD0-693F0CE39BC2}"/>
            </c:ext>
          </c:extLst>
        </c:ser>
        <c:ser>
          <c:idx val="18"/>
          <c:order val="17"/>
          <c:tx>
            <c:v>7y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(Rectification!$D$33,Rectification!$D$34)</c:f>
              <c:numCache>
                <c:formatCode>0.000</c:formatCode>
                <c:ptCount val="2"/>
                <c:pt idx="0">
                  <c:v>0.8030445311783927</c:v>
                </c:pt>
                <c:pt idx="1">
                  <c:v>0.77629653642329377</c:v>
                </c:pt>
              </c:numCache>
            </c:numRef>
          </c:xVal>
          <c:yVal>
            <c:numRef>
              <c:f>(Rectification!$E$34,Rectification!$E$34)</c:f>
              <c:numCache>
                <c:formatCode>0.000</c:formatCode>
                <c:ptCount val="2"/>
                <c:pt idx="0">
                  <c:v>0.80677780583509162</c:v>
                </c:pt>
                <c:pt idx="1">
                  <c:v>0.80677780583509162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25A-492A-9BD0-693F0CE39BC2}"/>
            </c:ext>
          </c:extLst>
        </c:ser>
        <c:ser>
          <c:idx val="19"/>
          <c:order val="18"/>
          <c:tx>
            <c:v>7x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(Rectification!$D$34,Rectification!$D$34)</c:f>
              <c:numCache>
                <c:formatCode>0.000</c:formatCode>
                <c:ptCount val="2"/>
                <c:pt idx="0">
                  <c:v>0.77629653642329377</c:v>
                </c:pt>
                <c:pt idx="1">
                  <c:v>0.77629653642329377</c:v>
                </c:pt>
              </c:numCache>
            </c:numRef>
          </c:xVal>
          <c:yVal>
            <c:numRef>
              <c:f>(Rectification!$E$34,Rectification!$E$35)</c:f>
              <c:numCache>
                <c:formatCode>0.000</c:formatCode>
                <c:ptCount val="2"/>
                <c:pt idx="0">
                  <c:v>0.80677780583509162</c:v>
                </c:pt>
                <c:pt idx="1">
                  <c:v>0.7813035251159498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25A-492A-9BD0-693F0CE39BC2}"/>
            </c:ext>
          </c:extLst>
        </c:ser>
        <c:ser>
          <c:idx val="20"/>
          <c:order val="19"/>
          <c:tx>
            <c:v>8y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(Rectification!$D$34,Rectification!$D$35)</c:f>
              <c:numCache>
                <c:formatCode>0.000</c:formatCode>
                <c:ptCount val="2"/>
                <c:pt idx="0">
                  <c:v>0.77629653642329377</c:v>
                </c:pt>
                <c:pt idx="1">
                  <c:v>0.73948217976575037</c:v>
                </c:pt>
              </c:numCache>
            </c:numRef>
          </c:xVal>
          <c:yVal>
            <c:numRef>
              <c:f>(Rectification!$E$35,Rectification!$E$35)</c:f>
              <c:numCache>
                <c:formatCode>0.000</c:formatCode>
                <c:ptCount val="2"/>
                <c:pt idx="0">
                  <c:v>0.7813035251159498</c:v>
                </c:pt>
                <c:pt idx="1">
                  <c:v>0.7813035251159498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C25A-492A-9BD0-693F0CE39BC2}"/>
            </c:ext>
          </c:extLst>
        </c:ser>
        <c:ser>
          <c:idx val="21"/>
          <c:order val="20"/>
          <c:tx>
            <c:v>8x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(Rectification!$D$35,Rectification!$D$35)</c:f>
              <c:numCache>
                <c:formatCode>0.000</c:formatCode>
                <c:ptCount val="2"/>
                <c:pt idx="0">
                  <c:v>0.73948217976575037</c:v>
                </c:pt>
                <c:pt idx="1">
                  <c:v>0.73948217976575037</c:v>
                </c:pt>
              </c:numCache>
            </c:numRef>
          </c:xVal>
          <c:yVal>
            <c:numRef>
              <c:f>(Rectification!$E$35,Rectification!$E$36)</c:f>
              <c:numCache>
                <c:formatCode>0.000</c:formatCode>
                <c:ptCount val="2"/>
                <c:pt idx="0">
                  <c:v>0.7813035251159498</c:v>
                </c:pt>
                <c:pt idx="1">
                  <c:v>0.74624223306114656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C25A-492A-9BD0-693F0CE39BC2}"/>
            </c:ext>
          </c:extLst>
        </c:ser>
        <c:ser>
          <c:idx val="22"/>
          <c:order val="21"/>
          <c:tx>
            <c:v>9y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Rectification!$D$35:$D$36</c:f>
              <c:numCache>
                <c:formatCode>0.000</c:formatCode>
                <c:ptCount val="2"/>
                <c:pt idx="0">
                  <c:v>0.73948217976575037</c:v>
                </c:pt>
                <c:pt idx="1">
                  <c:v>0.68510652247259496</c:v>
                </c:pt>
              </c:numCache>
            </c:numRef>
          </c:xVal>
          <c:yVal>
            <c:numRef>
              <c:f>(Rectification!$E$36,Rectification!$E$36)</c:f>
              <c:numCache>
                <c:formatCode>0.000</c:formatCode>
                <c:ptCount val="2"/>
                <c:pt idx="0">
                  <c:v>0.74624223306114656</c:v>
                </c:pt>
                <c:pt idx="1">
                  <c:v>0.74624223306114656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C25A-492A-9BD0-693F0CE39BC2}"/>
            </c:ext>
          </c:extLst>
        </c:ser>
        <c:ser>
          <c:idx val="23"/>
          <c:order val="22"/>
          <c:tx>
            <c:v>9x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(Rectification!$D$36,Rectification!$D$36)</c:f>
              <c:numCache>
                <c:formatCode>0.000</c:formatCode>
                <c:ptCount val="2"/>
                <c:pt idx="0">
                  <c:v>0.68510652247259496</c:v>
                </c:pt>
                <c:pt idx="1">
                  <c:v>0.68510652247259496</c:v>
                </c:pt>
              </c:numCache>
            </c:numRef>
          </c:xVal>
          <c:yVal>
            <c:numRef>
              <c:f>(Rectification!$E$36,Rectification!$E$37)</c:f>
              <c:numCache>
                <c:formatCode>0.000</c:formatCode>
                <c:ptCount val="2"/>
                <c:pt idx="0">
                  <c:v>0.74624223306114656</c:v>
                </c:pt>
                <c:pt idx="1">
                  <c:v>0.69445589278195097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C25A-492A-9BD0-693F0CE39BC2}"/>
            </c:ext>
          </c:extLst>
        </c:ser>
        <c:ser>
          <c:idx val="24"/>
          <c:order val="23"/>
          <c:tx>
            <c:v>10y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(Rectification!$D$36,Rectification!$D$37)</c:f>
              <c:numCache>
                <c:formatCode>0.000</c:formatCode>
                <c:ptCount val="2"/>
                <c:pt idx="0">
                  <c:v>0.68510652247259496</c:v>
                </c:pt>
                <c:pt idx="1">
                  <c:v>0.59497604159538697</c:v>
                </c:pt>
              </c:numCache>
            </c:numRef>
          </c:xVal>
          <c:yVal>
            <c:numRef>
              <c:f>(Rectification!$E$37,Rectification!$E$37)</c:f>
              <c:numCache>
                <c:formatCode>0.000</c:formatCode>
                <c:ptCount val="2"/>
                <c:pt idx="0">
                  <c:v>0.69445589278195097</c:v>
                </c:pt>
                <c:pt idx="1">
                  <c:v>0.69445589278195097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C25A-492A-9BD0-693F0CE39BC2}"/>
            </c:ext>
          </c:extLst>
        </c:ser>
        <c:ser>
          <c:idx val="25"/>
          <c:order val="24"/>
          <c:tx>
            <c:v>10x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(Rectification!$D$37,Rectification!$D$37)</c:f>
              <c:numCache>
                <c:formatCode>0.000</c:formatCode>
                <c:ptCount val="2"/>
                <c:pt idx="0">
                  <c:v>0.59497604159538697</c:v>
                </c:pt>
                <c:pt idx="1">
                  <c:v>0.59497604159538697</c:v>
                </c:pt>
              </c:numCache>
            </c:numRef>
          </c:xVal>
          <c:yVal>
            <c:numRef>
              <c:f>(Rectification!$E$37,Rectification!$E$38)</c:f>
              <c:numCache>
                <c:formatCode>0.000</c:formatCode>
                <c:ptCount val="2"/>
                <c:pt idx="0">
                  <c:v>0.69445589278195097</c:v>
                </c:pt>
                <c:pt idx="1">
                  <c:v>0.60861733956556241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C25A-492A-9BD0-693F0CE39BC2}"/>
            </c:ext>
          </c:extLst>
        </c:ser>
        <c:ser>
          <c:idx val="0"/>
          <c:order val="25"/>
          <c:tx>
            <c:v>11x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(Rectification!$D$37,Rectification!$D$38)</c:f>
              <c:numCache>
                <c:formatCode>0.000</c:formatCode>
                <c:ptCount val="2"/>
                <c:pt idx="0">
                  <c:v>0.59497604159538697</c:v>
                </c:pt>
                <c:pt idx="1">
                  <c:v>0.40207050589158294</c:v>
                </c:pt>
              </c:numCache>
            </c:numRef>
          </c:xVal>
          <c:yVal>
            <c:numRef>
              <c:f>(Rectification!$E$38,Rectification!$E$38)</c:f>
              <c:numCache>
                <c:formatCode>0.000</c:formatCode>
                <c:ptCount val="2"/>
                <c:pt idx="0">
                  <c:v>0.60861733956556241</c:v>
                </c:pt>
                <c:pt idx="1">
                  <c:v>0.60861733956556241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C25A-492A-9BD0-693F0CE39BC2}"/>
            </c:ext>
          </c:extLst>
        </c:ser>
        <c:ser>
          <c:idx val="26"/>
          <c:order val="26"/>
          <c:tx>
            <c:v>11y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(Rectification!$D$38,Rectification!$D$38)</c:f>
              <c:numCache>
                <c:formatCode>0.000</c:formatCode>
                <c:ptCount val="2"/>
                <c:pt idx="0">
                  <c:v>0.40207050589158294</c:v>
                </c:pt>
                <c:pt idx="1">
                  <c:v>0.40207050589158294</c:v>
                </c:pt>
              </c:numCache>
            </c:numRef>
          </c:xVal>
          <c:yVal>
            <c:numRef>
              <c:f>(Rectification!$E$38,Rectification!$E$39)</c:f>
              <c:numCache>
                <c:formatCode>0.000</c:formatCode>
                <c:ptCount val="2"/>
                <c:pt idx="0">
                  <c:v>0.60861733956556241</c:v>
                </c:pt>
                <c:pt idx="1">
                  <c:v>0.41304149663953382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C25A-492A-9BD0-693F0CE39BC2}"/>
            </c:ext>
          </c:extLst>
        </c:ser>
        <c:ser>
          <c:idx val="27"/>
          <c:order val="27"/>
          <c:tx>
            <c:v>12x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(Rectification!$D$38,Rectification!$D$39)</c:f>
              <c:numCache>
                <c:formatCode>0.000</c:formatCode>
                <c:ptCount val="2"/>
                <c:pt idx="0">
                  <c:v>0.40207050589158294</c:v>
                </c:pt>
                <c:pt idx="1">
                  <c:v>8.4370914641781106E-2</c:v>
                </c:pt>
              </c:numCache>
            </c:numRef>
          </c:xVal>
          <c:yVal>
            <c:numRef>
              <c:f>(Rectification!$E$39,Rectification!$E$39)</c:f>
              <c:numCache>
                <c:formatCode>0.000</c:formatCode>
                <c:ptCount val="2"/>
                <c:pt idx="0">
                  <c:v>0.41304149663953382</c:v>
                </c:pt>
                <c:pt idx="1">
                  <c:v>0.41304149663953382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C25A-492A-9BD0-693F0CE39BC2}"/>
            </c:ext>
          </c:extLst>
        </c:ser>
        <c:ser>
          <c:idx val="28"/>
          <c:order val="28"/>
          <c:tx>
            <c:v>12y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(Rectification!$D$39,Rectification!$D$39)</c:f>
              <c:numCache>
                <c:formatCode>0.000</c:formatCode>
                <c:ptCount val="2"/>
                <c:pt idx="0">
                  <c:v>8.4370914641781106E-2</c:v>
                </c:pt>
                <c:pt idx="1">
                  <c:v>8.4370914641781106E-2</c:v>
                </c:pt>
              </c:numCache>
            </c:numRef>
          </c:xVal>
          <c:yVal>
            <c:numRef>
              <c:f>(Rectification!$E$39,Rectification!$E$40)</c:f>
              <c:numCache>
                <c:formatCode>0.000</c:formatCode>
                <c:ptCount val="2"/>
                <c:pt idx="0">
                  <c:v>0.41304149663953382</c:v>
                </c:pt>
                <c:pt idx="1">
                  <c:v>8.1205639881235664E-2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C25A-492A-9BD0-693F0CE39BC2}"/>
            </c:ext>
          </c:extLst>
        </c:ser>
        <c:ser>
          <c:idx val="29"/>
          <c:order val="29"/>
          <c:tx>
            <c:v>13x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(Rectification!$D$39,Rectification!$D$40)</c:f>
              <c:numCache>
                <c:formatCode>0.000</c:formatCode>
                <c:ptCount val="2"/>
                <c:pt idx="0">
                  <c:v>8.4370914641781106E-2</c:v>
                </c:pt>
                <c:pt idx="1">
                  <c:v>7.7790364434909623E-3</c:v>
                </c:pt>
              </c:numCache>
            </c:numRef>
          </c:xVal>
          <c:yVal>
            <c:numRef>
              <c:f>(Rectification!$E$40,Rectification!$E$40)</c:f>
              <c:numCache>
                <c:formatCode>0.000</c:formatCode>
                <c:ptCount val="2"/>
                <c:pt idx="0">
                  <c:v>8.1205639881235664E-2</c:v>
                </c:pt>
                <c:pt idx="1">
                  <c:v>8.1205639881235664E-2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C25A-492A-9BD0-693F0CE39BC2}"/>
            </c:ext>
          </c:extLst>
        </c:ser>
        <c:ser>
          <c:idx val="30"/>
          <c:order val="30"/>
          <c:tx>
            <c:v>13y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(Rectification!$D$40,Rectification!$D$40)</c:f>
              <c:numCache>
                <c:formatCode>0.000</c:formatCode>
                <c:ptCount val="2"/>
                <c:pt idx="0">
                  <c:v>7.7790364434909623E-3</c:v>
                </c:pt>
                <c:pt idx="1">
                  <c:v>7.7790364434909623E-3</c:v>
                </c:pt>
              </c:numCache>
            </c:numRef>
          </c:xVal>
          <c:yVal>
            <c:numRef>
              <c:f>(Rectification!$E$40,Rectification!$E$41)</c:f>
              <c:numCache>
                <c:formatCode>0.000</c:formatCode>
                <c:ptCount val="2"/>
                <c:pt idx="0">
                  <c:v>8.1205639881235664E-2</c:v>
                </c:pt>
                <c:pt idx="1">
                  <c:v>1.2057524949383707E-3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C25A-492A-9BD0-693F0CE39BC2}"/>
            </c:ext>
          </c:extLst>
        </c:ser>
        <c:ser>
          <c:idx val="31"/>
          <c:order val="31"/>
          <c:tx>
            <c:v>14x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(Rectification!$D$40,Rectification!$D$41)</c:f>
              <c:numCache>
                <c:formatCode>0.000</c:formatCode>
                <c:ptCount val="2"/>
                <c:pt idx="0">
                  <c:v>7.7790364434909623E-3</c:v>
                </c:pt>
                <c:pt idx="1">
                  <c:v>1.0295442271271018E-4</c:v>
                </c:pt>
              </c:numCache>
            </c:numRef>
          </c:xVal>
          <c:yVal>
            <c:numRef>
              <c:f>(Rectification!$E$41,Rectification!$E$41)</c:f>
              <c:numCache>
                <c:formatCode>0.000</c:formatCode>
                <c:ptCount val="2"/>
                <c:pt idx="0">
                  <c:v>1.2057524949383707E-3</c:v>
                </c:pt>
                <c:pt idx="1">
                  <c:v>1.2057524949383707E-3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C25A-492A-9BD0-693F0CE39BC2}"/>
            </c:ext>
          </c:extLst>
        </c:ser>
        <c:ser>
          <c:idx val="32"/>
          <c:order val="32"/>
          <c:tx>
            <c:v>14y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(Rectification!$D$41,Rectification!$D$41)</c:f>
              <c:numCache>
                <c:formatCode>0.000</c:formatCode>
                <c:ptCount val="2"/>
                <c:pt idx="0">
                  <c:v>1.0295442271271018E-4</c:v>
                </c:pt>
                <c:pt idx="1">
                  <c:v>1.0295442271271018E-4</c:v>
                </c:pt>
              </c:numCache>
            </c:numRef>
          </c:xVal>
          <c:yVal>
            <c:numRef>
              <c:f>(Rectification!$E$41,Rectification!$E$42)</c:f>
              <c:numCache>
                <c:formatCode>0.000</c:formatCode>
                <c:ptCount val="2"/>
                <c:pt idx="0">
                  <c:v>1.2057524949383707E-3</c:v>
                </c:pt>
                <c:pt idx="1">
                  <c:v>-6.8118821639274628E-3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C25A-492A-9BD0-693F0CE39BC2}"/>
            </c:ext>
          </c:extLst>
        </c:ser>
        <c:ser>
          <c:idx val="33"/>
          <c:order val="33"/>
          <c:tx>
            <c:v>15x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(Rectification!$D$41,Rectification!$D$42)</c:f>
              <c:numCache>
                <c:formatCode>0.000</c:formatCode>
                <c:ptCount val="2"/>
                <c:pt idx="0">
                  <c:v>1.0295442271271018E-4</c:v>
                </c:pt>
                <c:pt idx="1">
                  <c:v>-5.7438798629599831E-4</c:v>
                </c:pt>
              </c:numCache>
            </c:numRef>
          </c:xVal>
          <c:yVal>
            <c:numRef>
              <c:f>(Rectification!$E$42,Rectification!$E$42)</c:f>
              <c:numCache>
                <c:formatCode>0.000</c:formatCode>
                <c:ptCount val="2"/>
                <c:pt idx="0">
                  <c:v>-6.8118821639274628E-3</c:v>
                </c:pt>
                <c:pt idx="1">
                  <c:v>-6.8118821639274628E-3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C25A-492A-9BD0-693F0CE39BC2}"/>
            </c:ext>
          </c:extLst>
        </c:ser>
        <c:ser>
          <c:idx val="34"/>
          <c:order val="34"/>
          <c:tx>
            <c:v>15y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(Rectification!$D$42,Rectification!$D$42)</c:f>
              <c:numCache>
                <c:formatCode>0.000</c:formatCode>
                <c:ptCount val="2"/>
                <c:pt idx="0">
                  <c:v>-5.7438798629599831E-4</c:v>
                </c:pt>
                <c:pt idx="1">
                  <c:v>-5.7438798629599831E-4</c:v>
                </c:pt>
              </c:numCache>
            </c:numRef>
          </c:xVal>
          <c:yVal>
            <c:numRef>
              <c:f>(Rectification!$E$42,Rectification!$E$43)</c:f>
              <c:numCache>
                <c:formatCode>0.000</c:formatCode>
                <c:ptCount val="2"/>
                <c:pt idx="0">
                  <c:v>-6.8118821639274628E-3</c:v>
                </c:pt>
                <c:pt idx="1">
                  <c:v>-7.5193633971513494E-3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C25A-492A-9BD0-693F0CE39BC2}"/>
            </c:ext>
          </c:extLst>
        </c:ser>
        <c:ser>
          <c:idx val="35"/>
          <c:order val="35"/>
          <c:tx>
            <c:v>16x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(Rectification!$D$42,Rectification!$D$43)</c:f>
              <c:numCache>
                <c:formatCode>0.000</c:formatCode>
                <c:ptCount val="2"/>
                <c:pt idx="0">
                  <c:v>-5.7438798629599831E-4</c:v>
                </c:pt>
                <c:pt idx="1">
                  <c:v>-6.3346869054215513E-4</c:v>
                </c:pt>
              </c:numCache>
            </c:numRef>
          </c:xVal>
          <c:yVal>
            <c:numRef>
              <c:f>(Rectification!$E$43,Rectification!$E$43)</c:f>
              <c:numCache>
                <c:formatCode>0.000</c:formatCode>
                <c:ptCount val="2"/>
                <c:pt idx="0">
                  <c:v>-7.5193633971513494E-3</c:v>
                </c:pt>
                <c:pt idx="1">
                  <c:v>-7.5193633971513494E-3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C25A-492A-9BD0-693F0CE39BC2}"/>
            </c:ext>
          </c:extLst>
        </c:ser>
        <c:ser>
          <c:idx val="36"/>
          <c:order val="36"/>
          <c:tx>
            <c:v>16y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(Rectification!$D$43,Rectification!$D$43)</c:f>
              <c:numCache>
                <c:formatCode>0.000</c:formatCode>
                <c:ptCount val="2"/>
                <c:pt idx="0">
                  <c:v>-6.3346869054215513E-4</c:v>
                </c:pt>
                <c:pt idx="1">
                  <c:v>-6.3346869054215513E-4</c:v>
                </c:pt>
              </c:numCache>
            </c:numRef>
          </c:xVal>
          <c:yVal>
            <c:numRef>
              <c:f>(Rectification!$E$43,Rectification!$E$44)</c:f>
              <c:numCache>
                <c:formatCode>0.000</c:formatCode>
                <c:ptCount val="2"/>
                <c:pt idx="0">
                  <c:v>-7.5193633971513494E-3</c:v>
                </c:pt>
                <c:pt idx="1">
                  <c:v>-7.5810729386533776E-3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C25A-492A-9BD0-693F0CE39BC2}"/>
            </c:ext>
          </c:extLst>
        </c:ser>
        <c:ser>
          <c:idx val="37"/>
          <c:order val="37"/>
          <c:tx>
            <c:v>17x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(Rectification!$D$43,Rectification!$D$44)</c:f>
              <c:numCache>
                <c:formatCode>0.000</c:formatCode>
                <c:ptCount val="2"/>
                <c:pt idx="0">
                  <c:v>-6.3346869054215513E-4</c:v>
                </c:pt>
                <c:pt idx="1">
                  <c:v>-6.3862040836199483E-4</c:v>
                </c:pt>
              </c:numCache>
            </c:numRef>
          </c:xVal>
          <c:yVal>
            <c:numRef>
              <c:f>(Rectification!$E$44,Rectification!$E$44)</c:f>
              <c:numCache>
                <c:formatCode>0.000</c:formatCode>
                <c:ptCount val="2"/>
                <c:pt idx="0">
                  <c:v>-7.5810729386533776E-3</c:v>
                </c:pt>
                <c:pt idx="1">
                  <c:v>-7.5810729386533776E-3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C25A-492A-9BD0-693F0CE39BC2}"/>
            </c:ext>
          </c:extLst>
        </c:ser>
        <c:ser>
          <c:idx val="38"/>
          <c:order val="38"/>
          <c:tx>
            <c:v>17y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(Rectification!$D$44,Rectification!$D$44)</c:f>
              <c:numCache>
                <c:formatCode>0.000</c:formatCode>
                <c:ptCount val="2"/>
                <c:pt idx="0">
                  <c:v>-6.3862040836199483E-4</c:v>
                </c:pt>
                <c:pt idx="1">
                  <c:v>-6.3862040836199483E-4</c:v>
                </c:pt>
              </c:numCache>
            </c:numRef>
          </c:xVal>
          <c:yVal>
            <c:numRef>
              <c:f>(Rectification!$E$44,Rectification!$E$45)</c:f>
              <c:numCache>
                <c:formatCode>0.000</c:formatCode>
                <c:ptCount val="2"/>
                <c:pt idx="0">
                  <c:v>-7.5810729386533776E-3</c:v>
                </c:pt>
                <c:pt idx="1">
                  <c:v>-7.5864538857606696E-3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C25A-492A-9BD0-693F0CE39BC2}"/>
            </c:ext>
          </c:extLst>
        </c:ser>
        <c:ser>
          <c:idx val="39"/>
          <c:order val="39"/>
          <c:tx>
            <c:v>18x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(Rectification!$D$44,Rectification!$D$45)</c:f>
              <c:numCache>
                <c:formatCode>0.000</c:formatCode>
                <c:ptCount val="2"/>
                <c:pt idx="0">
                  <c:v>-6.3862040836199483E-4</c:v>
                </c:pt>
                <c:pt idx="1">
                  <c:v>-6.3906998678691794E-4</c:v>
                </c:pt>
              </c:numCache>
            </c:numRef>
          </c:xVal>
          <c:yVal>
            <c:numRef>
              <c:f>(Rectification!$E$45,Rectification!$E$45)</c:f>
              <c:numCache>
                <c:formatCode>0.000</c:formatCode>
                <c:ptCount val="2"/>
                <c:pt idx="0">
                  <c:v>-7.5864538857606696E-3</c:v>
                </c:pt>
                <c:pt idx="1">
                  <c:v>-7.5864538857606696E-3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C25A-492A-9BD0-693F0CE39BC2}"/>
            </c:ext>
          </c:extLst>
        </c:ser>
        <c:ser>
          <c:idx val="40"/>
          <c:order val="40"/>
          <c:tx>
            <c:v>18y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(Rectification!$D$45,Rectification!$D$45)</c:f>
              <c:numCache>
                <c:formatCode>0.000</c:formatCode>
                <c:ptCount val="2"/>
                <c:pt idx="0">
                  <c:v>-6.3906998678691794E-4</c:v>
                </c:pt>
                <c:pt idx="1">
                  <c:v>-6.3906998678691794E-4</c:v>
                </c:pt>
              </c:numCache>
            </c:numRef>
          </c:xVal>
          <c:yVal>
            <c:numRef>
              <c:f>(Rectification!$E$45,Rectification!$E$46)</c:f>
              <c:numCache>
                <c:formatCode>0.000</c:formatCode>
                <c:ptCount val="2"/>
                <c:pt idx="0">
                  <c:v>-7.5864538857606696E-3</c:v>
                </c:pt>
                <c:pt idx="1">
                  <c:v>-7.5869234684920401E-3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C25A-492A-9BD0-693F0CE39BC2}"/>
            </c:ext>
          </c:extLst>
        </c:ser>
        <c:ser>
          <c:idx val="41"/>
          <c:order val="41"/>
          <c:tx>
            <c:v>19x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(Rectification!$D$45,Rectification!$D$46)</c:f>
              <c:numCache>
                <c:formatCode>0.000</c:formatCode>
                <c:ptCount val="2"/>
                <c:pt idx="0">
                  <c:v>-6.3906998678691794E-4</c:v>
                </c:pt>
                <c:pt idx="1">
                  <c:v>-6.3910928712620899E-4</c:v>
                </c:pt>
              </c:numCache>
            </c:numRef>
          </c:xVal>
          <c:yVal>
            <c:numRef>
              <c:f>(Rectification!$E$46,Rectification!$E$46)</c:f>
              <c:numCache>
                <c:formatCode>0.000</c:formatCode>
                <c:ptCount val="2"/>
                <c:pt idx="0">
                  <c:v>-7.5869234684920401E-3</c:v>
                </c:pt>
                <c:pt idx="1">
                  <c:v>-7.5869234684920401E-3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C25A-492A-9BD0-693F0CE39BC2}"/>
            </c:ext>
          </c:extLst>
        </c:ser>
        <c:ser>
          <c:idx val="42"/>
          <c:order val="42"/>
          <c:tx>
            <c:v>19y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(Rectification!$D$46,Rectification!$D$46)</c:f>
              <c:numCache>
                <c:formatCode>0.000</c:formatCode>
                <c:ptCount val="2"/>
                <c:pt idx="0">
                  <c:v>-6.3910928712620899E-4</c:v>
                </c:pt>
                <c:pt idx="1">
                  <c:v>-6.3910928712620899E-4</c:v>
                </c:pt>
              </c:numCache>
            </c:numRef>
          </c:xVal>
          <c:yVal>
            <c:numRef>
              <c:f>(Rectification!$E$46,Rectification!$E$47)</c:f>
              <c:numCache>
                <c:formatCode>0.000</c:formatCode>
                <c:ptCount val="2"/>
                <c:pt idx="0">
                  <c:v>-7.5869234684920401E-3</c:v>
                </c:pt>
                <c:pt idx="1">
                  <c:v>-7.586964517527414E-3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C25A-492A-9BD0-693F0CE39BC2}"/>
            </c:ext>
          </c:extLst>
        </c:ser>
        <c:ser>
          <c:idx val="43"/>
          <c:order val="43"/>
          <c:tx>
            <c:v>20x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(Rectification!$D$46,Rectification!$D$47)</c:f>
              <c:numCache>
                <c:formatCode>0.000</c:formatCode>
                <c:ptCount val="2"/>
                <c:pt idx="0">
                  <c:v>-6.3910928712620899E-4</c:v>
                </c:pt>
                <c:pt idx="1">
                  <c:v>-6.3911272314488886E-4</c:v>
                </c:pt>
              </c:numCache>
            </c:numRef>
          </c:xVal>
          <c:yVal>
            <c:numRef>
              <c:f>(Rectification!$E$47,Rectification!$E$47)</c:f>
              <c:numCache>
                <c:formatCode>0.000</c:formatCode>
                <c:ptCount val="2"/>
                <c:pt idx="0">
                  <c:v>-7.586964517527414E-3</c:v>
                </c:pt>
                <c:pt idx="1">
                  <c:v>-7.586964517527414E-3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C25A-492A-9BD0-693F0CE39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47040"/>
        <c:axId val="100261888"/>
      </c:scatterChart>
      <c:valAx>
        <c:axId val="100247040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0261888"/>
        <c:crosses val="autoZero"/>
        <c:crossBetween val="midCat"/>
      </c:valAx>
      <c:valAx>
        <c:axId val="100261888"/>
        <c:scaling>
          <c:orientation val="minMax"/>
          <c:max val="1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0247040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447" footer="0.3149606200000044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marker>
            <c:symbol val="none"/>
          </c:marker>
          <c:xVal>
            <c:numRef>
              <c:f>Equilibrium!$B$4:$B$20</c:f>
              <c:numCache>
                <c:formatCode>0.000</c:formatCode>
                <c:ptCount val="17"/>
                <c:pt idx="0">
                  <c:v>0</c:v>
                </c:pt>
                <c:pt idx="1">
                  <c:v>1.9E-2</c:v>
                </c:pt>
                <c:pt idx="2">
                  <c:v>7.2099999999999997E-2</c:v>
                </c:pt>
                <c:pt idx="3">
                  <c:v>9.6600000000000005E-2</c:v>
                </c:pt>
                <c:pt idx="4">
                  <c:v>0.12379999999999999</c:v>
                </c:pt>
                <c:pt idx="5">
                  <c:v>0.1661</c:v>
                </c:pt>
                <c:pt idx="6">
                  <c:v>0.23769999999999999</c:v>
                </c:pt>
                <c:pt idx="7">
                  <c:v>0.26079999999999998</c:v>
                </c:pt>
                <c:pt idx="8">
                  <c:v>0.32729999999999998</c:v>
                </c:pt>
                <c:pt idx="9">
                  <c:v>0.39650000000000002</c:v>
                </c:pt>
                <c:pt idx="10">
                  <c:v>0.50790000000000002</c:v>
                </c:pt>
                <c:pt idx="11">
                  <c:v>0.51980000000000004</c:v>
                </c:pt>
                <c:pt idx="12">
                  <c:v>0.57320000000000004</c:v>
                </c:pt>
                <c:pt idx="13">
                  <c:v>0.67630000000000001</c:v>
                </c:pt>
                <c:pt idx="14">
                  <c:v>0.74719999999999998</c:v>
                </c:pt>
                <c:pt idx="15">
                  <c:v>0.89429999999999998</c:v>
                </c:pt>
                <c:pt idx="16">
                  <c:v>1</c:v>
                </c:pt>
              </c:numCache>
            </c:numRef>
          </c:xVal>
          <c:yVal>
            <c:numRef>
              <c:f>Equilibrium!$C$4:$C$20</c:f>
              <c:numCache>
                <c:formatCode>0.000</c:formatCode>
                <c:ptCount val="17"/>
                <c:pt idx="0">
                  <c:v>0</c:v>
                </c:pt>
                <c:pt idx="1">
                  <c:v>0.17</c:v>
                </c:pt>
                <c:pt idx="2">
                  <c:v>0.3891</c:v>
                </c:pt>
                <c:pt idx="3">
                  <c:v>0.4375</c:v>
                </c:pt>
                <c:pt idx="4">
                  <c:v>0.47039999999999998</c:v>
                </c:pt>
                <c:pt idx="5">
                  <c:v>0.50890000000000002</c:v>
                </c:pt>
                <c:pt idx="6">
                  <c:v>0.54449999999999998</c:v>
                </c:pt>
                <c:pt idx="7">
                  <c:v>0.55800000000000005</c:v>
                </c:pt>
                <c:pt idx="8">
                  <c:v>0.58260000000000001</c:v>
                </c:pt>
                <c:pt idx="9">
                  <c:v>0.61219999999999997</c:v>
                </c:pt>
                <c:pt idx="10">
                  <c:v>0.65639999999999998</c:v>
                </c:pt>
                <c:pt idx="11">
                  <c:v>0.65990000000000004</c:v>
                </c:pt>
                <c:pt idx="12">
                  <c:v>0.68410000000000004</c:v>
                </c:pt>
                <c:pt idx="13">
                  <c:v>0.73850000000000005</c:v>
                </c:pt>
                <c:pt idx="14">
                  <c:v>0.78149999999999997</c:v>
                </c:pt>
                <c:pt idx="15">
                  <c:v>0.89429999999999998</c:v>
                </c:pt>
                <c:pt idx="1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85-4149-A2B7-C47106B636E9}"/>
            </c:ext>
          </c:extLst>
        </c:ser>
        <c:ser>
          <c:idx val="1"/>
          <c:order val="1"/>
          <c:tx>
            <c:v>linha de 45°</c:v>
          </c:tx>
          <c:spPr>
            <a:ln w="25400" cap="flat" cmpd="sng" algn="ctr">
              <a:solidFill>
                <a:schemeClr val="tx1">
                  <a:lumMod val="75000"/>
                  <a:lumOff val="25000"/>
                </a:schemeClr>
              </a:solidFill>
              <a:prstDash val="solid"/>
            </a:ln>
            <a:effectLst/>
          </c:spPr>
          <c:marker>
            <c:symbol val="none"/>
          </c:marker>
          <c:xVal>
            <c:numRef>
              <c:f>Equilibrium!$B$4:$B$20</c:f>
              <c:numCache>
                <c:formatCode>0.000</c:formatCode>
                <c:ptCount val="17"/>
                <c:pt idx="0">
                  <c:v>0</c:v>
                </c:pt>
                <c:pt idx="1">
                  <c:v>1.9E-2</c:v>
                </c:pt>
                <c:pt idx="2">
                  <c:v>7.2099999999999997E-2</c:v>
                </c:pt>
                <c:pt idx="3">
                  <c:v>9.6600000000000005E-2</c:v>
                </c:pt>
                <c:pt idx="4">
                  <c:v>0.12379999999999999</c:v>
                </c:pt>
                <c:pt idx="5">
                  <c:v>0.1661</c:v>
                </c:pt>
                <c:pt idx="6">
                  <c:v>0.23769999999999999</c:v>
                </c:pt>
                <c:pt idx="7">
                  <c:v>0.26079999999999998</c:v>
                </c:pt>
                <c:pt idx="8">
                  <c:v>0.32729999999999998</c:v>
                </c:pt>
                <c:pt idx="9">
                  <c:v>0.39650000000000002</c:v>
                </c:pt>
                <c:pt idx="10">
                  <c:v>0.50790000000000002</c:v>
                </c:pt>
                <c:pt idx="11">
                  <c:v>0.51980000000000004</c:v>
                </c:pt>
                <c:pt idx="12">
                  <c:v>0.57320000000000004</c:v>
                </c:pt>
                <c:pt idx="13">
                  <c:v>0.67630000000000001</c:v>
                </c:pt>
                <c:pt idx="14">
                  <c:v>0.74719999999999998</c:v>
                </c:pt>
                <c:pt idx="15">
                  <c:v>0.89429999999999998</c:v>
                </c:pt>
                <c:pt idx="16">
                  <c:v>1</c:v>
                </c:pt>
              </c:numCache>
            </c:numRef>
          </c:xVal>
          <c:yVal>
            <c:numRef>
              <c:f>Equilibrium!$B$4:$B$20</c:f>
              <c:numCache>
                <c:formatCode>0.000</c:formatCode>
                <c:ptCount val="17"/>
                <c:pt idx="0">
                  <c:v>0</c:v>
                </c:pt>
                <c:pt idx="1">
                  <c:v>1.9E-2</c:v>
                </c:pt>
                <c:pt idx="2">
                  <c:v>7.2099999999999997E-2</c:v>
                </c:pt>
                <c:pt idx="3">
                  <c:v>9.6600000000000005E-2</c:v>
                </c:pt>
                <c:pt idx="4">
                  <c:v>0.12379999999999999</c:v>
                </c:pt>
                <c:pt idx="5">
                  <c:v>0.1661</c:v>
                </c:pt>
                <c:pt idx="6">
                  <c:v>0.23769999999999999</c:v>
                </c:pt>
                <c:pt idx="7">
                  <c:v>0.26079999999999998</c:v>
                </c:pt>
                <c:pt idx="8">
                  <c:v>0.32729999999999998</c:v>
                </c:pt>
                <c:pt idx="9">
                  <c:v>0.39650000000000002</c:v>
                </c:pt>
                <c:pt idx="10">
                  <c:v>0.50790000000000002</c:v>
                </c:pt>
                <c:pt idx="11">
                  <c:v>0.51980000000000004</c:v>
                </c:pt>
                <c:pt idx="12">
                  <c:v>0.57320000000000004</c:v>
                </c:pt>
                <c:pt idx="13">
                  <c:v>0.67630000000000001</c:v>
                </c:pt>
                <c:pt idx="14">
                  <c:v>0.74719999999999998</c:v>
                </c:pt>
                <c:pt idx="15">
                  <c:v>0.89429999999999998</c:v>
                </c:pt>
                <c:pt idx="1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85-4149-A2B7-C47106B636E9}"/>
            </c:ext>
          </c:extLst>
        </c:ser>
        <c:ser>
          <c:idx val="2"/>
          <c:order val="2"/>
          <c:tx>
            <c:v>modelo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Equilibrium!$B$4:$B$20</c:f>
              <c:numCache>
                <c:formatCode>0.000</c:formatCode>
                <c:ptCount val="17"/>
                <c:pt idx="0">
                  <c:v>0</c:v>
                </c:pt>
                <c:pt idx="1">
                  <c:v>1.9E-2</c:v>
                </c:pt>
                <c:pt idx="2">
                  <c:v>7.2099999999999997E-2</c:v>
                </c:pt>
                <c:pt idx="3">
                  <c:v>9.6600000000000005E-2</c:v>
                </c:pt>
                <c:pt idx="4">
                  <c:v>0.12379999999999999</c:v>
                </c:pt>
                <c:pt idx="5">
                  <c:v>0.1661</c:v>
                </c:pt>
                <c:pt idx="6">
                  <c:v>0.23769999999999999</c:v>
                </c:pt>
                <c:pt idx="7">
                  <c:v>0.26079999999999998</c:v>
                </c:pt>
                <c:pt idx="8">
                  <c:v>0.32729999999999998</c:v>
                </c:pt>
                <c:pt idx="9">
                  <c:v>0.39650000000000002</c:v>
                </c:pt>
                <c:pt idx="10">
                  <c:v>0.50790000000000002</c:v>
                </c:pt>
                <c:pt idx="11">
                  <c:v>0.51980000000000004</c:v>
                </c:pt>
                <c:pt idx="12">
                  <c:v>0.57320000000000004</c:v>
                </c:pt>
                <c:pt idx="13">
                  <c:v>0.67630000000000001</c:v>
                </c:pt>
                <c:pt idx="14">
                  <c:v>0.74719999999999998</c:v>
                </c:pt>
                <c:pt idx="15">
                  <c:v>0.89429999999999998</c:v>
                </c:pt>
                <c:pt idx="16">
                  <c:v>1</c:v>
                </c:pt>
              </c:numCache>
            </c:numRef>
          </c:xVal>
          <c:yVal>
            <c:numRef>
              <c:f>Equilibrium!$D$4:$D$20</c:f>
              <c:numCache>
                <c:formatCode>0.000</c:formatCode>
                <c:ptCount val="17"/>
                <c:pt idx="0">
                  <c:v>0</c:v>
                </c:pt>
                <c:pt idx="1">
                  <c:v>0.17070938453601289</c:v>
                </c:pt>
                <c:pt idx="2">
                  <c:v>0.38659557142352069</c:v>
                </c:pt>
                <c:pt idx="3">
                  <c:v>0.43494953702504102</c:v>
                </c:pt>
                <c:pt idx="4">
                  <c:v>0.47224332422972626</c:v>
                </c:pt>
                <c:pt idx="5">
                  <c:v>0.51068653342023573</c:v>
                </c:pt>
                <c:pt idx="6">
                  <c:v>0.54963222846062643</c:v>
                </c:pt>
                <c:pt idx="7">
                  <c:v>0.55890025100973562</c:v>
                </c:pt>
                <c:pt idx="8">
                  <c:v>0.5824631504972243</c:v>
                </c:pt>
                <c:pt idx="9">
                  <c:v>0.60658423610566847</c:v>
                </c:pt>
                <c:pt idx="10">
                  <c:v>0.65165942380194608</c:v>
                </c:pt>
                <c:pt idx="11">
                  <c:v>0.65709605919027636</c:v>
                </c:pt>
                <c:pt idx="12">
                  <c:v>0.68309366637578539</c:v>
                </c:pt>
                <c:pt idx="13">
                  <c:v>0.74083973246637647</c:v>
                </c:pt>
                <c:pt idx="14">
                  <c:v>0.7865242682921656</c:v>
                </c:pt>
                <c:pt idx="15">
                  <c:v>0.89926046867766385</c:v>
                </c:pt>
                <c:pt idx="1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85-4149-A2B7-C47106B63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05920"/>
        <c:axId val="100312192"/>
      </c:scatterChart>
      <c:valAx>
        <c:axId val="100305920"/>
        <c:scaling>
          <c:orientation val="minMax"/>
          <c:max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0312192"/>
        <c:crosses val="autoZero"/>
        <c:crossBetween val="midCat"/>
      </c:valAx>
      <c:valAx>
        <c:axId val="100312192"/>
        <c:scaling>
          <c:orientation val="minMax"/>
          <c:max val="1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030592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347" footer="0.3149606200000034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Tx</c:v>
          </c:tx>
          <c:marker>
            <c:symbol val="none"/>
          </c:marker>
          <c:xVal>
            <c:numRef>
              <c:f>Equilibrium!$B$4:$B$20</c:f>
              <c:numCache>
                <c:formatCode>0.000</c:formatCode>
                <c:ptCount val="17"/>
                <c:pt idx="0">
                  <c:v>0</c:v>
                </c:pt>
                <c:pt idx="1">
                  <c:v>1.9E-2</c:v>
                </c:pt>
                <c:pt idx="2">
                  <c:v>7.2099999999999997E-2</c:v>
                </c:pt>
                <c:pt idx="3">
                  <c:v>9.6600000000000005E-2</c:v>
                </c:pt>
                <c:pt idx="4">
                  <c:v>0.12379999999999999</c:v>
                </c:pt>
                <c:pt idx="5">
                  <c:v>0.1661</c:v>
                </c:pt>
                <c:pt idx="6">
                  <c:v>0.23769999999999999</c:v>
                </c:pt>
                <c:pt idx="7">
                  <c:v>0.26079999999999998</c:v>
                </c:pt>
                <c:pt idx="8">
                  <c:v>0.32729999999999998</c:v>
                </c:pt>
                <c:pt idx="9">
                  <c:v>0.39650000000000002</c:v>
                </c:pt>
                <c:pt idx="10">
                  <c:v>0.50790000000000002</c:v>
                </c:pt>
                <c:pt idx="11">
                  <c:v>0.51980000000000004</c:v>
                </c:pt>
                <c:pt idx="12">
                  <c:v>0.57320000000000004</c:v>
                </c:pt>
                <c:pt idx="13">
                  <c:v>0.67630000000000001</c:v>
                </c:pt>
                <c:pt idx="14">
                  <c:v>0.74719999999999998</c:v>
                </c:pt>
                <c:pt idx="15">
                  <c:v>0.89429999999999998</c:v>
                </c:pt>
                <c:pt idx="16">
                  <c:v>1</c:v>
                </c:pt>
              </c:numCache>
            </c:numRef>
          </c:xVal>
          <c:yVal>
            <c:numRef>
              <c:f>Equilibrium!$A$4:$A$20</c:f>
              <c:numCache>
                <c:formatCode>0.0</c:formatCode>
                <c:ptCount val="17"/>
                <c:pt idx="0">
                  <c:v>100</c:v>
                </c:pt>
                <c:pt idx="1">
                  <c:v>95.5</c:v>
                </c:pt>
                <c:pt idx="2">
                  <c:v>89</c:v>
                </c:pt>
                <c:pt idx="3">
                  <c:v>86.7</c:v>
                </c:pt>
                <c:pt idx="4">
                  <c:v>85.3</c:v>
                </c:pt>
                <c:pt idx="5">
                  <c:v>84.1</c:v>
                </c:pt>
                <c:pt idx="6">
                  <c:v>82.7</c:v>
                </c:pt>
                <c:pt idx="7">
                  <c:v>82.3</c:v>
                </c:pt>
                <c:pt idx="8">
                  <c:v>81.5</c:v>
                </c:pt>
                <c:pt idx="9">
                  <c:v>80.7</c:v>
                </c:pt>
                <c:pt idx="10">
                  <c:v>79.8</c:v>
                </c:pt>
                <c:pt idx="11">
                  <c:v>79.7</c:v>
                </c:pt>
                <c:pt idx="12">
                  <c:v>79.3</c:v>
                </c:pt>
                <c:pt idx="13">
                  <c:v>78.7</c:v>
                </c:pt>
                <c:pt idx="14">
                  <c:v>78.400000000000006</c:v>
                </c:pt>
                <c:pt idx="15">
                  <c:v>78.099999999999994</c:v>
                </c:pt>
                <c:pt idx="16">
                  <c:v>78.3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D3-4FE3-BEEC-FF75EFB4A44F}"/>
            </c:ext>
          </c:extLst>
        </c:ser>
        <c:ser>
          <c:idx val="1"/>
          <c:order val="1"/>
          <c:tx>
            <c:v>Ty</c:v>
          </c:tx>
          <c:marker>
            <c:symbol val="none"/>
          </c:marker>
          <c:xVal>
            <c:numRef>
              <c:f>Equilibrium!$C$4:$C$20</c:f>
              <c:numCache>
                <c:formatCode>0.000</c:formatCode>
                <c:ptCount val="17"/>
                <c:pt idx="0">
                  <c:v>0</c:v>
                </c:pt>
                <c:pt idx="1">
                  <c:v>0.17</c:v>
                </c:pt>
                <c:pt idx="2">
                  <c:v>0.3891</c:v>
                </c:pt>
                <c:pt idx="3">
                  <c:v>0.4375</c:v>
                </c:pt>
                <c:pt idx="4">
                  <c:v>0.47039999999999998</c:v>
                </c:pt>
                <c:pt idx="5">
                  <c:v>0.50890000000000002</c:v>
                </c:pt>
                <c:pt idx="6">
                  <c:v>0.54449999999999998</c:v>
                </c:pt>
                <c:pt idx="7">
                  <c:v>0.55800000000000005</c:v>
                </c:pt>
                <c:pt idx="8">
                  <c:v>0.58260000000000001</c:v>
                </c:pt>
                <c:pt idx="9">
                  <c:v>0.61219999999999997</c:v>
                </c:pt>
                <c:pt idx="10">
                  <c:v>0.65639999999999998</c:v>
                </c:pt>
                <c:pt idx="11">
                  <c:v>0.65990000000000004</c:v>
                </c:pt>
                <c:pt idx="12">
                  <c:v>0.68410000000000004</c:v>
                </c:pt>
                <c:pt idx="13">
                  <c:v>0.73850000000000005</c:v>
                </c:pt>
                <c:pt idx="14">
                  <c:v>0.78149999999999997</c:v>
                </c:pt>
                <c:pt idx="15">
                  <c:v>0.89429999999999998</c:v>
                </c:pt>
                <c:pt idx="16">
                  <c:v>1</c:v>
                </c:pt>
              </c:numCache>
            </c:numRef>
          </c:xVal>
          <c:yVal>
            <c:numRef>
              <c:f>Equilibrium!$A$4:$A$20</c:f>
              <c:numCache>
                <c:formatCode>0.0</c:formatCode>
                <c:ptCount val="17"/>
                <c:pt idx="0">
                  <c:v>100</c:v>
                </c:pt>
                <c:pt idx="1">
                  <c:v>95.5</c:v>
                </c:pt>
                <c:pt idx="2">
                  <c:v>89</c:v>
                </c:pt>
                <c:pt idx="3">
                  <c:v>86.7</c:v>
                </c:pt>
                <c:pt idx="4">
                  <c:v>85.3</c:v>
                </c:pt>
                <c:pt idx="5">
                  <c:v>84.1</c:v>
                </c:pt>
                <c:pt idx="6">
                  <c:v>82.7</c:v>
                </c:pt>
                <c:pt idx="7">
                  <c:v>82.3</c:v>
                </c:pt>
                <c:pt idx="8">
                  <c:v>81.5</c:v>
                </c:pt>
                <c:pt idx="9">
                  <c:v>80.7</c:v>
                </c:pt>
                <c:pt idx="10">
                  <c:v>79.8</c:v>
                </c:pt>
                <c:pt idx="11">
                  <c:v>79.7</c:v>
                </c:pt>
                <c:pt idx="12">
                  <c:v>79.3</c:v>
                </c:pt>
                <c:pt idx="13">
                  <c:v>78.7</c:v>
                </c:pt>
                <c:pt idx="14">
                  <c:v>78.400000000000006</c:v>
                </c:pt>
                <c:pt idx="15">
                  <c:v>78.099999999999994</c:v>
                </c:pt>
                <c:pt idx="16">
                  <c:v>78.3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D3-4FE3-BEEC-FF75EFB4A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37152"/>
        <c:axId val="100339072"/>
      </c:scatterChart>
      <c:valAx>
        <c:axId val="100337152"/>
        <c:scaling>
          <c:orientation val="minMax"/>
          <c:max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 , 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0339072"/>
        <c:crosses val="autoZero"/>
        <c:crossBetween val="midCat"/>
      </c:valAx>
      <c:valAx>
        <c:axId val="100339072"/>
        <c:scaling>
          <c:orientation val="minMax"/>
          <c:min val="7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 (°C)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003371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347" footer="0.3149606200000034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marker>
            <c:symbol val="none"/>
          </c:marker>
          <c:xVal>
            <c:numRef>
              <c:f>Equilibrium!$B$5:$B$20</c:f>
              <c:numCache>
                <c:formatCode>0.000</c:formatCode>
                <c:ptCount val="16"/>
                <c:pt idx="0">
                  <c:v>1.9E-2</c:v>
                </c:pt>
                <c:pt idx="1">
                  <c:v>7.2099999999999997E-2</c:v>
                </c:pt>
                <c:pt idx="2">
                  <c:v>9.6600000000000005E-2</c:v>
                </c:pt>
                <c:pt idx="3">
                  <c:v>0.12379999999999999</c:v>
                </c:pt>
                <c:pt idx="4">
                  <c:v>0.1661</c:v>
                </c:pt>
                <c:pt idx="5">
                  <c:v>0.23769999999999999</c:v>
                </c:pt>
                <c:pt idx="6">
                  <c:v>0.26079999999999998</c:v>
                </c:pt>
                <c:pt idx="7">
                  <c:v>0.32729999999999998</c:v>
                </c:pt>
                <c:pt idx="8">
                  <c:v>0.39650000000000002</c:v>
                </c:pt>
                <c:pt idx="9">
                  <c:v>0.50790000000000002</c:v>
                </c:pt>
                <c:pt idx="10">
                  <c:v>0.51980000000000004</c:v>
                </c:pt>
                <c:pt idx="11">
                  <c:v>0.57320000000000004</c:v>
                </c:pt>
                <c:pt idx="12">
                  <c:v>0.67630000000000001</c:v>
                </c:pt>
                <c:pt idx="13">
                  <c:v>0.74719999999999998</c:v>
                </c:pt>
                <c:pt idx="14">
                  <c:v>0.89429999999999998</c:v>
                </c:pt>
                <c:pt idx="15">
                  <c:v>1</c:v>
                </c:pt>
              </c:numCache>
            </c:numRef>
          </c:xVal>
          <c:yVal>
            <c:numRef>
              <c:f>Equilibrium!$E$5:$E$20</c:f>
              <c:numCache>
                <c:formatCode>0.000</c:formatCode>
                <c:ptCount val="16"/>
                <c:pt idx="0">
                  <c:v>10.575142675967026</c:v>
                </c:pt>
                <c:pt idx="1">
                  <c:v>8.1970392697252787</c:v>
                </c:pt>
                <c:pt idx="2">
                  <c:v>7.2737520128824471</c:v>
                </c:pt>
                <c:pt idx="3">
                  <c:v>6.2863989770070621</c:v>
                </c:pt>
                <c:pt idx="4">
                  <c:v>5.2024373401023469</c:v>
                </c:pt>
                <c:pt idx="5">
                  <c:v>3.8335950960702334</c:v>
                </c:pt>
                <c:pt idx="6">
                  <c:v>3.5782139188851581</c:v>
                </c:pt>
                <c:pt idx="7">
                  <c:v>2.8687549875555418</c:v>
                </c:pt>
                <c:pt idx="8">
                  <c:v>2.4028109548024319</c:v>
                </c:pt>
                <c:pt idx="9">
                  <c:v>1.8509324500597197</c:v>
                </c:pt>
                <c:pt idx="10">
                  <c:v>1.7924926229175293</c:v>
                </c:pt>
                <c:pt idx="11">
                  <c:v>1.6124571915065828</c:v>
                </c:pt>
                <c:pt idx="12">
                  <c:v>1.3517056167443542</c:v>
                </c:pt>
                <c:pt idx="13">
                  <c:v>1.210090210163711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0F-4174-B985-92110B0DACB2}"/>
            </c:ext>
          </c:extLst>
        </c:ser>
        <c:ser>
          <c:idx val="2"/>
          <c:order val="1"/>
          <c:tx>
            <c:v>modelo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Equilibrium!$B$4:$B$20</c:f>
              <c:numCache>
                <c:formatCode>0.000</c:formatCode>
                <c:ptCount val="17"/>
                <c:pt idx="0">
                  <c:v>0</c:v>
                </c:pt>
                <c:pt idx="1">
                  <c:v>1.9E-2</c:v>
                </c:pt>
                <c:pt idx="2">
                  <c:v>7.2099999999999997E-2</c:v>
                </c:pt>
                <c:pt idx="3">
                  <c:v>9.6600000000000005E-2</c:v>
                </c:pt>
                <c:pt idx="4">
                  <c:v>0.12379999999999999</c:v>
                </c:pt>
                <c:pt idx="5">
                  <c:v>0.1661</c:v>
                </c:pt>
                <c:pt idx="6">
                  <c:v>0.23769999999999999</c:v>
                </c:pt>
                <c:pt idx="7">
                  <c:v>0.26079999999999998</c:v>
                </c:pt>
                <c:pt idx="8">
                  <c:v>0.32729999999999998</c:v>
                </c:pt>
                <c:pt idx="9">
                  <c:v>0.39650000000000002</c:v>
                </c:pt>
                <c:pt idx="10">
                  <c:v>0.50790000000000002</c:v>
                </c:pt>
                <c:pt idx="11">
                  <c:v>0.51980000000000004</c:v>
                </c:pt>
                <c:pt idx="12">
                  <c:v>0.57320000000000004</c:v>
                </c:pt>
                <c:pt idx="13">
                  <c:v>0.67630000000000001</c:v>
                </c:pt>
                <c:pt idx="14">
                  <c:v>0.74719999999999998</c:v>
                </c:pt>
                <c:pt idx="15">
                  <c:v>0.89429999999999998</c:v>
                </c:pt>
                <c:pt idx="16">
                  <c:v>1</c:v>
                </c:pt>
              </c:numCache>
            </c:numRef>
          </c:xVal>
          <c:yVal>
            <c:numRef>
              <c:f>Equilibrium!$F$4:$F$20</c:f>
              <c:numCache>
                <c:formatCode>0.000</c:formatCode>
                <c:ptCount val="17"/>
                <c:pt idx="0">
                  <c:v>11.749165784941297</c:v>
                </c:pt>
                <c:pt idx="1">
                  <c:v>10.628355006521332</c:v>
                </c:pt>
                <c:pt idx="2">
                  <c:v>8.1110275703425181</c:v>
                </c:pt>
                <c:pt idx="3">
                  <c:v>7.1987086614814597</c:v>
                </c:pt>
                <c:pt idx="4">
                  <c:v>6.3330759435170743</c:v>
                </c:pt>
                <c:pt idx="5">
                  <c:v>5.2397622169795151</c:v>
                </c:pt>
                <c:pt idx="6">
                  <c:v>3.9138269878919072</c:v>
                </c:pt>
                <c:pt idx="7">
                  <c:v>3.5913014855932466</c:v>
                </c:pt>
                <c:pt idx="8">
                  <c:v>2.8671411069912134</c:v>
                </c:pt>
                <c:pt idx="9">
                  <c:v>2.3467857619021091</c:v>
                </c:pt>
                <c:pt idx="10">
                  <c:v>1.8125573904758174</c:v>
                </c:pt>
                <c:pt idx="11">
                  <c:v>1.7702812392502616</c:v>
                </c:pt>
                <c:pt idx="12">
                  <c:v>1.6049724006781492</c:v>
                </c:pt>
                <c:pt idx="13">
                  <c:v>1.3682301575772673</c:v>
                </c:pt>
                <c:pt idx="14">
                  <c:v>1.2465331225228307</c:v>
                </c:pt>
                <c:pt idx="15">
                  <c:v>1.0550604244414223</c:v>
                </c:pt>
                <c:pt idx="16">
                  <c:v>0.94816907382623861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0F-4174-B985-92110B0DA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80672"/>
        <c:axId val="100382592"/>
      </c:scatterChart>
      <c:valAx>
        <c:axId val="100380672"/>
        <c:scaling>
          <c:orientation val="minMax"/>
          <c:max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0382592"/>
        <c:crosses val="autoZero"/>
        <c:crossBetween val="midCat"/>
      </c:valAx>
      <c:valAx>
        <c:axId val="10038259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alpha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03806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358" footer="0.3149606200000035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190499</xdr:rowOff>
    </xdr:from>
    <xdr:to>
      <xdr:col>19</xdr:col>
      <xdr:colOff>0</xdr:colOff>
      <xdr:row>20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B65AE42-77FC-44EE-8754-F135BD7C4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314324</xdr:colOff>
      <xdr:row>0</xdr:row>
      <xdr:rowOff>180975</xdr:rowOff>
    </xdr:from>
    <xdr:to>
      <xdr:col>13</xdr:col>
      <xdr:colOff>462491</xdr:colOff>
      <xdr:row>18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180975</xdr:rowOff>
    </xdr:from>
    <xdr:to>
      <xdr:col>20</xdr:col>
      <xdr:colOff>142875</xdr:colOff>
      <xdr:row>17</xdr:row>
      <xdr:rowOff>185984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314325</xdr:colOff>
      <xdr:row>19</xdr:row>
      <xdr:rowOff>19050</xdr:rowOff>
    </xdr:from>
    <xdr:to>
      <xdr:col>13</xdr:col>
      <xdr:colOff>462492</xdr:colOff>
      <xdr:row>36</xdr:row>
      <xdr:rowOff>28576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123825</xdr:colOff>
      <xdr:row>20</xdr:row>
      <xdr:rowOff>31108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C545DF-BDF6-4E20-BF70-9CF3533F0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5000" contrast="10000"/>
        </a:blip>
        <a:srcRect/>
        <a:stretch>
          <a:fillRect/>
        </a:stretch>
      </xdr:blipFill>
      <xdr:spPr bwMode="auto">
        <a:xfrm>
          <a:off x="609600" y="190500"/>
          <a:ext cx="5000625" cy="3650608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dilute_packed_tow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ropbox/ChemEng/Excel/unit_operations/exp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Credits"/>
    </sheetNames>
    <sheetDataSet>
      <sheetData sheetId="0">
        <row r="2">
          <cell r="B2">
            <v>13.65</v>
          </cell>
          <cell r="E2">
            <v>0.186</v>
          </cell>
        </row>
        <row r="3">
          <cell r="B3">
            <v>2.5999999999999999E-2</v>
          </cell>
        </row>
        <row r="4">
          <cell r="B4">
            <v>5.0000000000000001E-3</v>
          </cell>
        </row>
        <row r="6">
          <cell r="B6">
            <v>45.36</v>
          </cell>
          <cell r="E6">
            <v>3.78E-2</v>
          </cell>
          <cell r="I6">
            <v>7.6834951865493353E-3</v>
          </cell>
        </row>
        <row r="7">
          <cell r="B7">
            <v>0</v>
          </cell>
          <cell r="E7">
            <v>6.1600000000000002E-2</v>
          </cell>
          <cell r="I7">
            <v>0</v>
          </cell>
        </row>
        <row r="8">
          <cell r="I8">
            <v>2.1922428330522766E-2</v>
          </cell>
        </row>
        <row r="9">
          <cell r="B9">
            <v>6.4784950982709408E-3</v>
          </cell>
          <cell r="I9">
            <v>4.2158516020236094E-3</v>
          </cell>
        </row>
        <row r="12">
          <cell r="B12">
            <v>1.1859999999999999</v>
          </cell>
        </row>
        <row r="13">
          <cell r="E13">
            <v>1.3025813864830092E-2</v>
          </cell>
        </row>
        <row r="14">
          <cell r="E14">
            <v>1.5448615243688488E-2</v>
          </cell>
          <cell r="I14">
            <v>13.866483340728283</v>
          </cell>
        </row>
        <row r="16">
          <cell r="E16">
            <v>1.7785486004492799E-3</v>
          </cell>
        </row>
        <row r="17">
          <cell r="E17">
            <v>2.109358640132846E-3</v>
          </cell>
          <cell r="I17">
            <v>45.507890375904161</v>
          </cell>
        </row>
        <row r="35">
          <cell r="I35">
            <v>2.1861368603608301E-2</v>
          </cell>
          <cell r="M35">
            <v>2.5997458674831039E-2</v>
          </cell>
        </row>
        <row r="38">
          <cell r="F38">
            <v>0.54784674972692704</v>
          </cell>
          <cell r="I38">
            <v>3.5614438784565592</v>
          </cell>
        </row>
        <row r="39">
          <cell r="F39">
            <v>0.94726947407399786</v>
          </cell>
          <cell r="I39">
            <v>2.0354692945854045</v>
          </cell>
        </row>
        <row r="40">
          <cell r="F40">
            <v>1.1032921955709205</v>
          </cell>
          <cell r="I40">
            <v>1.7667856687479422</v>
          </cell>
        </row>
        <row r="41">
          <cell r="F41">
            <v>2.6142093385829916</v>
          </cell>
          <cell r="I41">
            <v>0.75288580543855388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rimento"/>
      <sheetName val="Dados"/>
    </sheetNames>
    <sheetDataSet>
      <sheetData sheetId="0" refreshError="1"/>
      <sheetData sheetId="1">
        <row r="8">
          <cell r="C8">
            <v>25.7333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P47"/>
  <sheetViews>
    <sheetView showGridLines="0" tabSelected="1" workbookViewId="0">
      <selection activeCell="I14" sqref="I14"/>
    </sheetView>
  </sheetViews>
  <sheetFormatPr defaultColWidth="8.85546875" defaultRowHeight="15" x14ac:dyDescent="0.25"/>
  <sheetData>
    <row r="1" spans="1:12" x14ac:dyDescent="0.25">
      <c r="A1" s="62" t="s">
        <v>30</v>
      </c>
      <c r="B1" s="62"/>
      <c r="C1" s="2"/>
      <c r="D1" s="2"/>
      <c r="E1" s="2"/>
      <c r="F1" s="2"/>
      <c r="G1" s="2"/>
      <c r="I1" s="2"/>
      <c r="K1" s="1"/>
      <c r="L1" s="1"/>
    </row>
    <row r="2" spans="1:12" x14ac:dyDescent="0.25">
      <c r="A2" s="7" t="s">
        <v>6</v>
      </c>
      <c r="B2" s="75">
        <f>P23</f>
        <v>4.7230434782608697</v>
      </c>
      <c r="C2" t="s">
        <v>58</v>
      </c>
      <c r="D2" s="63" t="s">
        <v>31</v>
      </c>
      <c r="E2" s="63"/>
      <c r="F2" s="63"/>
      <c r="H2" s="68" t="s">
        <v>59</v>
      </c>
      <c r="I2" s="68"/>
      <c r="J2" s="68"/>
    </row>
    <row r="3" spans="1:12" x14ac:dyDescent="0.25">
      <c r="A3" s="7" t="s">
        <v>7</v>
      </c>
      <c r="B3" s="43">
        <v>1</v>
      </c>
      <c r="C3" t="s">
        <v>5</v>
      </c>
      <c r="D3" s="67" t="s">
        <v>40</v>
      </c>
      <c r="E3" s="67"/>
      <c r="F3" s="67"/>
      <c r="H3" s="34"/>
      <c r="I3" s="22" t="s">
        <v>9</v>
      </c>
      <c r="J3" s="37" t="s">
        <v>55</v>
      </c>
    </row>
    <row r="4" spans="1:12" x14ac:dyDescent="0.25">
      <c r="A4" s="7" t="s">
        <v>0</v>
      </c>
      <c r="B4" s="48">
        <v>2</v>
      </c>
      <c r="D4" s="1"/>
      <c r="E4" s="1"/>
      <c r="H4" s="6" t="s">
        <v>61</v>
      </c>
      <c r="I4" s="39">
        <f>xw</f>
        <v>0.15550755939524841</v>
      </c>
      <c r="J4" s="36">
        <f>AA*EXP(BB*I4)+CC*EXP(DD*I4)</f>
        <v>5.4880885444524941</v>
      </c>
    </row>
    <row r="5" spans="1:12" x14ac:dyDescent="0.25">
      <c r="A5" s="4" t="s">
        <v>54</v>
      </c>
      <c r="B5" s="23">
        <f>ATAN(B4)*(180/PI())</f>
        <v>63.43494882292201</v>
      </c>
      <c r="C5" t="s">
        <v>62</v>
      </c>
      <c r="D5" s="6">
        <v>1</v>
      </c>
      <c r="E5" s="16" t="s">
        <v>46</v>
      </c>
      <c r="F5" s="3"/>
      <c r="H5" s="6" t="s">
        <v>56</v>
      </c>
      <c r="I5" s="36">
        <f>xd</f>
        <v>0.88144329896907203</v>
      </c>
      <c r="J5" s="36">
        <f>AA*EXP(BB*I5)+CC*EXP(DD*I5)</f>
        <v>1.0694728138676943</v>
      </c>
    </row>
    <row r="6" spans="1:12" x14ac:dyDescent="0.25">
      <c r="B6" s="1"/>
      <c r="D6" s="6">
        <v>2</v>
      </c>
      <c r="E6" s="16" t="s">
        <v>47</v>
      </c>
      <c r="H6" s="22" t="s">
        <v>60</v>
      </c>
      <c r="I6" s="33" t="s">
        <v>11</v>
      </c>
      <c r="J6" s="38">
        <f>SQRT(J4*J5)</f>
        <v>2.422676515424762</v>
      </c>
    </row>
    <row r="7" spans="1:12" ht="15" customHeight="1" thickBot="1" x14ac:dyDescent="0.3">
      <c r="B7" s="1"/>
    </row>
    <row r="8" spans="1:12" ht="15" customHeight="1" thickBot="1" x14ac:dyDescent="0.3">
      <c r="C8" s="2"/>
      <c r="D8" s="1"/>
      <c r="E8" s="1"/>
      <c r="G8" s="2"/>
      <c r="H8" s="2"/>
      <c r="I8" s="40" t="s">
        <v>57</v>
      </c>
      <c r="J8" s="41">
        <f>LN((xd/(1-xd))*((1-xw)/xw))/LN(J6)</f>
        <v>4.1793693401944019</v>
      </c>
    </row>
    <row r="9" spans="1:12" x14ac:dyDescent="0.25">
      <c r="C9" s="2"/>
      <c r="D9" s="1"/>
      <c r="E9" s="1"/>
      <c r="G9" s="2"/>
      <c r="H9" s="2"/>
      <c r="I9" s="42"/>
    </row>
    <row r="10" spans="1:12" x14ac:dyDescent="0.25">
      <c r="I10" s="2"/>
    </row>
    <row r="11" spans="1:12" x14ac:dyDescent="0.25">
      <c r="A11" s="7" t="s">
        <v>32</v>
      </c>
      <c r="B11" s="44">
        <v>20</v>
      </c>
      <c r="D11" s="6" t="s">
        <v>16</v>
      </c>
      <c r="E11" s="32">
        <f>E12+E13</f>
        <v>48.992028985507254</v>
      </c>
      <c r="F11" t="s">
        <v>58</v>
      </c>
    </row>
    <row r="12" spans="1:12" x14ac:dyDescent="0.25">
      <c r="A12" s="4" t="s">
        <v>1</v>
      </c>
      <c r="B12" s="53">
        <f>M23</f>
        <v>0.5140845070422535</v>
      </c>
      <c r="C12" s="2"/>
      <c r="D12" s="6" t="s">
        <v>17</v>
      </c>
      <c r="E12" s="32">
        <f>B11*E13</f>
        <v>46.659075224292621</v>
      </c>
      <c r="F12" t="s">
        <v>58</v>
      </c>
    </row>
    <row r="13" spans="1:12" ht="15.75" thickBot="1" x14ac:dyDescent="0.3">
      <c r="A13" s="4" t="s">
        <v>2</v>
      </c>
      <c r="B13" s="53">
        <f>M24</f>
        <v>0.88144329896907203</v>
      </c>
      <c r="C13" s="2"/>
      <c r="D13" s="6" t="s">
        <v>18</v>
      </c>
      <c r="E13" s="32">
        <f>B2*(B12-B14)/(B13-B14)</f>
        <v>2.3329537612146312</v>
      </c>
      <c r="F13" t="s">
        <v>58</v>
      </c>
    </row>
    <row r="14" spans="1:12" ht="15.75" thickBot="1" x14ac:dyDescent="0.3">
      <c r="A14" s="4" t="s">
        <v>3</v>
      </c>
      <c r="B14" s="53">
        <f>M25</f>
        <v>0.15550755939524841</v>
      </c>
      <c r="C14" s="2"/>
      <c r="D14" s="6" t="s">
        <v>19</v>
      </c>
      <c r="E14" s="32">
        <f>Vn_1.-D.</f>
        <v>5.7135955831607355E-2</v>
      </c>
      <c r="F14" t="s">
        <v>58</v>
      </c>
      <c r="G14" s="13" t="s">
        <v>14</v>
      </c>
      <c r="H14" s="14">
        <f ca="1">COUNT(G28:G47)+1</f>
        <v>12</v>
      </c>
    </row>
    <row r="15" spans="1:12" ht="15.75" thickBot="1" x14ac:dyDescent="0.3">
      <c r="A15" s="4" t="s">
        <v>4</v>
      </c>
      <c r="B15" s="5">
        <f>B13/(B11+1)</f>
        <v>4.1973490427098671E-2</v>
      </c>
      <c r="C15" s="2"/>
      <c r="D15" s="6" t="s">
        <v>20</v>
      </c>
      <c r="E15" s="32">
        <f>E16</f>
        <v>2.3900897170462385</v>
      </c>
      <c r="F15" t="s">
        <v>58</v>
      </c>
      <c r="G15" s="13" t="s">
        <v>42</v>
      </c>
      <c r="H15" s="14">
        <f ca="1">H14-1</f>
        <v>11</v>
      </c>
      <c r="K15" s="35"/>
    </row>
    <row r="16" spans="1:12" ht="15.75" thickBot="1" x14ac:dyDescent="0.3">
      <c r="C16" s="2"/>
      <c r="D16" s="6" t="s">
        <v>21</v>
      </c>
      <c r="E16" s="32">
        <f>B2-E13</f>
        <v>2.3900897170462385</v>
      </c>
      <c r="F16" t="s">
        <v>58</v>
      </c>
      <c r="G16" s="15" t="s">
        <v>15</v>
      </c>
      <c r="H16" s="14">
        <f ca="1">COUNT(H28:H47)+1</f>
        <v>11</v>
      </c>
    </row>
    <row r="17" spans="3:16" x14ac:dyDescent="0.25">
      <c r="C17" s="1"/>
      <c r="D17" s="1"/>
      <c r="E17" s="1"/>
      <c r="F17" s="1"/>
      <c r="J17" s="1"/>
      <c r="K17" s="1"/>
      <c r="L17" s="1"/>
    </row>
    <row r="18" spans="3:16" ht="15.75" thickBot="1" x14ac:dyDescent="0.3">
      <c r="J18" s="1"/>
      <c r="K18" s="1"/>
      <c r="L18" s="1"/>
    </row>
    <row r="19" spans="3:16" x14ac:dyDescent="0.25">
      <c r="D19" s="66" t="s">
        <v>24</v>
      </c>
      <c r="E19" s="64"/>
      <c r="F19" s="64" t="s">
        <v>22</v>
      </c>
      <c r="G19" s="64"/>
      <c r="H19" s="64" t="s">
        <v>23</v>
      </c>
      <c r="I19" s="65"/>
      <c r="J19" s="1"/>
      <c r="K19" s="1"/>
      <c r="L19" s="1"/>
    </row>
    <row r="20" spans="3:16" x14ac:dyDescent="0.25">
      <c r="D20" s="25" t="s">
        <v>33</v>
      </c>
      <c r="E20" s="12" t="s">
        <v>34</v>
      </c>
      <c r="F20" s="12" t="s">
        <v>35</v>
      </c>
      <c r="G20" s="12" t="s">
        <v>36</v>
      </c>
      <c r="H20" s="12" t="s">
        <v>37</v>
      </c>
      <c r="I20" s="26" t="s">
        <v>38</v>
      </c>
      <c r="L20" s="21"/>
    </row>
    <row r="21" spans="3:16" x14ac:dyDescent="0.25">
      <c r="D21" s="27">
        <v>1</v>
      </c>
      <c r="E21" s="11">
        <f>(q/(q-1))*D21-xf/(q-1)</f>
        <v>1.4859154929577465</v>
      </c>
      <c r="F21" s="11">
        <f>xd</f>
        <v>0.88144329896907203</v>
      </c>
      <c r="G21" s="11">
        <f>(R./(R.+1))*F21+xd/(R.+1)</f>
        <v>0.88144329896907192</v>
      </c>
      <c r="H21" s="11">
        <f>xw</f>
        <v>0.15550755939524841</v>
      </c>
      <c r="I21" s="28">
        <f>xw</f>
        <v>0.15550755939524841</v>
      </c>
      <c r="L21" s="21"/>
    </row>
    <row r="22" spans="3:16" ht="15.75" thickBot="1" x14ac:dyDescent="0.3">
      <c r="D22" s="29">
        <f>xf</f>
        <v>0.5140845070422535</v>
      </c>
      <c r="E22" s="30">
        <f>(q/(q-1))*D22-xf/(q-1)</f>
        <v>0.5140845070422535</v>
      </c>
      <c r="F22" s="30">
        <v>0</v>
      </c>
      <c r="G22" s="30">
        <f>(R./(R.+1))*F22+xd/(R.+1)</f>
        <v>4.1973490427098671E-2</v>
      </c>
      <c r="H22" s="30">
        <f>((xd/(R.+1))-(-xf/(q-1)))/((q/(q-1))-(R./(R.+1)))</f>
        <v>0.53078263394801795</v>
      </c>
      <c r="I22" s="31">
        <f>(q/(q-1))*H22-xf/(q-1)</f>
        <v>0.54748076085378239</v>
      </c>
      <c r="L22" s="10" t="s">
        <v>73</v>
      </c>
      <c r="M22" s="10" t="s">
        <v>9</v>
      </c>
      <c r="N22" s="10" t="s">
        <v>72</v>
      </c>
      <c r="O22" s="74" t="s">
        <v>74</v>
      </c>
      <c r="P22" s="74" t="s">
        <v>75</v>
      </c>
    </row>
    <row r="23" spans="3:16" x14ac:dyDescent="0.25">
      <c r="D23" s="24"/>
      <c r="E23" s="24"/>
      <c r="F23" s="24"/>
      <c r="G23" s="24"/>
      <c r="H23" s="20" t="s">
        <v>26</v>
      </c>
      <c r="I23" s="20">
        <f>SLOPE(I21:I22,H21:H22)</f>
        <v>1.0444956993897458</v>
      </c>
      <c r="K23" t="s">
        <v>70</v>
      </c>
      <c r="L23" s="73">
        <v>0.73</v>
      </c>
      <c r="M23" s="73">
        <f>L23/MM1./(L23/MM1.+(1-L23)/MM2.)</f>
        <v>0.5140845070422535</v>
      </c>
      <c r="N23" s="76">
        <f>MM1.*M23+MM2.*(1-M23)</f>
        <v>32.394366197183096</v>
      </c>
      <c r="O23" s="76">
        <v>153</v>
      </c>
      <c r="P23" s="76">
        <f>O23/N23</f>
        <v>4.7230434782608697</v>
      </c>
    </row>
    <row r="24" spans="3:16" x14ac:dyDescent="0.25">
      <c r="D24" s="24"/>
      <c r="E24" s="24"/>
      <c r="F24" s="24"/>
      <c r="G24" s="24"/>
      <c r="H24" s="8" t="s">
        <v>28</v>
      </c>
      <c r="I24" s="8">
        <f>INTERCEPT(I21:I22,H21:H22)</f>
        <v>-6.9194176156840426E-3</v>
      </c>
      <c r="K24" t="s">
        <v>71</v>
      </c>
      <c r="L24" s="73">
        <v>0.95</v>
      </c>
      <c r="M24" s="73">
        <f>L24/MM1./(L24/MM1.+(1-L24)/MM2.)</f>
        <v>0.88144329896907203</v>
      </c>
      <c r="N24" s="76">
        <f>MM1.*M24+MM2.*(1-M24)</f>
        <v>42.680412371134018</v>
      </c>
      <c r="O24" s="76">
        <f>O23-O25</f>
        <v>99.571428571428584</v>
      </c>
      <c r="P24" s="76">
        <f>D.</f>
        <v>2.3329537612146312</v>
      </c>
    </row>
    <row r="25" spans="3:16" x14ac:dyDescent="0.25">
      <c r="K25" t="s">
        <v>69</v>
      </c>
      <c r="L25" s="73">
        <v>0.32</v>
      </c>
      <c r="M25" s="73">
        <f>L25/MM1./(L25/MM1.+(1-L25)/MM2.)</f>
        <v>0.15550755939524841</v>
      </c>
      <c r="N25" s="76">
        <f>MM1.*M25+MM2.*(1-M25)</f>
        <v>22.354211663066955</v>
      </c>
      <c r="O25" s="76">
        <f>P25*N25</f>
        <v>53.428571428571423</v>
      </c>
      <c r="P25" s="76">
        <f>W.</f>
        <v>2.3900897170462385</v>
      </c>
    </row>
    <row r="26" spans="3:16" x14ac:dyDescent="0.25">
      <c r="C26" s="1"/>
      <c r="D26" s="49" t="s">
        <v>25</v>
      </c>
    </row>
    <row r="27" spans="3:16" x14ac:dyDescent="0.25">
      <c r="D27" s="12" t="s">
        <v>9</v>
      </c>
      <c r="E27" s="12" t="s">
        <v>10</v>
      </c>
      <c r="F27" s="12" t="s">
        <v>49</v>
      </c>
      <c r="G27" s="12" t="s">
        <v>27</v>
      </c>
      <c r="H27" s="12" t="s">
        <v>29</v>
      </c>
      <c r="K27" t="s">
        <v>67</v>
      </c>
      <c r="L27">
        <v>46</v>
      </c>
    </row>
    <row r="28" spans="3:16" x14ac:dyDescent="0.25">
      <c r="C28" s="10">
        <v>1</v>
      </c>
      <c r="D28" s="9">
        <f t="shared" ref="D28:D47" ca="1" si="0">E28/(F28-F28*E28+E28)</f>
        <v>0.8732840862092407</v>
      </c>
      <c r="E28" s="9">
        <f>xd</f>
        <v>0.88144329896907203</v>
      </c>
      <c r="F28" s="17">
        <f ca="1">IFERROR((AA*EXP(BB*D28))+(CC*EXP(DD*D28)),1)</f>
        <v>1.0788073285361366</v>
      </c>
      <c r="G28" s="9">
        <f ca="1">LN(D28-xw)</f>
        <v>-0.33159700237203094</v>
      </c>
      <c r="H28" s="9">
        <f t="shared" ref="H28:H47" ca="1" si="1">LN(D28-xf)</f>
        <v>-1.0238771141388903</v>
      </c>
      <c r="K28" t="s">
        <v>68</v>
      </c>
      <c r="L28">
        <v>18</v>
      </c>
    </row>
    <row r="29" spans="3:16" x14ac:dyDescent="0.25">
      <c r="C29" s="10">
        <v>2</v>
      </c>
      <c r="D29" s="9">
        <f t="shared" ca="1" si="0"/>
        <v>0.86387712954025009</v>
      </c>
      <c r="E29" s="9">
        <f t="shared" ref="E29:E47" ca="1" si="2">IF(D28&gt;$H$22, (R./(R.+1))*D28+xd/(R.+1), $I$23*D28+$I$24)</f>
        <v>0.87367262015018499</v>
      </c>
      <c r="F29" s="54">
        <f ca="1">IFERROR((AA*EXP(BB*D29))+(CC*EXP(DD*D29)),1)</f>
        <v>1.0897587358748333</v>
      </c>
      <c r="G29" s="9">
        <f t="shared" ref="G28:G47" ca="1" si="3">LN(D29-xw)</f>
        <v>-0.34478932974848076</v>
      </c>
      <c r="H29" s="9">
        <f t="shared" ca="1" si="1"/>
        <v>-1.0504148072489863</v>
      </c>
    </row>
    <row r="30" spans="3:16" x14ac:dyDescent="0.25">
      <c r="C30" s="10">
        <v>3</v>
      </c>
      <c r="D30" s="9">
        <f t="shared" ca="1" si="0"/>
        <v>0.85284435340870846</v>
      </c>
      <c r="E30" s="9">
        <f t="shared" ca="1" si="2"/>
        <v>0.86471361379876532</v>
      </c>
      <c r="F30" s="54">
        <f ca="1">IFERROR((AA*EXP(BB*D30))+(CC*EXP(DD*D30)),1)</f>
        <v>1.1028726158475064</v>
      </c>
      <c r="G30" s="9">
        <f t="shared" ca="1" si="3"/>
        <v>-0.3604867797433402</v>
      </c>
      <c r="H30" s="9">
        <f t="shared" ca="1" si="1"/>
        <v>-1.0824638404462139</v>
      </c>
    </row>
    <row r="31" spans="3:16" x14ac:dyDescent="0.25">
      <c r="C31" s="10">
        <v>4</v>
      </c>
      <c r="D31" s="9">
        <f t="shared" ca="1" si="0"/>
        <v>0.83964291451058015</v>
      </c>
      <c r="E31" s="9">
        <f t="shared" ca="1" si="2"/>
        <v>0.85420620795920188</v>
      </c>
      <c r="F31" s="54">
        <f ca="1">IFERROR((AA*EXP(BB*D31))+(CC*EXP(DD*D31)),1)</f>
        <v>1.1189668441608507</v>
      </c>
      <c r="G31" s="9">
        <f t="shared" ca="1" si="3"/>
        <v>-0.37959949334123988</v>
      </c>
      <c r="H31" s="9">
        <f t="shared" ca="1" si="1"/>
        <v>-1.1222133942039956</v>
      </c>
    </row>
    <row r="32" spans="3:16" x14ac:dyDescent="0.25">
      <c r="C32" s="10">
        <v>5</v>
      </c>
      <c r="D32" s="9">
        <f t="shared" ca="1" si="0"/>
        <v>0.82346377851231112</v>
      </c>
      <c r="E32" s="9">
        <f t="shared" ca="1" si="2"/>
        <v>0.84163340900860351</v>
      </c>
      <c r="F32" s="54">
        <f ca="1">IFERROR((AA*EXP(BB*D32))+(CC*EXP(DD*D32)),1)</f>
        <v>1.1393278792180934</v>
      </c>
      <c r="G32" s="9">
        <f t="shared" ca="1" si="3"/>
        <v>-0.40353264783726506</v>
      </c>
      <c r="H32" s="9">
        <f t="shared" ca="1" si="1"/>
        <v>-1.1731873389825915</v>
      </c>
    </row>
    <row r="33" spans="3:8" x14ac:dyDescent="0.25">
      <c r="C33" s="10">
        <v>6</v>
      </c>
      <c r="D33" s="9">
        <f t="shared" ca="1" si="0"/>
        <v>0.8030445311783927</v>
      </c>
      <c r="E33" s="9">
        <f t="shared" ca="1" si="2"/>
        <v>0.82622470805787107</v>
      </c>
      <c r="F33" s="54">
        <f ca="1">IFERROR((AA*EXP(BB*D33))+(CC*EXP(DD*D33)),1)</f>
        <v>1.1661074418641466</v>
      </c>
      <c r="G33" s="9">
        <f t="shared" ca="1" si="3"/>
        <v>-0.43457938775955868</v>
      </c>
      <c r="H33" s="9">
        <f t="shared" ca="1" si="1"/>
        <v>-1.2414669252259065</v>
      </c>
    </row>
    <row r="34" spans="3:8" x14ac:dyDescent="0.25">
      <c r="C34" s="10">
        <v>7</v>
      </c>
      <c r="D34" s="9">
        <f t="shared" ca="1" si="0"/>
        <v>0.77629653642329377</v>
      </c>
      <c r="E34" s="9">
        <f t="shared" ca="1" si="2"/>
        <v>0.80677780583509162</v>
      </c>
      <c r="F34" s="54">
        <f ca="1">IFERROR((AA*EXP(BB*D34))+(CC*EXP(DD*D34)),1)</f>
        <v>1.20321155143853</v>
      </c>
      <c r="G34" s="9">
        <f t="shared" ca="1" si="3"/>
        <v>-0.47676406634672691</v>
      </c>
      <c r="H34" s="9">
        <f t="shared" ca="1" si="1"/>
        <v>-1.3386018300587053</v>
      </c>
    </row>
    <row r="35" spans="3:8" x14ac:dyDescent="0.25">
      <c r="C35" s="10">
        <v>8</v>
      </c>
      <c r="D35" s="9">
        <f t="shared" ca="1" si="0"/>
        <v>0.73948217976575037</v>
      </c>
      <c r="E35" s="9">
        <f t="shared" ca="1" si="2"/>
        <v>0.7813035251159498</v>
      </c>
      <c r="F35" s="54">
        <f ca="1">IFERROR((AA*EXP(BB*D35))+(CC*EXP(DD*D35)),1)</f>
        <v>1.2585999901461007</v>
      </c>
      <c r="G35" s="9">
        <f t="shared" ca="1" si="3"/>
        <v>-0.53789775536793638</v>
      </c>
      <c r="H35" s="9">
        <f t="shared" ca="1" si="1"/>
        <v>-1.4898890025251652</v>
      </c>
    </row>
    <row r="36" spans="3:8" x14ac:dyDescent="0.25">
      <c r="C36" s="10">
        <v>9</v>
      </c>
      <c r="D36" s="9">
        <f t="shared" ca="1" si="0"/>
        <v>0.68510652247259496</v>
      </c>
      <c r="E36" s="9">
        <f t="shared" ca="1" si="2"/>
        <v>0.74624223306114656</v>
      </c>
      <c r="F36" s="54">
        <f ca="1">IFERROR((AA*EXP(BB*D36))+(CC*EXP(DD*D36)),1)</f>
        <v>1.3516555842684228</v>
      </c>
      <c r="G36" s="9">
        <f t="shared" ca="1" si="3"/>
        <v>-0.63563523229677921</v>
      </c>
      <c r="H36" s="9">
        <f t="shared" ca="1" si="1"/>
        <v>-1.7659629855597549</v>
      </c>
    </row>
    <row r="37" spans="3:8" x14ac:dyDescent="0.25">
      <c r="C37" s="10">
        <v>10</v>
      </c>
      <c r="D37" s="9">
        <f t="shared" ca="1" si="0"/>
        <v>0.59497604159538697</v>
      </c>
      <c r="E37" s="9">
        <f t="shared" ca="1" si="2"/>
        <v>0.69445589278195097</v>
      </c>
      <c r="F37" s="54">
        <f ca="1">IFERROR((AA*EXP(BB*D37))+(CC*EXP(DD*D37)),1)</f>
        <v>1.5472197164277757</v>
      </c>
      <c r="G37" s="9">
        <f t="shared" ca="1" si="3"/>
        <v>-0.82218927728359747</v>
      </c>
      <c r="H37" s="9">
        <f t="shared" ca="1" si="1"/>
        <v>-2.5146461012689065</v>
      </c>
    </row>
    <row r="38" spans="3:8" x14ac:dyDescent="0.25">
      <c r="C38" s="10">
        <v>11</v>
      </c>
      <c r="D38" s="9">
        <f t="shared" ca="1" si="0"/>
        <v>0.40207050589158294</v>
      </c>
      <c r="E38" s="9">
        <f t="shared" ca="1" si="2"/>
        <v>0.60861733956556241</v>
      </c>
      <c r="F38" s="54">
        <f ca="1">IFERROR((AA*EXP(BB*D38))+(CC*EXP(DD*D38)),1)</f>
        <v>2.3125473895865722</v>
      </c>
      <c r="G38" s="9">
        <f t="shared" ca="1" si="3"/>
        <v>-1.4001379570585764</v>
      </c>
      <c r="H38" s="9" t="e">
        <f t="shared" ca="1" si="1"/>
        <v>#NUM!</v>
      </c>
    </row>
    <row r="39" spans="3:8" x14ac:dyDescent="0.25">
      <c r="C39" s="10">
        <v>12</v>
      </c>
      <c r="D39" s="9">
        <f t="shared" ca="1" si="0"/>
        <v>8.4370914641781106E-2</v>
      </c>
      <c r="E39" s="9">
        <f t="shared" ca="1" si="2"/>
        <v>0.41304149663953382</v>
      </c>
      <c r="F39" s="54">
        <f ca="1">IFERROR((AA*EXP(BB*D39))+(CC*EXP(DD*D39)),1)</f>
        <v>7.6370436922494536</v>
      </c>
      <c r="G39" s="9" t="e">
        <f t="shared" ca="1" si="3"/>
        <v>#NUM!</v>
      </c>
      <c r="H39" s="9" t="e">
        <f t="shared" ca="1" si="1"/>
        <v>#NUM!</v>
      </c>
    </row>
    <row r="40" spans="3:8" x14ac:dyDescent="0.25">
      <c r="C40" s="10">
        <v>13</v>
      </c>
      <c r="D40" s="9">
        <f t="shared" ca="1" si="0"/>
        <v>7.7790364434909623E-3</v>
      </c>
      <c r="E40" s="9">
        <f t="shared" ca="1" si="2"/>
        <v>8.1205639881235664E-2</v>
      </c>
      <c r="F40" s="54">
        <f ca="1">IFERROR((AA*EXP(BB*D40))+(CC*EXP(DD*D40)),1)</f>
        <v>11.274281787539989</v>
      </c>
      <c r="G40" s="9" t="e">
        <f t="shared" ca="1" si="3"/>
        <v>#NUM!</v>
      </c>
      <c r="H40" s="9" t="e">
        <f t="shared" ca="1" si="1"/>
        <v>#NUM!</v>
      </c>
    </row>
    <row r="41" spans="3:8" x14ac:dyDescent="0.25">
      <c r="C41" s="10">
        <v>14</v>
      </c>
      <c r="D41" s="9">
        <f t="shared" ca="1" si="0"/>
        <v>1.0295442271271018E-4</v>
      </c>
      <c r="E41" s="9">
        <f t="shared" ca="1" si="2"/>
        <v>1.2057524949383707E-3</v>
      </c>
      <c r="F41" s="54">
        <f ca="1">IFERROR((AA*EXP(BB*D41))+(CC*EXP(DD*D41)),1)</f>
        <v>11.742730042465173</v>
      </c>
      <c r="G41" s="9" t="e">
        <f t="shared" ca="1" si="3"/>
        <v>#NUM!</v>
      </c>
      <c r="H41" s="9" t="e">
        <f t="shared" ca="1" si="1"/>
        <v>#NUM!</v>
      </c>
    </row>
    <row r="42" spans="3:8" x14ac:dyDescent="0.25">
      <c r="C42" s="10">
        <v>15</v>
      </c>
      <c r="D42" s="9">
        <f t="shared" ca="1" si="0"/>
        <v>-5.7438798629599831E-4</v>
      </c>
      <c r="E42" s="9">
        <f t="shared" ca="1" si="2"/>
        <v>-6.8118821639274628E-3</v>
      </c>
      <c r="F42" s="54">
        <f ca="1">IFERROR((AA*EXP(BB*D42))+(CC*EXP(DD*D42)),1)</f>
        <v>11.785146640287902</v>
      </c>
      <c r="G42" s="9" t="e">
        <f t="shared" ca="1" si="3"/>
        <v>#NUM!</v>
      </c>
      <c r="H42" s="9" t="e">
        <f t="shared" ca="1" si="1"/>
        <v>#NUM!</v>
      </c>
    </row>
    <row r="43" spans="3:8" x14ac:dyDescent="0.25">
      <c r="C43" s="10">
        <v>16</v>
      </c>
      <c r="D43" s="9">
        <f t="shared" ca="1" si="0"/>
        <v>-6.3346869054215513E-4</v>
      </c>
      <c r="E43" s="9">
        <f t="shared" ca="1" si="2"/>
        <v>-7.5193633971513494E-3</v>
      </c>
      <c r="F43" s="54">
        <f ca="1">IFERROR((AA*EXP(BB*D43))+(CC*EXP(DD*D43)),1)</f>
        <v>11.788854854177293</v>
      </c>
      <c r="G43" s="9" t="e">
        <f t="shared" ca="1" si="3"/>
        <v>#NUM!</v>
      </c>
      <c r="H43" s="9" t="e">
        <f t="shared" ca="1" si="1"/>
        <v>#NUM!</v>
      </c>
    </row>
    <row r="44" spans="3:8" x14ac:dyDescent="0.25">
      <c r="C44" s="10">
        <v>17</v>
      </c>
      <c r="D44" s="9">
        <f t="shared" ca="1" si="0"/>
        <v>-6.3862040836199483E-4</v>
      </c>
      <c r="E44" s="9">
        <f t="shared" ca="1" si="2"/>
        <v>-7.5810729386533776E-3</v>
      </c>
      <c r="F44" s="54">
        <f ca="1">IFERROR((AA*EXP(BB*D44))+(CC*EXP(DD*D44)),1)</f>
        <v>11.789178267341356</v>
      </c>
      <c r="G44" s="9" t="e">
        <f t="shared" ca="1" si="3"/>
        <v>#NUM!</v>
      </c>
      <c r="H44" s="9" t="e">
        <f t="shared" ca="1" si="1"/>
        <v>#NUM!</v>
      </c>
    </row>
    <row r="45" spans="3:8" x14ac:dyDescent="0.25">
      <c r="C45" s="10">
        <v>18</v>
      </c>
      <c r="D45" s="9">
        <f t="shared" ca="1" si="0"/>
        <v>-6.3906998678691794E-4</v>
      </c>
      <c r="E45" s="9">
        <f t="shared" ca="1" si="2"/>
        <v>-7.5864538857606696E-3</v>
      </c>
      <c r="F45" s="54">
        <f ca="1">IFERROR((AA*EXP(BB*D45))+(CC*EXP(DD*D45)),1)</f>
        <v>11.789206491345826</v>
      </c>
      <c r="G45" s="9" t="e">
        <f t="shared" ca="1" si="3"/>
        <v>#NUM!</v>
      </c>
      <c r="H45" s="9" t="e">
        <f t="shared" ca="1" si="1"/>
        <v>#NUM!</v>
      </c>
    </row>
    <row r="46" spans="3:8" x14ac:dyDescent="0.25">
      <c r="C46" s="10">
        <v>19</v>
      </c>
      <c r="D46" s="9">
        <f t="shared" ca="1" si="0"/>
        <v>-6.3910928712620899E-4</v>
      </c>
      <c r="E46" s="9">
        <f t="shared" ca="1" si="2"/>
        <v>-7.5869234684920401E-3</v>
      </c>
      <c r="F46" s="54">
        <f ca="1">IFERROR((AA*EXP(BB*D46))+(CC*EXP(DD*D46)),1)</f>
        <v>11.78920895857862</v>
      </c>
      <c r="G46" s="9" t="e">
        <f t="shared" ca="1" si="3"/>
        <v>#NUM!</v>
      </c>
      <c r="H46" s="9" t="e">
        <f t="shared" ca="1" si="1"/>
        <v>#NUM!</v>
      </c>
    </row>
    <row r="47" spans="3:8" x14ac:dyDescent="0.25">
      <c r="C47" s="10">
        <v>20</v>
      </c>
      <c r="D47" s="9">
        <f t="shared" ca="1" si="0"/>
        <v>-6.3911272314488886E-4</v>
      </c>
      <c r="E47" s="9">
        <f t="shared" ca="1" si="2"/>
        <v>-7.586964517527414E-3</v>
      </c>
      <c r="F47" s="54">
        <f ca="1">IFERROR((AA*EXP(BB*D47))+(CC*EXP(DD*D47)),1)</f>
        <v>11.789209174288187</v>
      </c>
      <c r="G47" s="9" t="e">
        <f t="shared" ca="1" si="3"/>
        <v>#NUM!</v>
      </c>
      <c r="H47" s="9" t="e">
        <f t="shared" ca="1" si="1"/>
        <v>#NUM!</v>
      </c>
    </row>
  </sheetData>
  <mergeCells count="7">
    <mergeCell ref="A1:B1"/>
    <mergeCell ref="D2:F2"/>
    <mergeCell ref="F19:G19"/>
    <mergeCell ref="H19:I19"/>
    <mergeCell ref="D19:E19"/>
    <mergeCell ref="D3:F3"/>
    <mergeCell ref="H2:J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2:G26"/>
  <sheetViews>
    <sheetView showGridLines="0" workbookViewId="0">
      <selection activeCell="R26" sqref="R26"/>
    </sheetView>
  </sheetViews>
  <sheetFormatPr defaultColWidth="8.85546875" defaultRowHeight="15" x14ac:dyDescent="0.25"/>
  <sheetData>
    <row r="2" spans="1:7" x14ac:dyDescent="0.25">
      <c r="A2" s="69" t="s">
        <v>41</v>
      </c>
      <c r="B2" s="69"/>
    </row>
    <row r="3" spans="1:7" x14ac:dyDescent="0.25">
      <c r="A3" s="12" t="s">
        <v>8</v>
      </c>
      <c r="B3" s="12" t="s">
        <v>43</v>
      </c>
      <c r="C3" s="12" t="s">
        <v>44</v>
      </c>
      <c r="D3" s="12" t="s">
        <v>45</v>
      </c>
      <c r="E3" s="12" t="s">
        <v>48</v>
      </c>
      <c r="F3" s="50" t="s">
        <v>49</v>
      </c>
      <c r="G3" s="50" t="s">
        <v>13</v>
      </c>
    </row>
    <row r="4" spans="1:7" x14ac:dyDescent="0.25">
      <c r="A4" s="45">
        <v>100</v>
      </c>
      <c r="B4" s="51">
        <v>0</v>
      </c>
      <c r="C4" s="51">
        <v>0</v>
      </c>
      <c r="D4" s="52">
        <f>F4*B4/(1+B4*(F4-1))</f>
        <v>0</v>
      </c>
      <c r="E4" s="9" t="e">
        <f t="shared" ref="E4:E19" si="0">(C4/B4)/((1-C4)/(1-B4))</f>
        <v>#DIV/0!</v>
      </c>
      <c r="F4" s="9">
        <f t="shared" ref="F4:F20" si="1">AA*EXP(BB*B4)+CC*EXP(DD*B4)</f>
        <v>11.749165784941297</v>
      </c>
      <c r="G4" s="19" t="e">
        <f>(F4-E4)^2</f>
        <v>#DIV/0!</v>
      </c>
    </row>
    <row r="5" spans="1:7" x14ac:dyDescent="0.25">
      <c r="A5" s="45">
        <v>95.5</v>
      </c>
      <c r="B5" s="51">
        <v>1.9E-2</v>
      </c>
      <c r="C5" s="51">
        <v>0.17</v>
      </c>
      <c r="D5" s="52">
        <f t="shared" ref="D5:D20" si="2">F5*B5/(1+B5*(F5-1))</f>
        <v>0.17070938453601289</v>
      </c>
      <c r="E5" s="9">
        <f t="shared" si="0"/>
        <v>10.575142675967026</v>
      </c>
      <c r="F5" s="9">
        <f t="shared" si="1"/>
        <v>10.628355006521332</v>
      </c>
      <c r="G5" s="19">
        <f t="shared" ref="G5:G20" si="3">(F5-E5)^2</f>
        <v>2.831552123020724E-3</v>
      </c>
    </row>
    <row r="6" spans="1:7" x14ac:dyDescent="0.25">
      <c r="A6" s="45">
        <v>89</v>
      </c>
      <c r="B6" s="51">
        <v>7.2099999999999997E-2</v>
      </c>
      <c r="C6" s="51">
        <v>0.3891</v>
      </c>
      <c r="D6" s="52">
        <f t="shared" si="2"/>
        <v>0.38659557142352069</v>
      </c>
      <c r="E6" s="9">
        <f t="shared" si="0"/>
        <v>8.1970392697252787</v>
      </c>
      <c r="F6" s="9">
        <f t="shared" si="1"/>
        <v>8.1110275703425181</v>
      </c>
      <c r="G6" s="19">
        <f t="shared" si="3"/>
        <v>7.398012430710389E-3</v>
      </c>
    </row>
    <row r="7" spans="1:7" x14ac:dyDescent="0.25">
      <c r="A7" s="45">
        <v>86.7</v>
      </c>
      <c r="B7" s="51">
        <v>9.6600000000000005E-2</v>
      </c>
      <c r="C7" s="51">
        <v>0.4375</v>
      </c>
      <c r="D7" s="52">
        <f t="shared" si="2"/>
        <v>0.43494953702504102</v>
      </c>
      <c r="E7" s="9">
        <f t="shared" si="0"/>
        <v>7.2737520128824471</v>
      </c>
      <c r="F7" s="9">
        <f t="shared" si="1"/>
        <v>7.1987086614814597</v>
      </c>
      <c r="G7" s="19">
        <f t="shared" si="3"/>
        <v>5.6315045894920765E-3</v>
      </c>
    </row>
    <row r="8" spans="1:7" x14ac:dyDescent="0.25">
      <c r="A8" s="45">
        <v>85.3</v>
      </c>
      <c r="B8" s="51">
        <v>0.12379999999999999</v>
      </c>
      <c r="C8" s="51">
        <v>0.47039999999999998</v>
      </c>
      <c r="D8" s="52">
        <f t="shared" si="2"/>
        <v>0.47224332422972626</v>
      </c>
      <c r="E8" s="9">
        <f t="shared" si="0"/>
        <v>6.2863989770070621</v>
      </c>
      <c r="F8" s="9">
        <f t="shared" si="1"/>
        <v>6.3330759435170743</v>
      </c>
      <c r="G8" s="19">
        <f t="shared" si="3"/>
        <v>2.1787392025767989E-3</v>
      </c>
    </row>
    <row r="9" spans="1:7" x14ac:dyDescent="0.25">
      <c r="A9" s="45">
        <v>84.1</v>
      </c>
      <c r="B9" s="51">
        <v>0.1661</v>
      </c>
      <c r="C9" s="51">
        <v>0.50890000000000002</v>
      </c>
      <c r="D9" s="52">
        <f t="shared" si="2"/>
        <v>0.51068653342023573</v>
      </c>
      <c r="E9" s="9">
        <f t="shared" si="0"/>
        <v>5.2024373401023469</v>
      </c>
      <c r="F9" s="9">
        <f t="shared" si="1"/>
        <v>5.2397622169795151</v>
      </c>
      <c r="G9" s="19">
        <f t="shared" si="3"/>
        <v>1.3931464338957597E-3</v>
      </c>
    </row>
    <row r="10" spans="1:7" x14ac:dyDescent="0.25">
      <c r="A10" s="45">
        <v>82.7</v>
      </c>
      <c r="B10" s="51">
        <v>0.23769999999999999</v>
      </c>
      <c r="C10" s="51">
        <v>0.54449999999999998</v>
      </c>
      <c r="D10" s="52">
        <f t="shared" si="2"/>
        <v>0.54963222846062643</v>
      </c>
      <c r="E10" s="9">
        <f t="shared" si="0"/>
        <v>3.8335950960702334</v>
      </c>
      <c r="F10" s="9">
        <f t="shared" si="1"/>
        <v>3.9138269878919072</v>
      </c>
      <c r="G10" s="19">
        <f t="shared" si="3"/>
        <v>6.437156465284765E-3</v>
      </c>
    </row>
    <row r="11" spans="1:7" x14ac:dyDescent="0.25">
      <c r="A11" s="45">
        <v>82.3</v>
      </c>
      <c r="B11" s="51">
        <v>0.26079999999999998</v>
      </c>
      <c r="C11" s="51">
        <v>0.55800000000000005</v>
      </c>
      <c r="D11" s="52">
        <f t="shared" si="2"/>
        <v>0.55890025100973562</v>
      </c>
      <c r="E11" s="9">
        <f t="shared" si="0"/>
        <v>3.5782139188851581</v>
      </c>
      <c r="F11" s="9">
        <f t="shared" si="1"/>
        <v>3.5913014855932466</v>
      </c>
      <c r="G11" s="19">
        <f t="shared" si="3"/>
        <v>1.7128440233866717E-4</v>
      </c>
    </row>
    <row r="12" spans="1:7" x14ac:dyDescent="0.25">
      <c r="A12" s="45">
        <v>81.5</v>
      </c>
      <c r="B12" s="51">
        <v>0.32729999999999998</v>
      </c>
      <c r="C12" s="51">
        <v>0.58260000000000001</v>
      </c>
      <c r="D12" s="52">
        <f t="shared" si="2"/>
        <v>0.5824631504972243</v>
      </c>
      <c r="E12" s="9">
        <f t="shared" si="0"/>
        <v>2.8687549875555418</v>
      </c>
      <c r="F12" s="9">
        <f t="shared" si="1"/>
        <v>2.8671411069912134</v>
      </c>
      <c r="G12" s="19">
        <f t="shared" si="3"/>
        <v>2.6046104759170495E-6</v>
      </c>
    </row>
    <row r="13" spans="1:7" x14ac:dyDescent="0.25">
      <c r="A13" s="45">
        <v>80.7</v>
      </c>
      <c r="B13" s="51">
        <v>0.39650000000000002</v>
      </c>
      <c r="C13" s="51">
        <v>0.61219999999999997</v>
      </c>
      <c r="D13" s="52">
        <f t="shared" si="2"/>
        <v>0.60658423610566847</v>
      </c>
      <c r="E13" s="9">
        <f t="shared" si="0"/>
        <v>2.4028109548024319</v>
      </c>
      <c r="F13" s="9">
        <f t="shared" si="1"/>
        <v>2.3467857619021091</v>
      </c>
      <c r="G13" s="19">
        <f t="shared" si="3"/>
        <v>3.1388222395183824E-3</v>
      </c>
    </row>
    <row r="14" spans="1:7" x14ac:dyDescent="0.25">
      <c r="A14" s="45">
        <v>79.8</v>
      </c>
      <c r="B14" s="51">
        <v>0.50790000000000002</v>
      </c>
      <c r="C14" s="51">
        <v>0.65639999999999998</v>
      </c>
      <c r="D14" s="52">
        <f t="shared" si="2"/>
        <v>0.65165942380194608</v>
      </c>
      <c r="E14" s="9">
        <f t="shared" si="0"/>
        <v>1.8509324500597197</v>
      </c>
      <c r="F14" s="9">
        <f t="shared" si="1"/>
        <v>1.8125573904758174</v>
      </c>
      <c r="G14" s="19">
        <f t="shared" si="3"/>
        <v>1.4726451980680521E-3</v>
      </c>
    </row>
    <row r="15" spans="1:7" x14ac:dyDescent="0.25">
      <c r="A15" s="45">
        <v>79.7</v>
      </c>
      <c r="B15" s="51">
        <v>0.51980000000000004</v>
      </c>
      <c r="C15" s="51">
        <v>0.65990000000000004</v>
      </c>
      <c r="D15" s="52">
        <f t="shared" si="2"/>
        <v>0.65709605919027636</v>
      </c>
      <c r="E15" s="9">
        <f t="shared" si="0"/>
        <v>1.7924926229175293</v>
      </c>
      <c r="F15" s="9">
        <f t="shared" si="1"/>
        <v>1.7702812392502616</v>
      </c>
      <c r="G15" s="19">
        <f t="shared" si="3"/>
        <v>4.9334556441456702E-4</v>
      </c>
    </row>
    <row r="16" spans="1:7" x14ac:dyDescent="0.25">
      <c r="A16" s="45">
        <v>79.3</v>
      </c>
      <c r="B16" s="51">
        <v>0.57320000000000004</v>
      </c>
      <c r="C16" s="51">
        <v>0.68410000000000004</v>
      </c>
      <c r="D16" s="52">
        <f t="shared" si="2"/>
        <v>0.68309366637578539</v>
      </c>
      <c r="E16" s="9">
        <f t="shared" si="0"/>
        <v>1.6124571915065828</v>
      </c>
      <c r="F16" s="9">
        <f t="shared" si="1"/>
        <v>1.6049724006781492</v>
      </c>
      <c r="G16" s="19">
        <f t="shared" si="3"/>
        <v>5.6022093745404844E-5</v>
      </c>
    </row>
    <row r="17" spans="1:7" x14ac:dyDescent="0.25">
      <c r="A17" s="45">
        <v>78.7</v>
      </c>
      <c r="B17" s="51">
        <v>0.67630000000000001</v>
      </c>
      <c r="C17" s="51">
        <v>0.73850000000000005</v>
      </c>
      <c r="D17" s="52">
        <f t="shared" si="2"/>
        <v>0.74083973246637647</v>
      </c>
      <c r="E17" s="9">
        <f t="shared" si="0"/>
        <v>1.3517056167443542</v>
      </c>
      <c r="F17" s="9">
        <f t="shared" si="1"/>
        <v>1.3682301575772673</v>
      </c>
      <c r="G17" s="19">
        <f t="shared" si="3"/>
        <v>2.730604497386125E-4</v>
      </c>
    </row>
    <row r="18" spans="1:7" x14ac:dyDescent="0.25">
      <c r="A18" s="45">
        <v>78.400000000000006</v>
      </c>
      <c r="B18" s="51">
        <v>0.74719999999999998</v>
      </c>
      <c r="C18" s="51">
        <v>0.78149999999999997</v>
      </c>
      <c r="D18" s="52">
        <f t="shared" si="2"/>
        <v>0.7865242682921656</v>
      </c>
      <c r="E18" s="9">
        <f t="shared" si="0"/>
        <v>1.210090210163711</v>
      </c>
      <c r="F18" s="9">
        <f t="shared" si="1"/>
        <v>1.2465331225228307</v>
      </c>
      <c r="G18" s="19">
        <f t="shared" si="3"/>
        <v>1.3280858612144775E-3</v>
      </c>
    </row>
    <row r="19" spans="1:7" x14ac:dyDescent="0.25">
      <c r="A19" s="45">
        <v>78.099999999999994</v>
      </c>
      <c r="B19" s="51">
        <v>0.89429999999999998</v>
      </c>
      <c r="C19" s="51">
        <v>0.89429999999999998</v>
      </c>
      <c r="D19" s="52">
        <f t="shared" si="2"/>
        <v>0.89926046867766385</v>
      </c>
      <c r="E19" s="9">
        <f t="shared" si="0"/>
        <v>1</v>
      </c>
      <c r="F19" s="9">
        <f t="shared" si="1"/>
        <v>1.0550604244414223</v>
      </c>
      <c r="G19" s="19">
        <f t="shared" si="3"/>
        <v>3.0316503396695784E-3</v>
      </c>
    </row>
    <row r="20" spans="1:7" x14ac:dyDescent="0.25">
      <c r="A20" s="45">
        <v>78.3</v>
      </c>
      <c r="B20" s="51">
        <v>1</v>
      </c>
      <c r="C20" s="51">
        <v>1</v>
      </c>
      <c r="D20" s="52">
        <f t="shared" si="2"/>
        <v>1</v>
      </c>
      <c r="E20" s="9">
        <v>1</v>
      </c>
      <c r="F20" s="9">
        <f t="shared" si="1"/>
        <v>0.94816907382623861</v>
      </c>
      <c r="G20" s="19">
        <f t="shared" si="3"/>
        <v>2.6864449080299039E-3</v>
      </c>
    </row>
    <row r="21" spans="1:7" x14ac:dyDescent="0.25">
      <c r="F21" s="20" t="s">
        <v>12</v>
      </c>
      <c r="G21" s="46">
        <f>SUM(G5:G20)</f>
        <v>3.8524076912194075E-2</v>
      </c>
    </row>
    <row r="22" spans="1:7" x14ac:dyDescent="0.25">
      <c r="A22" s="62" t="s">
        <v>39</v>
      </c>
      <c r="B22" s="62"/>
    </row>
    <row r="23" spans="1:7" x14ac:dyDescent="0.25">
      <c r="A23" s="17" t="s">
        <v>51</v>
      </c>
      <c r="B23" s="47">
        <v>9.4913065912859604</v>
      </c>
    </row>
    <row r="24" spans="1:7" x14ac:dyDescent="0.25">
      <c r="A24" s="17" t="s">
        <v>50</v>
      </c>
      <c r="B24" s="47">
        <v>-6.377711917150374</v>
      </c>
    </row>
    <row r="25" spans="1:7" x14ac:dyDescent="0.25">
      <c r="A25" s="17" t="s">
        <v>52</v>
      </c>
      <c r="B25" s="47">
        <v>2.2578591936553365</v>
      </c>
    </row>
    <row r="26" spans="1:7" x14ac:dyDescent="0.25">
      <c r="A26" s="18" t="s">
        <v>53</v>
      </c>
      <c r="B26" s="47">
        <v>-0.88479312481017458</v>
      </c>
    </row>
  </sheetData>
  <mergeCells count="2">
    <mergeCell ref="A22:B22"/>
    <mergeCell ref="A2:B2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workbookViewId="0">
      <selection activeCell="J11" sqref="J11"/>
    </sheetView>
  </sheetViews>
  <sheetFormatPr defaultRowHeight="15" x14ac:dyDescent="0.25"/>
  <sheetData/>
  <sheetProtection algorithmName="SHA-512" hashValue="+6Ckj/UaLZcltbcXZ6vW52lGsXxKpBDN7ewhWK4h2QxV8z57DtIH62g5Twio5o+AcKdguWVJIv4rkY3G6LXIyw==" saltValue="OH2wNpzK1qnPs6sctdXV0A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5"/>
  <sheetViews>
    <sheetView showGridLines="0" workbookViewId="0">
      <selection activeCell="H7" sqref="H7"/>
    </sheetView>
  </sheetViews>
  <sheetFormatPr defaultRowHeight="15" x14ac:dyDescent="0.25"/>
  <sheetData>
    <row r="2" spans="2:5" ht="15.75" thickBot="1" x14ac:dyDescent="0.3"/>
    <row r="3" spans="2:5" x14ac:dyDescent="0.25">
      <c r="B3" s="70" t="s">
        <v>63</v>
      </c>
      <c r="C3" s="71"/>
      <c r="D3" s="71"/>
      <c r="E3" s="72"/>
    </row>
    <row r="4" spans="2:5" x14ac:dyDescent="0.25">
      <c r="B4" s="55" t="s">
        <v>64</v>
      </c>
      <c r="C4" s="56" t="s">
        <v>65</v>
      </c>
      <c r="D4" s="56"/>
      <c r="E4" s="57"/>
    </row>
    <row r="5" spans="2:5" ht="15.75" thickBot="1" x14ac:dyDescent="0.3">
      <c r="B5" s="58" t="s">
        <v>66</v>
      </c>
      <c r="C5" s="59">
        <v>2017</v>
      </c>
      <c r="D5" s="60"/>
      <c r="E5" s="61"/>
    </row>
  </sheetData>
  <sheetProtection algorithmName="SHA-512" hashValue="uDiOojfc9LqzqR1S7dpUaSpKiSlEl3NfFjzxpyFtKuG8WuWRE1Abb2QAc0EgZKW5EbN+SmsxM5PMfHIN8eOzWg==" saltValue="g0u3R0H2MbydJkAs+Z2iZw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21</vt:i4>
      </vt:variant>
    </vt:vector>
  </HeadingPairs>
  <TitlesOfParts>
    <vt:vector size="25" baseType="lpstr">
      <vt:lpstr>Rectification</vt:lpstr>
      <vt:lpstr>Equilibrium</vt:lpstr>
      <vt:lpstr>Figures</vt:lpstr>
      <vt:lpstr>Credits</vt:lpstr>
      <vt:lpstr>AA</vt:lpstr>
      <vt:lpstr>alfa</vt:lpstr>
      <vt:lpstr>BB</vt:lpstr>
      <vt:lpstr>CC</vt:lpstr>
      <vt:lpstr>D.</vt:lpstr>
      <vt:lpstr>DD</vt:lpstr>
      <vt:lpstr>F</vt:lpstr>
      <vt:lpstr>Ln.</vt:lpstr>
      <vt:lpstr>Lo.</vt:lpstr>
      <vt:lpstr>MM1.</vt:lpstr>
      <vt:lpstr>MM2.</vt:lpstr>
      <vt:lpstr>P</vt:lpstr>
      <vt:lpstr>q</vt:lpstr>
      <vt:lpstr>R.</vt:lpstr>
      <vt:lpstr>R_</vt:lpstr>
      <vt:lpstr>V1.</vt:lpstr>
      <vt:lpstr>Vn_1.</vt:lpstr>
      <vt:lpstr>W.</vt:lpstr>
      <vt:lpstr>xd</vt:lpstr>
      <vt:lpstr>xf</vt:lpstr>
      <vt:lpstr>xw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Joshua Pires; Pires</dc:creator>
  <cp:lastModifiedBy>Lucas Pires</cp:lastModifiedBy>
  <dcterms:created xsi:type="dcterms:W3CDTF">2015-03-23T03:50:01Z</dcterms:created>
  <dcterms:modified xsi:type="dcterms:W3CDTF">2018-05-16T19:38:35Z</dcterms:modified>
</cp:coreProperties>
</file>