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/java/ASL/asl-fall18-project/data/e610_2kr_analysis/"/>
    </mc:Choice>
  </mc:AlternateContent>
  <xr:revisionPtr revIDLastSave="0" documentId="13_ncr:1_{80DADE39-1074-2142-839B-DF92368E3B0C}" xr6:coauthVersionLast="40" xr6:coauthVersionMax="40" xr10:uidLastSave="{00000000-0000-0000-0000-000000000000}"/>
  <bookViews>
    <workbookView xWindow="0" yWindow="0" windowWidth="28800" windowHeight="18000" xr2:uid="{6018F804-398C-8C44-8CD4-CAF303996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2" i="1" l="1"/>
  <c r="O41" i="1"/>
  <c r="O40" i="1"/>
  <c r="M62" i="1" l="1"/>
  <c r="E63" i="1"/>
  <c r="S58" i="1"/>
  <c r="T37" i="1" l="1"/>
  <c r="T48" i="1" s="1"/>
  <c r="S37" i="1"/>
  <c r="S48" i="1" s="1"/>
  <c r="R37" i="1"/>
  <c r="R48" i="1" s="1"/>
  <c r="Q37" i="1"/>
  <c r="Q48" i="1" s="1"/>
  <c r="T36" i="1"/>
  <c r="T47" i="1" s="1"/>
  <c r="S36" i="1"/>
  <c r="S47" i="1" s="1"/>
  <c r="R36" i="1"/>
  <c r="R47" i="1" s="1"/>
  <c r="Q36" i="1"/>
  <c r="Q47" i="1" s="1"/>
  <c r="T35" i="1"/>
  <c r="T46" i="1" s="1"/>
  <c r="S35" i="1"/>
  <c r="S46" i="1" s="1"/>
  <c r="R35" i="1"/>
  <c r="R46" i="1" s="1"/>
  <c r="Q35" i="1"/>
  <c r="Q46" i="1" s="1"/>
  <c r="T34" i="1"/>
  <c r="T45" i="1" s="1"/>
  <c r="S34" i="1"/>
  <c r="S45" i="1" s="1"/>
  <c r="R34" i="1"/>
  <c r="R45" i="1" s="1"/>
  <c r="Q34" i="1"/>
  <c r="Q45" i="1" s="1"/>
  <c r="T33" i="1"/>
  <c r="T44" i="1" s="1"/>
  <c r="S33" i="1"/>
  <c r="S44" i="1" s="1"/>
  <c r="R33" i="1"/>
  <c r="R44" i="1" s="1"/>
  <c r="Q33" i="1"/>
  <c r="Q44" i="1" s="1"/>
  <c r="T32" i="1"/>
  <c r="T43" i="1" s="1"/>
  <c r="S32" i="1"/>
  <c r="S43" i="1" s="1"/>
  <c r="R32" i="1"/>
  <c r="R43" i="1" s="1"/>
  <c r="Q32" i="1"/>
  <c r="Q43" i="1" s="1"/>
  <c r="T31" i="1"/>
  <c r="T42" i="1" s="1"/>
  <c r="S31" i="1"/>
  <c r="S42" i="1" s="1"/>
  <c r="R31" i="1"/>
  <c r="R42" i="1" s="1"/>
  <c r="Q31" i="1"/>
  <c r="Q42" i="1" s="1"/>
  <c r="T30" i="1"/>
  <c r="T41" i="1" s="1"/>
  <c r="S30" i="1"/>
  <c r="S41" i="1" s="1"/>
  <c r="R30" i="1"/>
  <c r="R41" i="1" s="1"/>
  <c r="Q30" i="1"/>
  <c r="Q41" i="1" s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L30" i="1"/>
  <c r="K30" i="1"/>
  <c r="J30" i="1"/>
  <c r="I30" i="1"/>
  <c r="R50" i="1" l="1"/>
  <c r="U37" i="1"/>
  <c r="K48" i="1" s="1"/>
  <c r="U36" i="1"/>
  <c r="J47" i="1" s="1"/>
  <c r="U35" i="1"/>
  <c r="U34" i="1"/>
  <c r="U33" i="1"/>
  <c r="L44" i="1" s="1"/>
  <c r="U32" i="1"/>
  <c r="U31" i="1"/>
  <c r="U30" i="1"/>
  <c r="K47" i="1" l="1"/>
  <c r="X32" i="1"/>
  <c r="AB32" i="1" s="1"/>
  <c r="E43" i="1"/>
  <c r="G43" i="1"/>
  <c r="F43" i="1"/>
  <c r="H43" i="1"/>
  <c r="L48" i="1"/>
  <c r="I43" i="1"/>
  <c r="E41" i="1"/>
  <c r="F41" i="1"/>
  <c r="H41" i="1"/>
  <c r="G41" i="1"/>
  <c r="J41" i="1"/>
  <c r="W34" i="1"/>
  <c r="AA34" i="1" s="1"/>
  <c r="E45" i="1"/>
  <c r="F45" i="1"/>
  <c r="G45" i="1"/>
  <c r="H45" i="1"/>
  <c r="L45" i="1"/>
  <c r="J43" i="1"/>
  <c r="I47" i="1"/>
  <c r="Y35" i="1"/>
  <c r="AC35" i="1" s="1"/>
  <c r="E46" i="1"/>
  <c r="G46" i="1"/>
  <c r="I46" i="1"/>
  <c r="F46" i="1"/>
  <c r="J46" i="1"/>
  <c r="H46" i="1"/>
  <c r="L47" i="1"/>
  <c r="L41" i="1"/>
  <c r="K43" i="1"/>
  <c r="K46" i="1"/>
  <c r="E42" i="1"/>
  <c r="F42" i="1"/>
  <c r="G42" i="1"/>
  <c r="J42" i="1"/>
  <c r="H42" i="1"/>
  <c r="I42" i="1"/>
  <c r="K45" i="1"/>
  <c r="L42" i="1"/>
  <c r="L46" i="1"/>
  <c r="I44" i="1"/>
  <c r="E44" i="1"/>
  <c r="J44" i="1"/>
  <c r="F44" i="1"/>
  <c r="G44" i="1"/>
  <c r="H44" i="1"/>
  <c r="L43" i="1"/>
  <c r="I45" i="1"/>
  <c r="V36" i="1"/>
  <c r="Z36" i="1" s="1"/>
  <c r="E47" i="1"/>
  <c r="F47" i="1"/>
  <c r="G47" i="1"/>
  <c r="H47" i="1"/>
  <c r="I41" i="1"/>
  <c r="J45" i="1"/>
  <c r="Y37" i="1"/>
  <c r="AC37" i="1" s="1"/>
  <c r="I48" i="1"/>
  <c r="E48" i="1"/>
  <c r="F48" i="1"/>
  <c r="J48" i="1"/>
  <c r="G48" i="1"/>
  <c r="H48" i="1"/>
  <c r="K42" i="1"/>
  <c r="K44" i="1"/>
  <c r="K41" i="1"/>
  <c r="V37" i="1"/>
  <c r="Z37" i="1" s="1"/>
  <c r="X37" i="1"/>
  <c r="AB37" i="1" s="1"/>
  <c r="W37" i="1"/>
  <c r="AA37" i="1" s="1"/>
  <c r="X36" i="1"/>
  <c r="AB36" i="1" s="1"/>
  <c r="W36" i="1"/>
  <c r="AA36" i="1" s="1"/>
  <c r="Y36" i="1"/>
  <c r="AC36" i="1" s="1"/>
  <c r="W35" i="1"/>
  <c r="AA35" i="1" s="1"/>
  <c r="X35" i="1"/>
  <c r="AB35" i="1" s="1"/>
  <c r="V35" i="1"/>
  <c r="Z35" i="1" s="1"/>
  <c r="V34" i="1"/>
  <c r="Z34" i="1" s="1"/>
  <c r="X34" i="1"/>
  <c r="AB34" i="1" s="1"/>
  <c r="Y34" i="1"/>
  <c r="AC34" i="1" s="1"/>
  <c r="Y33" i="1"/>
  <c r="AC33" i="1" s="1"/>
  <c r="X33" i="1"/>
  <c r="AB33" i="1" s="1"/>
  <c r="W33" i="1"/>
  <c r="AA33" i="1" s="1"/>
  <c r="V33" i="1"/>
  <c r="Z33" i="1" s="1"/>
  <c r="V32" i="1"/>
  <c r="Z32" i="1" s="1"/>
  <c r="Y32" i="1"/>
  <c r="AC32" i="1" s="1"/>
  <c r="W32" i="1"/>
  <c r="AA32" i="1" s="1"/>
  <c r="Y31" i="1"/>
  <c r="AC31" i="1" s="1"/>
  <c r="X31" i="1"/>
  <c r="AB31" i="1" s="1"/>
  <c r="W31" i="1"/>
  <c r="AA31" i="1" s="1"/>
  <c r="V31" i="1"/>
  <c r="Z31" i="1" s="1"/>
  <c r="Y30" i="1"/>
  <c r="AC30" i="1" s="1"/>
  <c r="W30" i="1"/>
  <c r="AA30" i="1" s="1"/>
  <c r="X30" i="1"/>
  <c r="AB30" i="1" s="1"/>
  <c r="V30" i="1"/>
  <c r="Z30" i="1" s="1"/>
  <c r="E39" i="1" l="1"/>
  <c r="E40" i="1" s="1"/>
  <c r="I39" i="1"/>
  <c r="I40" i="1" s="1"/>
  <c r="L39" i="1"/>
  <c r="L40" i="1" s="1"/>
  <c r="J39" i="1"/>
  <c r="J40" i="1" s="1"/>
  <c r="G39" i="1"/>
  <c r="G40" i="1" s="1"/>
  <c r="H39" i="1"/>
  <c r="H40" i="1" s="1"/>
  <c r="K39" i="1"/>
  <c r="K40" i="1" s="1"/>
  <c r="F39" i="1"/>
  <c r="F40" i="1" s="1"/>
  <c r="AA39" i="1"/>
  <c r="S55" i="1" s="1"/>
  <c r="S56" i="1" s="1"/>
  <c r="S57" i="1" s="1"/>
  <c r="S62" i="1" s="1"/>
  <c r="F52" i="1" l="1"/>
  <c r="F62" i="1"/>
  <c r="H52" i="1"/>
  <c r="H62" i="1"/>
  <c r="J52" i="1"/>
  <c r="J62" i="1"/>
  <c r="L52" i="1"/>
  <c r="L62" i="1"/>
  <c r="K52" i="1"/>
  <c r="K62" i="1"/>
  <c r="G52" i="1"/>
  <c r="G62" i="1"/>
  <c r="I52" i="1"/>
  <c r="I62" i="1"/>
  <c r="E52" i="1"/>
  <c r="W50" i="1" s="1"/>
  <c r="E62" i="1"/>
  <c r="H57" i="1" l="1"/>
  <c r="L57" i="1"/>
  <c r="I57" i="1"/>
  <c r="J65" i="1"/>
  <c r="J64" i="1"/>
  <c r="G65" i="1"/>
  <c r="G64" i="1"/>
  <c r="H65" i="1"/>
  <c r="H64" i="1"/>
  <c r="Z45" i="1"/>
  <c r="E57" i="1" s="1"/>
  <c r="I65" i="1"/>
  <c r="I64" i="1"/>
  <c r="G57" i="1"/>
  <c r="K57" i="1"/>
  <c r="L65" i="1"/>
  <c r="L64" i="1"/>
  <c r="L66" i="1" s="1"/>
  <c r="J57" i="1"/>
  <c r="F64" i="1"/>
  <c r="F65" i="1"/>
  <c r="E65" i="1"/>
  <c r="E64" i="1"/>
  <c r="K65" i="1"/>
  <c r="K64" i="1"/>
  <c r="F57" i="1"/>
  <c r="K66" i="1" l="1"/>
  <c r="I66" i="1"/>
  <c r="G66" i="1"/>
  <c r="H66" i="1"/>
  <c r="J66" i="1"/>
  <c r="F66" i="1"/>
  <c r="F59" i="1"/>
  <c r="E66" i="1"/>
</calcChain>
</file>

<file path=xl/sharedStrings.xml><?xml version="1.0" encoding="utf-8"?>
<sst xmlns="http://schemas.openxmlformats.org/spreadsheetml/2006/main" count="130" uniqueCount="110">
  <si>
    <t>(c) 2018 Pirmin Schmid</t>
  </si>
  <si>
    <t>Additive and multiplicative 2^{k}r models with k=3 and r=4</t>
  </si>
  <si>
    <t>Variable</t>
  </si>
  <si>
    <t>Unit</t>
  </si>
  <si>
    <t>calculations as shown in Raj Jain, the art of computer systems performance analysis, pages 283-313, in particular box on page 309</t>
  </si>
  <si>
    <t>Type</t>
  </si>
  <si>
    <t>(A = additive; M = multiplicative)</t>
  </si>
  <si>
    <t>Settings</t>
  </si>
  <si>
    <t>Throughput</t>
  </si>
  <si>
    <t>op/s</t>
  </si>
  <si>
    <t>Workload</t>
  </si>
  <si>
    <t>Factors</t>
  </si>
  <si>
    <t>A</t>
  </si>
  <si>
    <t>1 or 3 memcached servers</t>
  </si>
  <si>
    <t>B</t>
  </si>
  <si>
    <t>1 or 2 middleware instances</t>
  </si>
  <si>
    <t>C</t>
  </si>
  <si>
    <t>8 or 32 worker threads</t>
  </si>
  <si>
    <t>Legend</t>
  </si>
  <si>
    <t>Calculation table</t>
  </si>
  <si>
    <t>I</t>
  </si>
  <si>
    <t>AB</t>
  </si>
  <si>
    <t>AC</t>
  </si>
  <si>
    <t>BC</t>
  </si>
  <si>
    <t>ABC</t>
  </si>
  <si>
    <t>A: servers</t>
  </si>
  <si>
    <t>B: MC</t>
  </si>
  <si>
    <t>C: MT</t>
  </si>
  <si>
    <t>Input measured raw values</t>
  </si>
  <si>
    <t>y1</t>
  </si>
  <si>
    <t>y2</t>
  </si>
  <si>
    <t>y3</t>
  </si>
  <si>
    <t>y4</t>
  </si>
  <si>
    <t>used values (either direct or log)</t>
  </si>
  <si>
    <t>y1'</t>
  </si>
  <si>
    <t>y2'</t>
  </si>
  <si>
    <t>y3'</t>
  </si>
  <si>
    <t>y4'</t>
  </si>
  <si>
    <t>mean</t>
  </si>
  <si>
    <t>y'</t>
  </si>
  <si>
    <t>errors</t>
  </si>
  <si>
    <t>e1</t>
  </si>
  <si>
    <t>e2</t>
  </si>
  <si>
    <t>e3</t>
  </si>
  <si>
    <t>e4</t>
  </si>
  <si>
    <t>squared errors</t>
  </si>
  <si>
    <t>se1</t>
  </si>
  <si>
    <t>se2</t>
  </si>
  <si>
    <t>se3</t>
  </si>
  <si>
    <t>se4</t>
  </si>
  <si>
    <t>SSE</t>
  </si>
  <si>
    <t>Total</t>
  </si>
  <si>
    <t>q values</t>
  </si>
  <si>
    <t>Total/8</t>
  </si>
  <si>
    <t>helper products</t>
  </si>
  <si>
    <t>SS0</t>
  </si>
  <si>
    <t>SS1</t>
  </si>
  <si>
    <t>SS2</t>
  </si>
  <si>
    <t>SS3</t>
  </si>
  <si>
    <t>SS4</t>
  </si>
  <si>
    <t>SS5</t>
  </si>
  <si>
    <t>SS6</t>
  </si>
  <si>
    <t>SS7</t>
  </si>
  <si>
    <t>2^k r q0</t>
  </si>
  <si>
    <t>2^k r q1</t>
  </si>
  <si>
    <t>2^k r q2</t>
  </si>
  <si>
    <t>2^k r q3</t>
  </si>
  <si>
    <t>2^k r q4</t>
  </si>
  <si>
    <t>2^k r q5</t>
  </si>
  <si>
    <t>2^k r q6</t>
  </si>
  <si>
    <t>2^k r q7</t>
  </si>
  <si>
    <t>error</t>
  </si>
  <si>
    <t>squared y' values</t>
  </si>
  <si>
    <t>SSY</t>
  </si>
  <si>
    <t>SST = SSY - SS0</t>
  </si>
  <si>
    <t>control SSE = SST - sum of SS1 to SS7</t>
  </si>
  <si>
    <t>should match SSE as calculated above</t>
  </si>
  <si>
    <t>SS1/SST*100</t>
  </si>
  <si>
    <t>SS2/SST*100</t>
  </si>
  <si>
    <t>SS3/SST*100</t>
  </si>
  <si>
    <t>SS4/SST*100</t>
  </si>
  <si>
    <t>SS5/SST*100</t>
  </si>
  <si>
    <t>SS6/SST*100</t>
  </si>
  <si>
    <t>SS7/SST*100</t>
  </si>
  <si>
    <t>SSE/SST*100</t>
  </si>
  <si>
    <t>%</t>
  </si>
  <si>
    <t>check: sum</t>
  </si>
  <si>
    <t>Percentage attribution</t>
  </si>
  <si>
    <t>Effect</t>
  </si>
  <si>
    <t>(q values or 10^q values)</t>
  </si>
  <si>
    <t>error estimates</t>
  </si>
  <si>
    <t>standard deviation of errors s_e</t>
  </si>
  <si>
    <t>standard deviation of effects</t>
  </si>
  <si>
    <t>df = degrees of freedom = 2^k*(r-1)</t>
  </si>
  <si>
    <t>t value for  two-sided for 1-alpha, df</t>
  </si>
  <si>
    <t>alpha = 5% (for 95% CI)</t>
  </si>
  <si>
    <t>Student t distribution from C. Lentner (ed) Geigy Scientific Tables Volume 2 Introduction to statistics, statistical tables, mathematical formulae. 8th ed 1982</t>
  </si>
  <si>
    <t>lower 95% CI bound</t>
  </si>
  <si>
    <t>upper 95% CI bound</t>
  </si>
  <si>
    <t>SSE (10^SSE for multiplicative model)</t>
  </si>
  <si>
    <t>(note: when looking for the t-value in the example on page 310, the book of Raj Jain has actually a bug; it uses the one-sided t-value instead the two-sided t-value,</t>
  </si>
  <si>
    <t>which leads to reporting the 80% CI instead of the 90% CI in the example as claimed. the proper 2-sided t-value for alpha 10% and 16df would be 1.746 instead of 1.337)</t>
  </si>
  <si>
    <t>95% CI are used in my own reporting</t>
  </si>
  <si>
    <t>delta for 95% CI reporting</t>
  </si>
  <si>
    <t>Analysis tool for 2^{k}r experiments v1.0</t>
  </si>
  <si>
    <t>Metadata</t>
  </si>
  <si>
    <t>read-only</t>
  </si>
  <si>
    <t>y_max</t>
  </si>
  <si>
    <t>y_min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</si>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</sst>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92A-5838-4049-9E3D-E391357B0644}">
  <dimension ref="B2:AD66"/>
  <sheetViews>
    <sheetView tabSelected="1" workbookViewId="0"/>
  </sheetViews>
  <sheetFormatPr baseColWidth="10" defaultRowHeight="16" x14ac:dyDescent="0.2"/>
  <cols>
    <col min="1" max="1" width="3.6640625" customWidth="1"/>
    <col min="5" max="12" width="13" customWidth="1"/>
    <col min="18" max="18" width="11.1640625" bestFit="1" customWidth="1"/>
  </cols>
  <sheetData>
    <row r="2" spans="2:4" x14ac:dyDescent="0.2">
      <c r="B2" s="1" t="s">
        <v>104</v>
      </c>
    </row>
    <row r="3" spans="2:4" x14ac:dyDescent="0.2">
      <c r="B3" t="s">
        <v>0</v>
      </c>
    </row>
    <row r="5" spans="2:4" x14ac:dyDescent="0.2">
      <c r="B5" s="1" t="s">
        <v>1</v>
      </c>
    </row>
    <row r="6" spans="2:4" x14ac:dyDescent="0.2">
      <c r="B6" t="s">
        <v>4</v>
      </c>
    </row>
    <row r="7" spans="2:4" x14ac:dyDescent="0.2">
      <c r="B7" t="s">
        <v>96</v>
      </c>
    </row>
    <row r="9" spans="2:4" x14ac:dyDescent="0.2">
      <c r="B9" t="s">
        <v>100</v>
      </c>
    </row>
    <row r="10" spans="2:4" x14ac:dyDescent="0.2">
      <c r="B10" t="s">
        <v>101</v>
      </c>
    </row>
    <row r="12" spans="2:4" x14ac:dyDescent="0.2">
      <c r="B12" t="s">
        <v>102</v>
      </c>
    </row>
    <row r="14" spans="2:4" x14ac:dyDescent="0.2">
      <c r="B14" s="1" t="s">
        <v>7</v>
      </c>
      <c r="C14" s="1"/>
    </row>
    <row r="15" spans="2:4" x14ac:dyDescent="0.2">
      <c r="B15" s="1" t="s">
        <v>5</v>
      </c>
      <c r="C15" s="9" t="s">
        <v>12</v>
      </c>
      <c r="D15" t="s">
        <v>6</v>
      </c>
    </row>
    <row r="17" spans="2:30" x14ac:dyDescent="0.2">
      <c r="B17" s="1" t="s">
        <v>105</v>
      </c>
      <c r="C17" s="1"/>
    </row>
    <row r="18" spans="2:30" x14ac:dyDescent="0.2">
      <c r="B18" s="1" t="s">
        <v>10</v>
      </c>
      <c r="C18" s="1" t="s">
        <v>106</v>
      </c>
    </row>
    <row r="19" spans="2:30" x14ac:dyDescent="0.2">
      <c r="B19" s="1" t="s">
        <v>2</v>
      </c>
      <c r="C19" s="1" t="s">
        <v>8</v>
      </c>
    </row>
    <row r="20" spans="2:30" x14ac:dyDescent="0.2">
      <c r="B20" s="1" t="s">
        <v>3</v>
      </c>
      <c r="C20" s="1" t="s">
        <v>9</v>
      </c>
    </row>
    <row r="22" spans="2:30" x14ac:dyDescent="0.2">
      <c r="B22" s="1" t="s">
        <v>11</v>
      </c>
      <c r="C22" s="1"/>
    </row>
    <row r="23" spans="2:30" x14ac:dyDescent="0.2">
      <c r="B23" s="1" t="s">
        <v>12</v>
      </c>
      <c r="C23" s="1" t="s">
        <v>13</v>
      </c>
    </row>
    <row r="24" spans="2:30" x14ac:dyDescent="0.2">
      <c r="B24" s="1" t="s">
        <v>14</v>
      </c>
      <c r="C24" s="1" t="s">
        <v>15</v>
      </c>
    </row>
    <row r="25" spans="2:30" x14ac:dyDescent="0.2">
      <c r="B25" s="1" t="s">
        <v>16</v>
      </c>
      <c r="C25" s="1" t="s">
        <v>17</v>
      </c>
    </row>
    <row r="27" spans="2:30" x14ac:dyDescent="0.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30" s="1" customFormat="1" x14ac:dyDescent="0.2">
      <c r="B28" s="2" t="s">
        <v>18</v>
      </c>
      <c r="E28" s="2" t="s">
        <v>19</v>
      </c>
      <c r="M28" s="8" t="s">
        <v>28</v>
      </c>
      <c r="N28" s="9"/>
      <c r="O28" s="9"/>
      <c r="P28" s="9"/>
      <c r="Q28" s="2" t="s">
        <v>33</v>
      </c>
      <c r="U28" s="2" t="s">
        <v>38</v>
      </c>
      <c r="V28" s="2" t="s">
        <v>40</v>
      </c>
      <c r="Z28" s="33" t="s">
        <v>45</v>
      </c>
      <c r="AA28" s="34"/>
      <c r="AB28" s="34"/>
      <c r="AC28" s="35"/>
      <c r="AD28" s="36"/>
    </row>
    <row r="29" spans="2:30" s="1" customFormat="1" x14ac:dyDescent="0.2">
      <c r="B29" s="16" t="s">
        <v>25</v>
      </c>
      <c r="C29" s="17" t="s">
        <v>26</v>
      </c>
      <c r="D29" s="17" t="s">
        <v>27</v>
      </c>
      <c r="E29" s="16" t="s">
        <v>20</v>
      </c>
      <c r="F29" s="16" t="s">
        <v>12</v>
      </c>
      <c r="G29" s="17" t="s">
        <v>14</v>
      </c>
      <c r="H29" s="17" t="s">
        <v>16</v>
      </c>
      <c r="I29" s="16" t="s">
        <v>21</v>
      </c>
      <c r="J29" s="17" t="s">
        <v>22</v>
      </c>
      <c r="K29" s="17" t="s">
        <v>23</v>
      </c>
      <c r="L29" s="17" t="s">
        <v>24</v>
      </c>
      <c r="M29" s="10" t="s">
        <v>29</v>
      </c>
      <c r="N29" s="10" t="s">
        <v>30</v>
      </c>
      <c r="O29" s="10" t="s">
        <v>31</v>
      </c>
      <c r="P29" s="12" t="s">
        <v>32</v>
      </c>
      <c r="Q29" s="25" t="s">
        <v>34</v>
      </c>
      <c r="R29" s="26" t="s">
        <v>35</v>
      </c>
      <c r="S29" s="26" t="s">
        <v>36</v>
      </c>
      <c r="T29" s="26" t="s">
        <v>37</v>
      </c>
      <c r="U29" s="25" t="s">
        <v>39</v>
      </c>
      <c r="V29" s="25" t="s">
        <v>41</v>
      </c>
      <c r="W29" s="26" t="s">
        <v>42</v>
      </c>
      <c r="X29" s="26" t="s">
        <v>43</v>
      </c>
      <c r="Y29" s="26" t="s">
        <v>44</v>
      </c>
      <c r="Z29" s="25" t="s">
        <v>46</v>
      </c>
      <c r="AA29" s="26" t="s">
        <v>47</v>
      </c>
      <c r="AB29" s="26" t="s">
        <v>48</v>
      </c>
      <c r="AC29" s="27" t="s">
        <v>49</v>
      </c>
      <c r="AD29" s="36"/>
    </row>
    <row r="30" spans="2:30" x14ac:dyDescent="0.2">
      <c r="B30" s="4">
        <v>1</v>
      </c>
      <c r="C30" s="5">
        <v>1</v>
      </c>
      <c r="D30" s="5">
        <v>8</v>
      </c>
      <c r="E30" s="4">
        <v>1</v>
      </c>
      <c r="F30" s="4">
        <v>-1</v>
      </c>
      <c r="G30" s="5">
        <v>-1</v>
      </c>
      <c r="H30" s="5">
        <v>-1</v>
      </c>
      <c r="I30" s="4">
        <f>F30*G30</f>
        <v>1</v>
      </c>
      <c r="J30" s="5">
        <f>F30*H30</f>
        <v>1</v>
      </c>
      <c r="K30" s="5">
        <f>G30*H30</f>
        <v>1</v>
      </c>
      <c r="L30" s="5">
        <f>F30*G30*H30</f>
        <v>-1</v>
      </c>
      <c r="M30" s="14">
        <v>2938</v>
      </c>
      <c r="N30" s="14">
        <v>2936</v>
      </c>
      <c r="O30" s="14">
        <v>2917</v>
      </c>
      <c r="P30" s="15">
        <v>2922</v>
      </c>
      <c r="Q30" s="6">
        <f>IF($C$15="M",LOG10(M30),M30)</f>
        <v>2938</v>
      </c>
      <c r="R30" s="7">
        <f t="shared" ref="R30:R37" si="0">IF($C$15="M",LOG10(N30),N30)</f>
        <v>2936</v>
      </c>
      <c r="S30" s="7">
        <f t="shared" ref="S30:S37" si="1">IF($C$15="M",LOG10(O30),O30)</f>
        <v>2917</v>
      </c>
      <c r="T30" s="7">
        <f t="shared" ref="T30:T37" si="2">IF($C$15="M",LOG10(P30),P30)</f>
        <v>2922</v>
      </c>
      <c r="U30" s="6">
        <f>AVERAGE(Q30:T30)</f>
        <v>2928.25</v>
      </c>
      <c r="V30" s="6">
        <f>Q30-$U30</f>
        <v>9.75</v>
      </c>
      <c r="W30" s="7">
        <f t="shared" ref="W30:W37" si="3">R30-$U30</f>
        <v>7.75</v>
      </c>
      <c r="X30" s="7">
        <f t="shared" ref="X30:X37" si="4">S30-$U30</f>
        <v>-11.25</v>
      </c>
      <c r="Y30" s="7">
        <f t="shared" ref="Y30:Y37" si="5">T30-$U30</f>
        <v>-6.25</v>
      </c>
      <c r="Z30" s="6">
        <f>V30*V30</f>
        <v>95.0625</v>
      </c>
      <c r="AA30" s="42">
        <f t="shared" ref="AA30:AA37" si="6">W30*W30</f>
        <v>60.0625</v>
      </c>
      <c r="AB30" s="42">
        <f t="shared" ref="AB30:AB37" si="7">X30*X30</f>
        <v>126.5625</v>
      </c>
      <c r="AC30" s="43">
        <f t="shared" ref="AC30:AC37" si="8">Y30*Y30</f>
        <v>39.0625</v>
      </c>
      <c r="AD30" s="40"/>
    </row>
    <row r="31" spans="2:30" x14ac:dyDescent="0.2">
      <c r="B31" s="4">
        <v>3</v>
      </c>
      <c r="C31" s="5">
        <v>1</v>
      </c>
      <c r="D31" s="5">
        <v>8</v>
      </c>
      <c r="E31" s="4">
        <v>1</v>
      </c>
      <c r="F31" s="4">
        <v>1</v>
      </c>
      <c r="G31" s="5">
        <v>-1</v>
      </c>
      <c r="H31" s="5">
        <v>-1</v>
      </c>
      <c r="I31" s="4">
        <f t="shared" ref="I31:I37" si="9">F31*G31</f>
        <v>-1</v>
      </c>
      <c r="J31" s="5">
        <f t="shared" ref="J31:J37" si="10">F31*H31</f>
        <v>-1</v>
      </c>
      <c r="K31" s="5">
        <f t="shared" ref="K31:K37" si="11">G31*H31</f>
        <v>1</v>
      </c>
      <c r="L31" s="5">
        <f t="shared" ref="L31:L37" si="12">F31*G31*H31</f>
        <v>1</v>
      </c>
      <c r="M31" s="11">
        <v>7276</v>
      </c>
      <c r="N31" s="11">
        <v>7391</v>
      </c>
      <c r="O31" s="11">
        <v>7223</v>
      </c>
      <c r="P31" s="13">
        <v>7126</v>
      </c>
      <c r="Q31" s="6">
        <f t="shared" ref="Q31:Q37" si="13">IF($C$15="M",LOG10(M31),M31)</f>
        <v>7276</v>
      </c>
      <c r="R31" s="7">
        <f t="shared" si="0"/>
        <v>7391</v>
      </c>
      <c r="S31" s="7">
        <f t="shared" si="1"/>
        <v>7223</v>
      </c>
      <c r="T31" s="7">
        <f t="shared" si="2"/>
        <v>7126</v>
      </c>
      <c r="U31" s="6">
        <f t="shared" ref="U31:U37" si="14">AVERAGE(Q31:T31)</f>
        <v>7254</v>
      </c>
      <c r="V31" s="6">
        <f t="shared" ref="V31:V37" si="15">Q31-$U31</f>
        <v>22</v>
      </c>
      <c r="W31" s="7">
        <f t="shared" si="3"/>
        <v>137</v>
      </c>
      <c r="X31" s="7">
        <f t="shared" si="4"/>
        <v>-31</v>
      </c>
      <c r="Y31" s="7">
        <f t="shared" si="5"/>
        <v>-128</v>
      </c>
      <c r="Z31" s="6">
        <f t="shared" ref="Z31:Z37" si="16">V31*V31</f>
        <v>484</v>
      </c>
      <c r="AA31" s="42">
        <f t="shared" si="6"/>
        <v>18769</v>
      </c>
      <c r="AB31" s="42">
        <f t="shared" si="7"/>
        <v>961</v>
      </c>
      <c r="AC31" s="43">
        <f t="shared" si="8"/>
        <v>16384</v>
      </c>
      <c r="AD31" s="40"/>
    </row>
    <row r="32" spans="2:30" x14ac:dyDescent="0.2">
      <c r="B32" s="4">
        <v>1</v>
      </c>
      <c r="C32" s="5">
        <v>2</v>
      </c>
      <c r="D32" s="5">
        <v>8</v>
      </c>
      <c r="E32" s="4">
        <v>1</v>
      </c>
      <c r="F32" s="4">
        <v>-1</v>
      </c>
      <c r="G32" s="5">
        <v>1</v>
      </c>
      <c r="H32" s="5">
        <v>-1</v>
      </c>
      <c r="I32" s="4">
        <f t="shared" si="9"/>
        <v>-1</v>
      </c>
      <c r="J32" s="5">
        <f t="shared" si="10"/>
        <v>1</v>
      </c>
      <c r="K32" s="5">
        <f t="shared" si="11"/>
        <v>-1</v>
      </c>
      <c r="L32" s="5">
        <f t="shared" si="12"/>
        <v>1</v>
      </c>
      <c r="M32" s="11">
        <v>2895</v>
      </c>
      <c r="N32" s="11">
        <v>2899</v>
      </c>
      <c r="O32" s="11">
        <v>2892</v>
      </c>
      <c r="P32" s="13">
        <v>2905</v>
      </c>
      <c r="Q32" s="6">
        <f t="shared" si="13"/>
        <v>2895</v>
      </c>
      <c r="R32" s="7">
        <f t="shared" si="0"/>
        <v>2899</v>
      </c>
      <c r="S32" s="7">
        <f t="shared" si="1"/>
        <v>2892</v>
      </c>
      <c r="T32" s="7">
        <f t="shared" si="2"/>
        <v>2905</v>
      </c>
      <c r="U32" s="6">
        <f t="shared" si="14"/>
        <v>2897.75</v>
      </c>
      <c r="V32" s="6">
        <f t="shared" si="15"/>
        <v>-2.75</v>
      </c>
      <c r="W32" s="7">
        <f t="shared" si="3"/>
        <v>1.25</v>
      </c>
      <c r="X32" s="7">
        <f t="shared" si="4"/>
        <v>-5.75</v>
      </c>
      <c r="Y32" s="7">
        <f t="shared" si="5"/>
        <v>7.25</v>
      </c>
      <c r="Z32" s="6">
        <f t="shared" si="16"/>
        <v>7.5625</v>
      </c>
      <c r="AA32" s="42">
        <f t="shared" si="6"/>
        <v>1.5625</v>
      </c>
      <c r="AB32" s="42">
        <f t="shared" si="7"/>
        <v>33.0625</v>
      </c>
      <c r="AC32" s="43">
        <f t="shared" si="8"/>
        <v>52.5625</v>
      </c>
      <c r="AD32" s="40"/>
    </row>
    <row r="33" spans="2:30" x14ac:dyDescent="0.2">
      <c r="B33" s="4">
        <v>3</v>
      </c>
      <c r="C33" s="5">
        <v>2</v>
      </c>
      <c r="D33" s="5">
        <v>8</v>
      </c>
      <c r="E33" s="4">
        <v>1</v>
      </c>
      <c r="F33" s="4">
        <v>1</v>
      </c>
      <c r="G33" s="5">
        <v>1</v>
      </c>
      <c r="H33" s="5">
        <v>-1</v>
      </c>
      <c r="I33" s="4">
        <f t="shared" si="9"/>
        <v>1</v>
      </c>
      <c r="J33" s="5">
        <f t="shared" si="10"/>
        <v>-1</v>
      </c>
      <c r="K33" s="5">
        <f t="shared" si="11"/>
        <v>-1</v>
      </c>
      <c r="L33" s="5">
        <f t="shared" si="12"/>
        <v>-1</v>
      </c>
      <c r="M33" s="11">
        <v>8733</v>
      </c>
      <c r="N33" s="11">
        <v>8777</v>
      </c>
      <c r="O33" s="11">
        <v>8712</v>
      </c>
      <c r="P33" s="13">
        <v>8649</v>
      </c>
      <c r="Q33" s="6">
        <f t="shared" si="13"/>
        <v>8733</v>
      </c>
      <c r="R33" s="7">
        <f t="shared" si="0"/>
        <v>8777</v>
      </c>
      <c r="S33" s="7">
        <f t="shared" si="1"/>
        <v>8712</v>
      </c>
      <c r="T33" s="7">
        <f t="shared" si="2"/>
        <v>8649</v>
      </c>
      <c r="U33" s="6">
        <f t="shared" si="14"/>
        <v>8717.75</v>
      </c>
      <c r="V33" s="6">
        <f t="shared" si="15"/>
        <v>15.25</v>
      </c>
      <c r="W33" s="7">
        <f t="shared" si="3"/>
        <v>59.25</v>
      </c>
      <c r="X33" s="7">
        <f t="shared" si="4"/>
        <v>-5.75</v>
      </c>
      <c r="Y33" s="7">
        <f t="shared" si="5"/>
        <v>-68.75</v>
      </c>
      <c r="Z33" s="6">
        <f t="shared" si="16"/>
        <v>232.5625</v>
      </c>
      <c r="AA33" s="42">
        <f t="shared" si="6"/>
        <v>3510.5625</v>
      </c>
      <c r="AB33" s="42">
        <f t="shared" si="7"/>
        <v>33.0625</v>
      </c>
      <c r="AC33" s="43">
        <f t="shared" si="8"/>
        <v>4726.5625</v>
      </c>
      <c r="AD33" s="40"/>
    </row>
    <row r="34" spans="2:30" x14ac:dyDescent="0.2">
      <c r="B34" s="4">
        <v>1</v>
      </c>
      <c r="C34" s="5">
        <v>1</v>
      </c>
      <c r="D34" s="5">
        <v>32</v>
      </c>
      <c r="E34" s="4">
        <v>1</v>
      </c>
      <c r="F34" s="4">
        <v>-1</v>
      </c>
      <c r="G34" s="5">
        <v>-1</v>
      </c>
      <c r="H34" s="5">
        <v>1</v>
      </c>
      <c r="I34" s="4">
        <f t="shared" si="9"/>
        <v>1</v>
      </c>
      <c r="J34" s="5">
        <f t="shared" si="10"/>
        <v>-1</v>
      </c>
      <c r="K34" s="5">
        <f t="shared" si="11"/>
        <v>-1</v>
      </c>
      <c r="L34" s="5">
        <f t="shared" si="12"/>
        <v>1</v>
      </c>
      <c r="M34" s="11">
        <v>2934</v>
      </c>
      <c r="N34" s="11">
        <v>2935</v>
      </c>
      <c r="O34" s="11">
        <v>2921</v>
      </c>
      <c r="P34" s="13">
        <v>2937</v>
      </c>
      <c r="Q34" s="6">
        <f t="shared" si="13"/>
        <v>2934</v>
      </c>
      <c r="R34" s="7">
        <f t="shared" si="0"/>
        <v>2935</v>
      </c>
      <c r="S34" s="7">
        <f t="shared" si="1"/>
        <v>2921</v>
      </c>
      <c r="T34" s="7">
        <f t="shared" si="2"/>
        <v>2937</v>
      </c>
      <c r="U34" s="6">
        <f t="shared" si="14"/>
        <v>2931.75</v>
      </c>
      <c r="V34" s="6">
        <f t="shared" si="15"/>
        <v>2.25</v>
      </c>
      <c r="W34" s="7">
        <f t="shared" si="3"/>
        <v>3.25</v>
      </c>
      <c r="X34" s="7">
        <f t="shared" si="4"/>
        <v>-10.75</v>
      </c>
      <c r="Y34" s="7">
        <f t="shared" si="5"/>
        <v>5.25</v>
      </c>
      <c r="Z34" s="6">
        <f t="shared" si="16"/>
        <v>5.0625</v>
      </c>
      <c r="AA34" s="42">
        <f t="shared" si="6"/>
        <v>10.5625</v>
      </c>
      <c r="AB34" s="42">
        <f t="shared" si="7"/>
        <v>115.5625</v>
      </c>
      <c r="AC34" s="43">
        <f t="shared" si="8"/>
        <v>27.5625</v>
      </c>
      <c r="AD34" s="40"/>
    </row>
    <row r="35" spans="2:30" x14ac:dyDescent="0.2">
      <c r="B35" s="4">
        <v>3</v>
      </c>
      <c r="C35" s="5">
        <v>1</v>
      </c>
      <c r="D35" s="5">
        <v>32</v>
      </c>
      <c r="E35" s="4">
        <v>1</v>
      </c>
      <c r="F35" s="4">
        <v>1</v>
      </c>
      <c r="G35" s="5">
        <v>-1</v>
      </c>
      <c r="H35" s="5">
        <v>1</v>
      </c>
      <c r="I35" s="4">
        <f t="shared" si="9"/>
        <v>-1</v>
      </c>
      <c r="J35" s="5">
        <f t="shared" si="10"/>
        <v>1</v>
      </c>
      <c r="K35" s="5">
        <f t="shared" si="11"/>
        <v>-1</v>
      </c>
      <c r="L35" s="5">
        <f t="shared" si="12"/>
        <v>-1</v>
      </c>
      <c r="M35" s="11">
        <v>8750</v>
      </c>
      <c r="N35" s="11">
        <v>8815</v>
      </c>
      <c r="O35" s="11">
        <v>8555</v>
      </c>
      <c r="P35" s="13">
        <v>8813</v>
      </c>
      <c r="Q35" s="6">
        <f t="shared" si="13"/>
        <v>8750</v>
      </c>
      <c r="R35" s="7">
        <f t="shared" si="0"/>
        <v>8815</v>
      </c>
      <c r="S35" s="7">
        <f t="shared" si="1"/>
        <v>8555</v>
      </c>
      <c r="T35" s="7">
        <f t="shared" si="2"/>
        <v>8813</v>
      </c>
      <c r="U35" s="6">
        <f t="shared" si="14"/>
        <v>8733.25</v>
      </c>
      <c r="V35" s="6">
        <f t="shared" si="15"/>
        <v>16.75</v>
      </c>
      <c r="W35" s="7">
        <f t="shared" si="3"/>
        <v>81.75</v>
      </c>
      <c r="X35" s="7">
        <f t="shared" si="4"/>
        <v>-178.25</v>
      </c>
      <c r="Y35" s="7">
        <f t="shared" si="5"/>
        <v>79.75</v>
      </c>
      <c r="Z35" s="6">
        <f t="shared" si="16"/>
        <v>280.5625</v>
      </c>
      <c r="AA35" s="42">
        <f t="shared" si="6"/>
        <v>6683.0625</v>
      </c>
      <c r="AB35" s="42">
        <f t="shared" si="7"/>
        <v>31773.0625</v>
      </c>
      <c r="AC35" s="43">
        <f t="shared" si="8"/>
        <v>6360.0625</v>
      </c>
      <c r="AD35" s="40"/>
    </row>
    <row r="36" spans="2:30" x14ac:dyDescent="0.2">
      <c r="B36" s="4">
        <v>1</v>
      </c>
      <c r="C36" s="5">
        <v>2</v>
      </c>
      <c r="D36" s="5">
        <v>32</v>
      </c>
      <c r="E36" s="4">
        <v>1</v>
      </c>
      <c r="F36" s="4">
        <v>-1</v>
      </c>
      <c r="G36" s="5">
        <v>1</v>
      </c>
      <c r="H36" s="5">
        <v>1</v>
      </c>
      <c r="I36" s="4">
        <f t="shared" si="9"/>
        <v>-1</v>
      </c>
      <c r="J36" s="5">
        <f t="shared" si="10"/>
        <v>-1</v>
      </c>
      <c r="K36" s="5">
        <f t="shared" si="11"/>
        <v>1</v>
      </c>
      <c r="L36" s="5">
        <f t="shared" si="12"/>
        <v>-1</v>
      </c>
      <c r="M36" s="11">
        <v>2909</v>
      </c>
      <c r="N36" s="11">
        <v>2893</v>
      </c>
      <c r="O36" s="11">
        <v>2891</v>
      </c>
      <c r="P36" s="13">
        <v>2888</v>
      </c>
      <c r="Q36" s="6">
        <f t="shared" si="13"/>
        <v>2909</v>
      </c>
      <c r="R36" s="7">
        <f t="shared" si="0"/>
        <v>2893</v>
      </c>
      <c r="S36" s="7">
        <f t="shared" si="1"/>
        <v>2891</v>
      </c>
      <c r="T36" s="7">
        <f t="shared" si="2"/>
        <v>2888</v>
      </c>
      <c r="U36" s="6">
        <f t="shared" si="14"/>
        <v>2895.25</v>
      </c>
      <c r="V36" s="6">
        <f t="shared" si="15"/>
        <v>13.75</v>
      </c>
      <c r="W36" s="7">
        <f t="shared" si="3"/>
        <v>-2.25</v>
      </c>
      <c r="X36" s="7">
        <f t="shared" si="4"/>
        <v>-4.25</v>
      </c>
      <c r="Y36" s="7">
        <f t="shared" si="5"/>
        <v>-7.25</v>
      </c>
      <c r="Z36" s="6">
        <f t="shared" si="16"/>
        <v>189.0625</v>
      </c>
      <c r="AA36" s="42">
        <f t="shared" si="6"/>
        <v>5.0625</v>
      </c>
      <c r="AB36" s="42">
        <f t="shared" si="7"/>
        <v>18.0625</v>
      </c>
      <c r="AC36" s="43">
        <f t="shared" si="8"/>
        <v>52.5625</v>
      </c>
      <c r="AD36" s="40"/>
    </row>
    <row r="37" spans="2:30" x14ac:dyDescent="0.2">
      <c r="B37" s="22">
        <v>3</v>
      </c>
      <c r="C37" s="23">
        <v>2</v>
      </c>
      <c r="D37" s="23">
        <v>32</v>
      </c>
      <c r="E37" s="22">
        <v>1</v>
      </c>
      <c r="F37" s="22">
        <v>1</v>
      </c>
      <c r="G37" s="23">
        <v>1</v>
      </c>
      <c r="H37" s="23">
        <v>1</v>
      </c>
      <c r="I37" s="22">
        <f t="shared" si="9"/>
        <v>1</v>
      </c>
      <c r="J37" s="23">
        <f t="shared" si="10"/>
        <v>1</v>
      </c>
      <c r="K37" s="23">
        <f t="shared" si="11"/>
        <v>1</v>
      </c>
      <c r="L37" s="23">
        <f t="shared" si="12"/>
        <v>1</v>
      </c>
      <c r="M37" s="11">
        <v>8747</v>
      </c>
      <c r="N37" s="11">
        <v>8752</v>
      </c>
      <c r="O37" s="11">
        <v>8722</v>
      </c>
      <c r="P37" s="13">
        <v>8770</v>
      </c>
      <c r="Q37" s="28">
        <f t="shared" si="13"/>
        <v>8747</v>
      </c>
      <c r="R37" s="29">
        <f t="shared" si="0"/>
        <v>8752</v>
      </c>
      <c r="S37" s="29">
        <f t="shared" si="1"/>
        <v>8722</v>
      </c>
      <c r="T37" s="29">
        <f t="shared" si="2"/>
        <v>8770</v>
      </c>
      <c r="U37" s="28">
        <f t="shared" si="14"/>
        <v>8747.75</v>
      </c>
      <c r="V37" s="28">
        <f t="shared" si="15"/>
        <v>-0.75</v>
      </c>
      <c r="W37" s="29">
        <f t="shared" si="3"/>
        <v>4.25</v>
      </c>
      <c r="X37" s="29">
        <f t="shared" si="4"/>
        <v>-25.75</v>
      </c>
      <c r="Y37" s="29">
        <f t="shared" si="5"/>
        <v>22.25</v>
      </c>
      <c r="Z37" s="28">
        <f t="shared" si="16"/>
        <v>0.5625</v>
      </c>
      <c r="AA37" s="29">
        <f t="shared" si="6"/>
        <v>18.0625</v>
      </c>
      <c r="AB37" s="29">
        <f t="shared" si="7"/>
        <v>663.0625</v>
      </c>
      <c r="AC37" s="30">
        <f t="shared" si="8"/>
        <v>495.0625</v>
      </c>
      <c r="AD37" s="40"/>
    </row>
    <row r="38" spans="2:30" x14ac:dyDescent="0.2">
      <c r="Z38" s="3"/>
      <c r="AA38" s="40"/>
      <c r="AB38" s="40"/>
      <c r="AC38" s="41"/>
    </row>
    <row r="39" spans="2:30" x14ac:dyDescent="0.2">
      <c r="C39" s="1"/>
      <c r="D39" s="1" t="s">
        <v>51</v>
      </c>
      <c r="E39" s="31">
        <f>SUM(E41:E48)</f>
        <v>45105.75</v>
      </c>
      <c r="F39" s="31">
        <f t="shared" ref="F39:L39" si="17">SUM(F41:F48)</f>
        <v>21799.75</v>
      </c>
      <c r="G39" s="31">
        <f t="shared" si="17"/>
        <v>1411.25</v>
      </c>
      <c r="H39" s="31">
        <f t="shared" si="17"/>
        <v>1510.25</v>
      </c>
      <c r="I39" s="31">
        <f t="shared" si="17"/>
        <v>1545.25</v>
      </c>
      <c r="J39" s="31">
        <f t="shared" si="17"/>
        <v>1508.25</v>
      </c>
      <c r="K39" s="31">
        <f t="shared" si="17"/>
        <v>-1455.25</v>
      </c>
      <c r="L39" s="31">
        <f t="shared" si="17"/>
        <v>-1443.25</v>
      </c>
      <c r="Z39" s="18" t="s">
        <v>50</v>
      </c>
      <c r="AA39" s="44">
        <f>SUM(Z30:AC37)</f>
        <v>92213.25</v>
      </c>
      <c r="AB39" s="21"/>
      <c r="AC39" s="24"/>
    </row>
    <row r="40" spans="2:30" x14ac:dyDescent="0.2">
      <c r="C40" s="1" t="s">
        <v>52</v>
      </c>
      <c r="D40" s="1" t="s">
        <v>53</v>
      </c>
      <c r="E40" s="31">
        <f>E39/8</f>
        <v>5638.21875</v>
      </c>
      <c r="F40" s="31">
        <f t="shared" ref="F40:L40" si="18">F39/8</f>
        <v>2724.96875</v>
      </c>
      <c r="G40" s="31">
        <f t="shared" si="18"/>
        <v>176.40625</v>
      </c>
      <c r="H40" s="31">
        <f t="shared" si="18"/>
        <v>188.78125</v>
      </c>
      <c r="I40" s="31">
        <f t="shared" si="18"/>
        <v>193.15625</v>
      </c>
      <c r="J40" s="31">
        <f t="shared" si="18"/>
        <v>188.53125</v>
      </c>
      <c r="K40" s="31">
        <f t="shared" si="18"/>
        <v>-181.90625</v>
      </c>
      <c r="L40" s="31">
        <f t="shared" si="18"/>
        <v>-180.40625</v>
      </c>
      <c r="N40" t="s">
        <v>107</v>
      </c>
      <c r="O40">
        <f>MAX(M30:P37)</f>
        <v>8815</v>
      </c>
      <c r="Q40" s="33" t="s">
        <v>72</v>
      </c>
      <c r="R40" s="38"/>
      <c r="S40" s="38"/>
      <c r="T40" s="39"/>
    </row>
    <row r="41" spans="2:30" x14ac:dyDescent="0.2">
      <c r="C41" t="s">
        <v>54</v>
      </c>
      <c r="E41" s="32">
        <f>E30*$U30</f>
        <v>2928.25</v>
      </c>
      <c r="F41" s="32">
        <f t="shared" ref="F41:L41" si="19">F30*$U30</f>
        <v>-2928.25</v>
      </c>
      <c r="G41" s="32">
        <f t="shared" si="19"/>
        <v>-2928.25</v>
      </c>
      <c r="H41" s="32">
        <f t="shared" si="19"/>
        <v>-2928.25</v>
      </c>
      <c r="I41" s="32">
        <f t="shared" si="19"/>
        <v>2928.25</v>
      </c>
      <c r="J41" s="32">
        <f t="shared" si="19"/>
        <v>2928.25</v>
      </c>
      <c r="K41" s="32">
        <f t="shared" si="19"/>
        <v>2928.25</v>
      </c>
      <c r="L41" s="32">
        <f t="shared" si="19"/>
        <v>-2928.25</v>
      </c>
      <c r="N41" t="s">
        <v>108</v>
      </c>
      <c r="O41">
        <f>MIN(M30:P37)</f>
        <v>2888</v>
      </c>
      <c r="Q41" s="3">
        <f>Q30*Q30</f>
        <v>8631844</v>
      </c>
      <c r="R41" s="40">
        <f t="shared" ref="R41:T41" si="20">R30*R30</f>
        <v>8620096</v>
      </c>
      <c r="S41" s="40">
        <f t="shared" si="20"/>
        <v>8508889</v>
      </c>
      <c r="T41" s="41">
        <f t="shared" si="20"/>
        <v>8538084</v>
      </c>
    </row>
    <row r="42" spans="2:30" x14ac:dyDescent="0.2">
      <c r="E42" s="32">
        <f t="shared" ref="E42:L42" si="21">E31*$U31</f>
        <v>7254</v>
      </c>
      <c r="F42" s="32">
        <f t="shared" si="21"/>
        <v>7254</v>
      </c>
      <c r="G42" s="32">
        <f t="shared" si="21"/>
        <v>-7254</v>
      </c>
      <c r="H42" s="32">
        <f t="shared" si="21"/>
        <v>-7254</v>
      </c>
      <c r="I42" s="32">
        <f t="shared" si="21"/>
        <v>-7254</v>
      </c>
      <c r="J42" s="32">
        <f t="shared" si="21"/>
        <v>-7254</v>
      </c>
      <c r="K42" s="32">
        <f t="shared" si="21"/>
        <v>7254</v>
      </c>
      <c r="L42" s="32">
        <f t="shared" si="21"/>
        <v>7254</v>
      </c>
      <c r="N42" t="s">
        <v>109</v>
      </c>
      <c r="O42" s="55">
        <f>O40/O41</f>
        <v>3.0522853185595569</v>
      </c>
      <c r="Q42" s="3">
        <f t="shared" ref="Q42:T42" si="22">Q31*Q31</f>
        <v>52940176</v>
      </c>
      <c r="R42" s="40">
        <f t="shared" si="22"/>
        <v>54626881</v>
      </c>
      <c r="S42" s="40">
        <f t="shared" si="22"/>
        <v>52171729</v>
      </c>
      <c r="T42" s="41">
        <f t="shared" si="22"/>
        <v>50779876</v>
      </c>
    </row>
    <row r="43" spans="2:30" x14ac:dyDescent="0.2">
      <c r="E43" s="32">
        <f t="shared" ref="E43:L43" si="23">E32*$U32</f>
        <v>2897.75</v>
      </c>
      <c r="F43" s="32">
        <f t="shared" si="23"/>
        <v>-2897.75</v>
      </c>
      <c r="G43" s="32">
        <f t="shared" si="23"/>
        <v>2897.75</v>
      </c>
      <c r="H43" s="32">
        <f t="shared" si="23"/>
        <v>-2897.75</v>
      </c>
      <c r="I43" s="32">
        <f t="shared" si="23"/>
        <v>-2897.75</v>
      </c>
      <c r="J43" s="32">
        <f t="shared" si="23"/>
        <v>2897.75</v>
      </c>
      <c r="K43" s="32">
        <f t="shared" si="23"/>
        <v>-2897.75</v>
      </c>
      <c r="L43" s="32">
        <f t="shared" si="23"/>
        <v>2897.75</v>
      </c>
      <c r="Q43" s="3">
        <f t="shared" ref="Q43:T43" si="24">Q32*Q32</f>
        <v>8381025</v>
      </c>
      <c r="R43" s="40">
        <f t="shared" si="24"/>
        <v>8404201</v>
      </c>
      <c r="S43" s="40">
        <f t="shared" si="24"/>
        <v>8363664</v>
      </c>
      <c r="T43" s="41">
        <f t="shared" si="24"/>
        <v>8439025</v>
      </c>
      <c r="Z43" s="33" t="s">
        <v>75</v>
      </c>
      <c r="AA43" s="38"/>
      <c r="AB43" s="39"/>
    </row>
    <row r="44" spans="2:30" x14ac:dyDescent="0.2">
      <c r="E44" s="32">
        <f t="shared" ref="E44:L44" si="25">E33*$U33</f>
        <v>8717.75</v>
      </c>
      <c r="F44" s="32">
        <f t="shared" si="25"/>
        <v>8717.75</v>
      </c>
      <c r="G44" s="32">
        <f t="shared" si="25"/>
        <v>8717.75</v>
      </c>
      <c r="H44" s="32">
        <f t="shared" si="25"/>
        <v>-8717.75</v>
      </c>
      <c r="I44" s="32">
        <f t="shared" si="25"/>
        <v>8717.75</v>
      </c>
      <c r="J44" s="32">
        <f t="shared" si="25"/>
        <v>-8717.75</v>
      </c>
      <c r="K44" s="32">
        <f t="shared" si="25"/>
        <v>-8717.75</v>
      </c>
      <c r="L44" s="32">
        <f t="shared" si="25"/>
        <v>-8717.75</v>
      </c>
      <c r="Q44" s="3">
        <f t="shared" ref="Q44:T44" si="26">Q33*Q33</f>
        <v>76265289</v>
      </c>
      <c r="R44" s="40">
        <f t="shared" si="26"/>
        <v>77035729</v>
      </c>
      <c r="S44" s="40">
        <f t="shared" si="26"/>
        <v>75898944</v>
      </c>
      <c r="T44" s="41">
        <f t="shared" si="26"/>
        <v>74805201</v>
      </c>
      <c r="Z44" s="3" t="s">
        <v>76</v>
      </c>
      <c r="AA44" s="40"/>
      <c r="AB44" s="41"/>
    </row>
    <row r="45" spans="2:30" x14ac:dyDescent="0.2">
      <c r="E45" s="32">
        <f t="shared" ref="E45:L45" si="27">E34*$U34</f>
        <v>2931.75</v>
      </c>
      <c r="F45" s="32">
        <f t="shared" si="27"/>
        <v>-2931.75</v>
      </c>
      <c r="G45" s="32">
        <f t="shared" si="27"/>
        <v>-2931.75</v>
      </c>
      <c r="H45" s="32">
        <f t="shared" si="27"/>
        <v>2931.75</v>
      </c>
      <c r="I45" s="32">
        <f t="shared" si="27"/>
        <v>2931.75</v>
      </c>
      <c r="J45" s="32">
        <f t="shared" si="27"/>
        <v>-2931.75</v>
      </c>
      <c r="K45" s="32">
        <f t="shared" si="27"/>
        <v>-2931.75</v>
      </c>
      <c r="L45" s="32">
        <f t="shared" si="27"/>
        <v>2931.75</v>
      </c>
      <c r="Q45" s="3">
        <f t="shared" ref="Q45:T45" si="28">Q34*Q34</f>
        <v>8608356</v>
      </c>
      <c r="R45" s="40">
        <f t="shared" si="28"/>
        <v>8614225</v>
      </c>
      <c r="S45" s="40">
        <f t="shared" si="28"/>
        <v>8532241</v>
      </c>
      <c r="T45" s="41">
        <f t="shared" si="28"/>
        <v>8625969</v>
      </c>
      <c r="Z45" s="18">
        <f>W50-SUM(F52:L52)</f>
        <v>92213.25</v>
      </c>
      <c r="AA45" s="21"/>
      <c r="AB45" s="24"/>
    </row>
    <row r="46" spans="2:30" x14ac:dyDescent="0.2">
      <c r="E46" s="32">
        <f t="shared" ref="E46:L46" si="29">E35*$U35</f>
        <v>8733.25</v>
      </c>
      <c r="F46" s="32">
        <f t="shared" si="29"/>
        <v>8733.25</v>
      </c>
      <c r="G46" s="32">
        <f t="shared" si="29"/>
        <v>-8733.25</v>
      </c>
      <c r="H46" s="32">
        <f t="shared" si="29"/>
        <v>8733.25</v>
      </c>
      <c r="I46" s="32">
        <f t="shared" si="29"/>
        <v>-8733.25</v>
      </c>
      <c r="J46" s="32">
        <f t="shared" si="29"/>
        <v>8733.25</v>
      </c>
      <c r="K46" s="32">
        <f t="shared" si="29"/>
        <v>-8733.25</v>
      </c>
      <c r="L46" s="32">
        <f t="shared" si="29"/>
        <v>-8733.25</v>
      </c>
      <c r="Q46" s="3">
        <f t="shared" ref="Q46:T46" si="30">Q35*Q35</f>
        <v>76562500</v>
      </c>
      <c r="R46" s="40">
        <f t="shared" si="30"/>
        <v>77704225</v>
      </c>
      <c r="S46" s="40">
        <f t="shared" si="30"/>
        <v>73188025</v>
      </c>
      <c r="T46" s="41">
        <f t="shared" si="30"/>
        <v>77668969</v>
      </c>
      <c r="Z46" s="42"/>
      <c r="AA46" s="40"/>
      <c r="AB46" s="40"/>
    </row>
    <row r="47" spans="2:30" x14ac:dyDescent="0.2">
      <c r="E47" s="32">
        <f t="shared" ref="E47:L47" si="31">E36*$U36</f>
        <v>2895.25</v>
      </c>
      <c r="F47" s="32">
        <f t="shared" si="31"/>
        <v>-2895.25</v>
      </c>
      <c r="G47" s="32">
        <f t="shared" si="31"/>
        <v>2895.25</v>
      </c>
      <c r="H47" s="32">
        <f t="shared" si="31"/>
        <v>2895.25</v>
      </c>
      <c r="I47" s="32">
        <f t="shared" si="31"/>
        <v>-2895.25</v>
      </c>
      <c r="J47" s="32">
        <f t="shared" si="31"/>
        <v>-2895.25</v>
      </c>
      <c r="K47" s="32">
        <f t="shared" si="31"/>
        <v>2895.25</v>
      </c>
      <c r="L47" s="32">
        <f t="shared" si="31"/>
        <v>-2895.25</v>
      </c>
      <c r="Q47" s="3">
        <f t="shared" ref="Q47:T47" si="32">Q36*Q36</f>
        <v>8462281</v>
      </c>
      <c r="R47" s="40">
        <f t="shared" si="32"/>
        <v>8369449</v>
      </c>
      <c r="S47" s="40">
        <f t="shared" si="32"/>
        <v>8357881</v>
      </c>
      <c r="T47" s="41">
        <f t="shared" si="32"/>
        <v>8340544</v>
      </c>
    </row>
    <row r="48" spans="2:30" x14ac:dyDescent="0.2">
      <c r="E48" s="32">
        <f t="shared" ref="E48:L48" si="33">E37*$U37</f>
        <v>8747.75</v>
      </c>
      <c r="F48" s="32">
        <f t="shared" si="33"/>
        <v>8747.75</v>
      </c>
      <c r="G48" s="32">
        <f t="shared" si="33"/>
        <v>8747.75</v>
      </c>
      <c r="H48" s="32">
        <f t="shared" si="33"/>
        <v>8747.75</v>
      </c>
      <c r="I48" s="32">
        <f t="shared" si="33"/>
        <v>8747.75</v>
      </c>
      <c r="J48" s="32">
        <f t="shared" si="33"/>
        <v>8747.75</v>
      </c>
      <c r="K48" s="32">
        <f t="shared" si="33"/>
        <v>8747.75</v>
      </c>
      <c r="L48" s="32">
        <f t="shared" si="33"/>
        <v>8747.75</v>
      </c>
      <c r="Q48" s="3">
        <f t="shared" ref="Q48:T48" si="34">Q37*Q37</f>
        <v>76510009</v>
      </c>
      <c r="R48" s="40">
        <f t="shared" si="34"/>
        <v>76597504</v>
      </c>
      <c r="S48" s="40">
        <f t="shared" si="34"/>
        <v>76073284</v>
      </c>
      <c r="T48" s="41">
        <f t="shared" si="34"/>
        <v>76912900</v>
      </c>
    </row>
    <row r="49" spans="2:24" x14ac:dyDescent="0.2">
      <c r="Q49" s="3"/>
      <c r="R49" s="40"/>
      <c r="S49" s="40"/>
      <c r="T49" s="41"/>
      <c r="W49" s="33" t="s">
        <v>74</v>
      </c>
      <c r="X49" s="39"/>
    </row>
    <row r="50" spans="2:24" x14ac:dyDescent="0.2">
      <c r="E50" s="33" t="s">
        <v>55</v>
      </c>
      <c r="F50" s="34" t="s">
        <v>56</v>
      </c>
      <c r="G50" s="34" t="s">
        <v>57</v>
      </c>
      <c r="H50" s="34" t="s">
        <v>58</v>
      </c>
      <c r="I50" s="34" t="s">
        <v>59</v>
      </c>
      <c r="J50" s="34" t="s">
        <v>60</v>
      </c>
      <c r="K50" s="34" t="s">
        <v>61</v>
      </c>
      <c r="L50" s="35" t="s">
        <v>62</v>
      </c>
      <c r="Q50" s="18" t="s">
        <v>73</v>
      </c>
      <c r="R50" s="19">
        <f>SUM(Q41:T48)</f>
        <v>1261539015</v>
      </c>
      <c r="S50" s="21"/>
      <c r="T50" s="24"/>
      <c r="W50" s="18">
        <f>R50-E52</f>
        <v>244274673.46875</v>
      </c>
      <c r="X50" s="24"/>
    </row>
    <row r="51" spans="2:24" x14ac:dyDescent="0.2">
      <c r="E51" s="2" t="s">
        <v>63</v>
      </c>
      <c r="F51" s="36" t="s">
        <v>64</v>
      </c>
      <c r="G51" s="36" t="s">
        <v>65</v>
      </c>
      <c r="H51" s="36" t="s">
        <v>66</v>
      </c>
      <c r="I51" s="36" t="s">
        <v>67</v>
      </c>
      <c r="J51" s="36" t="s">
        <v>68</v>
      </c>
      <c r="K51" s="36" t="s">
        <v>69</v>
      </c>
      <c r="L51" s="37" t="s">
        <v>70</v>
      </c>
    </row>
    <row r="52" spans="2:24" x14ac:dyDescent="0.2">
      <c r="E52" s="18">
        <f>32*E40*E40</f>
        <v>1017264341.53125</v>
      </c>
      <c r="F52" s="19">
        <f t="shared" ref="F52:L52" si="35">32*F40*F40</f>
        <v>237614550.03125</v>
      </c>
      <c r="G52" s="19">
        <f t="shared" si="35"/>
        <v>995813.28125</v>
      </c>
      <c r="H52" s="19">
        <f t="shared" si="35"/>
        <v>1140427.53125</v>
      </c>
      <c r="I52" s="19">
        <f t="shared" si="35"/>
        <v>1193898.78125</v>
      </c>
      <c r="J52" s="19">
        <f t="shared" si="35"/>
        <v>1137409.03125</v>
      </c>
      <c r="K52" s="19">
        <f t="shared" si="35"/>
        <v>1058876.28125</v>
      </c>
      <c r="L52" s="20">
        <f t="shared" si="35"/>
        <v>1041485.28125</v>
      </c>
    </row>
    <row r="54" spans="2:24" x14ac:dyDescent="0.2">
      <c r="E54" s="33"/>
      <c r="F54" s="34" t="s">
        <v>87</v>
      </c>
      <c r="G54" s="34"/>
      <c r="H54" s="34"/>
      <c r="I54" s="34"/>
      <c r="J54" s="34"/>
      <c r="K54" s="34"/>
      <c r="L54" s="34"/>
      <c r="M54" s="35"/>
      <c r="P54" t="s">
        <v>90</v>
      </c>
    </row>
    <row r="55" spans="2:24" x14ac:dyDescent="0.2">
      <c r="E55" s="45" t="s">
        <v>71</v>
      </c>
      <c r="F55" s="46" t="s">
        <v>12</v>
      </c>
      <c r="G55" s="46" t="s">
        <v>14</v>
      </c>
      <c r="H55" s="46" t="s">
        <v>16</v>
      </c>
      <c r="I55" s="46" t="s">
        <v>21</v>
      </c>
      <c r="J55" s="46" t="s">
        <v>22</v>
      </c>
      <c r="K55" s="46" t="s">
        <v>23</v>
      </c>
      <c r="L55" s="46" t="s">
        <v>24</v>
      </c>
      <c r="M55" s="37"/>
      <c r="P55" t="s">
        <v>99</v>
      </c>
      <c r="S55">
        <f>IF($C$15="M",10^AA39,AA39)</f>
        <v>92213.25</v>
      </c>
    </row>
    <row r="56" spans="2:24" x14ac:dyDescent="0.2">
      <c r="E56" s="2" t="s">
        <v>84</v>
      </c>
      <c r="F56" s="36" t="s">
        <v>77</v>
      </c>
      <c r="G56" s="36" t="s">
        <v>78</v>
      </c>
      <c r="H56" s="36" t="s">
        <v>79</v>
      </c>
      <c r="I56" s="36" t="s">
        <v>80</v>
      </c>
      <c r="J56" s="36" t="s">
        <v>81</v>
      </c>
      <c r="K56" s="36" t="s">
        <v>82</v>
      </c>
      <c r="L56" s="36" t="s">
        <v>83</v>
      </c>
      <c r="M56" s="37"/>
      <c r="P56" t="s">
        <v>91</v>
      </c>
      <c r="S56">
        <f>SQRT(S55/(2^3*(4-1)))</f>
        <v>61.985633416139258</v>
      </c>
    </row>
    <row r="57" spans="2:24" x14ac:dyDescent="0.2">
      <c r="E57" s="52">
        <f>Z45/$W$50*100</f>
        <v>3.7749820188295868E-2</v>
      </c>
      <c r="F57" s="48">
        <f>F52/$W$50*100</f>
        <v>97.273510453243105</v>
      </c>
      <c r="G57" s="48">
        <f t="shared" ref="G57:L57" si="36">G52/$W$50*100</f>
        <v>0.40766128846238908</v>
      </c>
      <c r="H57" s="48">
        <f t="shared" si="36"/>
        <v>0.46686277994181602</v>
      </c>
      <c r="I57" s="48">
        <f t="shared" si="36"/>
        <v>0.48875258507007485</v>
      </c>
      <c r="J57" s="48">
        <f t="shared" si="36"/>
        <v>0.46562708081790088</v>
      </c>
      <c r="K57" s="48">
        <f t="shared" si="36"/>
        <v>0.43347771842808819</v>
      </c>
      <c r="L57" s="48">
        <f t="shared" si="36"/>
        <v>0.42635827384832714</v>
      </c>
      <c r="M57" s="37" t="s">
        <v>85</v>
      </c>
      <c r="P57" t="s">
        <v>92</v>
      </c>
      <c r="S57">
        <f>S56/SQRT(2^3*4)</f>
        <v>10.957615431173881</v>
      </c>
    </row>
    <row r="58" spans="2:24" x14ac:dyDescent="0.2">
      <c r="E58" s="2"/>
      <c r="F58" s="36"/>
      <c r="G58" s="36"/>
      <c r="H58" s="36"/>
      <c r="I58" s="36"/>
      <c r="J58" s="36"/>
      <c r="K58" s="36"/>
      <c r="L58" s="36"/>
      <c r="M58" s="37"/>
      <c r="P58" t="s">
        <v>93</v>
      </c>
      <c r="S58">
        <f>2^3*(4-1)</f>
        <v>24</v>
      </c>
    </row>
    <row r="59" spans="2:24" x14ac:dyDescent="0.2">
      <c r="E59" s="18" t="s">
        <v>86</v>
      </c>
      <c r="F59" s="19">
        <f>SUM(E57:L57)</f>
        <v>100</v>
      </c>
      <c r="G59" s="19" t="s">
        <v>85</v>
      </c>
      <c r="H59" s="19"/>
      <c r="I59" s="19"/>
      <c r="J59" s="19"/>
      <c r="K59" s="19"/>
      <c r="L59" s="19"/>
      <c r="M59" s="20"/>
      <c r="P59" t="s">
        <v>95</v>
      </c>
    </row>
    <row r="60" spans="2:24" x14ac:dyDescent="0.2">
      <c r="P60" t="s">
        <v>94</v>
      </c>
      <c r="S60">
        <v>2.0638999999999998</v>
      </c>
    </row>
    <row r="61" spans="2:24" x14ac:dyDescent="0.2">
      <c r="B61" s="33"/>
      <c r="C61" s="34"/>
      <c r="D61" s="34"/>
      <c r="E61" s="47" t="s">
        <v>20</v>
      </c>
      <c r="F61" s="51" t="s">
        <v>12</v>
      </c>
      <c r="G61" s="47" t="s">
        <v>14</v>
      </c>
      <c r="H61" s="47" t="s">
        <v>16</v>
      </c>
      <c r="I61" s="47" t="s">
        <v>21</v>
      </c>
      <c r="J61" s="47" t="s">
        <v>22</v>
      </c>
      <c r="K61" s="47" t="s">
        <v>23</v>
      </c>
      <c r="L61" s="47" t="s">
        <v>24</v>
      </c>
      <c r="M61" s="35"/>
    </row>
    <row r="62" spans="2:24" x14ac:dyDescent="0.2">
      <c r="B62" s="2" t="s">
        <v>88</v>
      </c>
      <c r="C62" s="36" t="s">
        <v>89</v>
      </c>
      <c r="D62" s="36"/>
      <c r="E62" s="48">
        <f>IF($C$15="M",10^E40,E40)</f>
        <v>5638.21875</v>
      </c>
      <c r="F62" s="52">
        <f t="shared" ref="F62:L62" si="37">IF($C$15="M",10^F40,F40)</f>
        <v>2724.96875</v>
      </c>
      <c r="G62" s="48">
        <f t="shared" si="37"/>
        <v>176.40625</v>
      </c>
      <c r="H62" s="48">
        <f t="shared" si="37"/>
        <v>188.78125</v>
      </c>
      <c r="I62" s="48">
        <f t="shared" si="37"/>
        <v>193.15625</v>
      </c>
      <c r="J62" s="48">
        <f t="shared" si="37"/>
        <v>188.53125</v>
      </c>
      <c r="K62" s="48">
        <f t="shared" si="37"/>
        <v>-181.90625</v>
      </c>
      <c r="L62" s="48">
        <f t="shared" si="37"/>
        <v>-180.40625</v>
      </c>
      <c r="M62" s="37" t="str">
        <f>IF($C$15="M","x factor",$C$20)</f>
        <v>op/s</v>
      </c>
      <c r="P62" t="s">
        <v>103</v>
      </c>
      <c r="S62">
        <f>S57*S60</f>
        <v>22.615422488399773</v>
      </c>
    </row>
    <row r="63" spans="2:24" x14ac:dyDescent="0.2">
      <c r="B63" s="3"/>
      <c r="C63" s="40"/>
      <c r="D63" s="40"/>
      <c r="E63" s="54" t="str">
        <f>IF($C$15="M",$C$20,"")</f>
        <v/>
      </c>
      <c r="F63" s="53"/>
      <c r="G63" s="49"/>
      <c r="H63" s="49"/>
      <c r="I63" s="49"/>
      <c r="J63" s="49"/>
      <c r="K63" s="49"/>
      <c r="L63" s="49"/>
      <c r="M63" s="41"/>
    </row>
    <row r="64" spans="2:24" x14ac:dyDescent="0.2">
      <c r="B64" s="3"/>
      <c r="C64" s="40" t="s">
        <v>97</v>
      </c>
      <c r="D64" s="40"/>
      <c r="E64" s="49">
        <f>E62-$S$62</f>
        <v>5615.6033275116006</v>
      </c>
      <c r="F64" s="53">
        <f t="shared" ref="F64:L64" si="38">F62-$S$62</f>
        <v>2702.3533275116001</v>
      </c>
      <c r="G64" s="49">
        <f t="shared" si="38"/>
        <v>153.79082751160024</v>
      </c>
      <c r="H64" s="49">
        <f t="shared" si="38"/>
        <v>166.16582751160024</v>
      </c>
      <c r="I64" s="49">
        <f t="shared" si="38"/>
        <v>170.54082751160024</v>
      </c>
      <c r="J64" s="49">
        <f t="shared" si="38"/>
        <v>165.91582751160024</v>
      </c>
      <c r="K64" s="49">
        <f t="shared" si="38"/>
        <v>-204.52167248839976</v>
      </c>
      <c r="L64" s="49">
        <f t="shared" si="38"/>
        <v>-203.02167248839976</v>
      </c>
      <c r="M64" s="41"/>
    </row>
    <row r="65" spans="2:13" x14ac:dyDescent="0.2">
      <c r="B65" s="3"/>
      <c r="C65" s="40" t="s">
        <v>98</v>
      </c>
      <c r="D65" s="40"/>
      <c r="E65" s="49">
        <f>E62+$S$62</f>
        <v>5660.8341724883994</v>
      </c>
      <c r="F65" s="53">
        <f t="shared" ref="F65:L65" si="39">F62+$S$62</f>
        <v>2747.5841724883999</v>
      </c>
      <c r="G65" s="49">
        <f t="shared" si="39"/>
        <v>199.02167248839976</v>
      </c>
      <c r="H65" s="49">
        <f t="shared" si="39"/>
        <v>211.39667248839976</v>
      </c>
      <c r="I65" s="49">
        <f t="shared" si="39"/>
        <v>215.77167248839976</v>
      </c>
      <c r="J65" s="49">
        <f t="shared" si="39"/>
        <v>211.14667248839976</v>
      </c>
      <c r="K65" s="49">
        <f t="shared" si="39"/>
        <v>-159.29082751160024</v>
      </c>
      <c r="L65" s="49">
        <f t="shared" si="39"/>
        <v>-157.79082751160024</v>
      </c>
      <c r="M65" s="41"/>
    </row>
    <row r="66" spans="2:13" x14ac:dyDescent="0.2">
      <c r="B66" s="50"/>
      <c r="C66" s="21"/>
      <c r="D66" s="21"/>
      <c r="E66" s="21" t="str">
        <f>IF(E64*E65&lt;=0, "not significant","")</f>
        <v/>
      </c>
      <c r="F66" s="50" t="str">
        <f>IF($C$15="M",IF(AND(F64&lt;=1,F65&gt;=1),"not significant",""),IF(F64*F65&lt;=0, "not significant",""))</f>
        <v/>
      </c>
      <c r="G66" s="21" t="str">
        <f t="shared" ref="G66:L66" si="40">IF($C$15="M",IF(AND(G64&lt;=1,G65&gt;=1),"not significant",""),IF(G64*G65&lt;=0, "not significant",""))</f>
        <v/>
      </c>
      <c r="H66" s="21" t="str">
        <f t="shared" si="40"/>
        <v/>
      </c>
      <c r="I66" s="21" t="str">
        <f t="shared" si="40"/>
        <v/>
      </c>
      <c r="J66" s="21" t="str">
        <f t="shared" si="40"/>
        <v/>
      </c>
      <c r="K66" s="21" t="str">
        <f t="shared" si="40"/>
        <v/>
      </c>
      <c r="L66" s="21" t="str">
        <f t="shared" si="40"/>
        <v/>
      </c>
      <c r="M66" s="24"/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Pirmin Schmid</dc:creator>
  <cp:lastModifiedBy>Pirmin Schmid</cp:lastModifiedBy>
  <cp:lastPrinted>2018-12-08T14:22:20Z</cp:lastPrinted>
  <dcterms:created xsi:type="dcterms:W3CDTF">2018-12-08T13:53:12Z</dcterms:created>
  <dcterms:modified xsi:type="dcterms:W3CDTF">2018-12-08T23:18:56Z</dcterms:modified>
</cp:coreProperties>
</file>